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RiverArchitect\ProjectMaker\.templates\Project_vii_TEMPLATE\"/>
    </mc:Choice>
  </mc:AlternateContent>
  <bookViews>
    <workbookView xWindow="0" yWindow="0" windowWidth="38400" windowHeight="17700" activeTab="1"/>
  </bookViews>
  <sheets>
    <sheet name="costs (SI metric)" sheetId="6" r:id="rId1"/>
    <sheet name="costs (U.S. Cust.)" sheetId="1" r:id="rId2"/>
    <sheet name="from_geodata" sheetId="2" r:id="rId3"/>
    <sheet name="terraforming_volumes" sheetId="3" r:id="rId4"/>
  </sheets>
  <definedNames>
    <definedName name="ft2yd">1/3</definedName>
    <definedName name="log_length" comment="unit: feet">25</definedName>
    <definedName name="square_yd2acre">1/4840</definedName>
  </definedNames>
  <calcPr calcId="162913"/>
</workbook>
</file>

<file path=xl/calcChain.xml><?xml version="1.0" encoding="utf-8"?>
<calcChain xmlns="http://schemas.openxmlformats.org/spreadsheetml/2006/main">
  <c r="F33" i="6" l="1"/>
  <c r="F32" i="6"/>
  <c r="F26" i="6"/>
  <c r="F25" i="6"/>
  <c r="F24" i="6"/>
  <c r="F23" i="6"/>
  <c r="F16" i="6"/>
  <c r="F13" i="6"/>
  <c r="F12" i="6"/>
  <c r="F7" i="6"/>
  <c r="F13" i="1"/>
  <c r="F12" i="1"/>
  <c r="F7" i="1"/>
  <c r="F16" i="1" l="1"/>
  <c r="F33" i="1"/>
  <c r="F32" i="1"/>
  <c r="F26" i="1"/>
  <c r="F25" i="1"/>
  <c r="F23" i="1"/>
  <c r="D47" i="6" l="1"/>
  <c r="D37" i="6"/>
  <c r="G37" i="6" s="1"/>
  <c r="D33" i="6"/>
  <c r="D32" i="6"/>
  <c r="D31" i="6"/>
  <c r="D20" i="6"/>
  <c r="G20" i="6" s="1"/>
  <c r="D19" i="6"/>
  <c r="D15" i="6"/>
  <c r="D14" i="6"/>
  <c r="D13" i="6"/>
  <c r="G47" i="6"/>
  <c r="G46" i="6"/>
  <c r="G45" i="6"/>
  <c r="G44" i="6"/>
  <c r="G43" i="6"/>
  <c r="G42" i="6"/>
  <c r="G41" i="6"/>
  <c r="G40" i="6"/>
  <c r="G36" i="6"/>
  <c r="G32" i="6"/>
  <c r="G31" i="6"/>
  <c r="G30" i="6"/>
  <c r="G29" i="6"/>
  <c r="G26" i="6"/>
  <c r="G25" i="6"/>
  <c r="G24" i="6"/>
  <c r="G23" i="6"/>
  <c r="G22" i="6"/>
  <c r="G21" i="6"/>
  <c r="G19" i="6"/>
  <c r="G16" i="6"/>
  <c r="G15" i="6"/>
  <c r="G14" i="6"/>
  <c r="G13" i="6"/>
  <c r="G9" i="6"/>
  <c r="G8" i="6"/>
  <c r="G7" i="6"/>
  <c r="G48" i="6" l="1"/>
  <c r="G38" i="6"/>
  <c r="G33" i="6"/>
  <c r="G34" i="6" s="1"/>
  <c r="G10" i="6"/>
  <c r="G27" i="6"/>
  <c r="G12" i="6"/>
  <c r="G17" i="6" s="1"/>
  <c r="G50" i="6" l="1"/>
  <c r="G59" i="6" s="1"/>
  <c r="G58" i="6" l="1"/>
  <c r="G55" i="6"/>
  <c r="G56" i="6"/>
  <c r="G8" i="1"/>
  <c r="G61" i="6" l="1"/>
  <c r="G2" i="6" s="1"/>
  <c r="I2" i="6" s="1"/>
  <c r="G47" i="1" l="1"/>
  <c r="D47" i="1"/>
  <c r="G46" i="1"/>
  <c r="G45" i="1"/>
  <c r="G44" i="1"/>
  <c r="G43" i="1"/>
  <c r="G42" i="1"/>
  <c r="G48" i="1" s="1"/>
  <c r="G41" i="1"/>
  <c r="D41" i="1"/>
  <c r="G40" i="1"/>
  <c r="D37" i="1"/>
  <c r="G37" i="1"/>
  <c r="D36" i="1"/>
  <c r="G36" i="1"/>
  <c r="G33" i="1"/>
  <c r="D33" i="1"/>
  <c r="G32" i="1"/>
  <c r="D32" i="1"/>
  <c r="G31" i="1"/>
  <c r="D31" i="1"/>
  <c r="D30" i="1"/>
  <c r="G30" i="1"/>
  <c r="G29" i="1"/>
  <c r="D29" i="1"/>
  <c r="G26" i="1"/>
  <c r="D26" i="1"/>
  <c r="G25" i="1"/>
  <c r="D25" i="1"/>
  <c r="F24" i="1"/>
  <c r="G24" i="1" s="1"/>
  <c r="G23" i="1"/>
  <c r="D22" i="1"/>
  <c r="G22" i="1"/>
  <c r="D21" i="1"/>
  <c r="G21" i="1"/>
  <c r="D20" i="1"/>
  <c r="G20" i="1"/>
  <c r="G19" i="1"/>
  <c r="D19" i="1"/>
  <c r="G16" i="1"/>
  <c r="D15" i="1"/>
  <c r="G15" i="1"/>
  <c r="D14" i="1"/>
  <c r="G14" i="1"/>
  <c r="G13" i="1"/>
  <c r="D13" i="1"/>
  <c r="G9" i="1"/>
  <c r="G7" i="1"/>
  <c r="G10" i="1" s="1"/>
  <c r="G38" i="1"/>
  <c r="G34" i="1" l="1"/>
  <c r="G27" i="1"/>
  <c r="G12" i="1"/>
  <c r="G17" i="1" s="1"/>
  <c r="G50" i="1" s="1"/>
  <c r="G59" i="1" s="1"/>
  <c r="G55" i="1" l="1"/>
  <c r="G56" i="1"/>
  <c r="G58" i="1"/>
  <c r="G61" i="1" l="1"/>
  <c r="G2" i="1" s="1"/>
  <c r="I2" i="1" s="1"/>
</calcChain>
</file>

<file path=xl/comments1.xml><?xml version="1.0" encoding="utf-8"?>
<comments xmlns="http://schemas.openxmlformats.org/spreadsheetml/2006/main">
  <authors>
    <author>Sebastian Schwindt</author>
  </authors>
  <commentList>
    <comment ref="K2" authorId="0" shapeId="0">
      <text>
        <r>
          <rPr>
            <b/>
            <sz val="9"/>
            <color indexed="81"/>
            <rFont val="Tahoma"/>
            <family val="2"/>
          </rPr>
          <t>Sebastian Schwindt:</t>
        </r>
        <r>
          <rPr>
            <sz val="9"/>
            <color indexed="81"/>
            <rFont val="Tahoma"/>
            <family val="2"/>
          </rPr>
          <t xml:space="preserve">
Automatic calculation based on from_geodata and terraforming_volumes sheets.</t>
        </r>
      </text>
    </comment>
    <comment ref="D14" authorId="0" shapeId="0">
      <text>
        <r>
          <rPr>
            <sz val="11"/>
            <color theme="1"/>
            <rFont val="Calibri"/>
            <family val="2"/>
            <scheme val="minor"/>
          </rPr>
          <t>Sebastian Schwindt:
Inflation-adusted (1994-2017 --&gt; *1.65)</t>
        </r>
      </text>
    </comment>
    <comment ref="D20" authorId="0" shapeId="0">
      <text>
        <r>
          <rPr>
            <sz val="11"/>
            <color theme="1"/>
            <rFont val="Calibri"/>
            <family val="2"/>
            <scheme val="minor"/>
          </rPr>
          <t>Sebastian Schwindt:
Inflation adjusted: 1.65 = 1994-2017 inflation rate</t>
        </r>
      </text>
    </comment>
  </commentList>
</comments>
</file>

<file path=xl/comments2.xml><?xml version="1.0" encoding="utf-8"?>
<comments xmlns="http://schemas.openxmlformats.org/spreadsheetml/2006/main">
  <authors>
    <author>Sebastian Schwindt</author>
  </authors>
  <commentList>
    <comment ref="K2" authorId="0" shapeId="0">
      <text>
        <r>
          <rPr>
            <b/>
            <sz val="9"/>
            <color indexed="81"/>
            <rFont val="Tahoma"/>
            <family val="2"/>
          </rPr>
          <t>Sebastian Schwindt:</t>
        </r>
        <r>
          <rPr>
            <sz val="9"/>
            <color indexed="81"/>
            <rFont val="Tahoma"/>
            <family val="2"/>
          </rPr>
          <t xml:space="preserve">
Automatic calculation based on from_geodata and terraforming_volumes sheets.</t>
        </r>
      </text>
    </comment>
    <comment ref="D14" authorId="0" shapeId="0">
      <text>
        <r>
          <rPr>
            <sz val="11"/>
            <color theme="1"/>
            <rFont val="Calibri"/>
            <family val="2"/>
            <scheme val="minor"/>
          </rPr>
          <t>Sebastian Schwindt:
Inflation-adusted (1994-2017 --&gt; *1.65)</t>
        </r>
      </text>
    </comment>
    <comment ref="D20" authorId="0" shapeId="0">
      <text>
        <r>
          <rPr>
            <sz val="11"/>
            <color theme="1"/>
            <rFont val="Calibri"/>
            <family val="2"/>
            <scheme val="minor"/>
          </rPr>
          <t>Sebastian Schwindt:
Inflation adjusted: 1.65 = 1994-2017 inflation rate</t>
        </r>
      </text>
    </comment>
    <comment ref="E37" authorId="0" shapeId="0">
      <text>
        <r>
          <rPr>
            <sz val="11"/>
            <color theme="1"/>
            <rFont val="Calibri"/>
            <family val="2"/>
            <scheme val="minor"/>
          </rPr>
          <t>Sebastian Schwindt:
River length yard</t>
        </r>
      </text>
    </comment>
  </commentList>
</comments>
</file>

<file path=xl/sharedStrings.xml><?xml version="1.0" encoding="utf-8"?>
<sst xmlns="http://schemas.openxmlformats.org/spreadsheetml/2006/main" count="315" uniqueCount="121">
  <si>
    <t>Total costs:</t>
  </si>
  <si>
    <t>Site:</t>
  </si>
  <si>
    <t>Layer</t>
  </si>
  <si>
    <t>Task</t>
  </si>
  <si>
    <t>Costs per</t>
  </si>
  <si>
    <t>Unit</t>
  </si>
  <si>
    <t>Quantity</t>
  </si>
  <si>
    <t>Total (US $)</t>
  </si>
  <si>
    <t>Remarks</t>
  </si>
  <si>
    <t>Literature Sources</t>
  </si>
  <si>
    <t>Framework 
(terraforming)</t>
  </si>
  <si>
    <t>Clearing (vegetation)</t>
  </si>
  <si>
    <t>acre</t>
  </si>
  <si>
    <t>LCH (2012)</t>
  </si>
  <si>
    <t>Excavate/fill alluvial material (includes transport)</t>
  </si>
  <si>
    <t>yd³</t>
  </si>
  <si>
    <t>external</t>
  </si>
  <si>
    <t>Use terraforming_volumes sheet</t>
  </si>
  <si>
    <t>Groin cavities</t>
  </si>
  <si>
    <t>piece</t>
  </si>
  <si>
    <t>Zeh (2007)</t>
  </si>
  <si>
    <t>SUM (Terraforming)</t>
  </si>
  <si>
    <t>yd'</t>
  </si>
  <si>
    <t>refers to log length</t>
  </si>
  <si>
    <t>log</t>
  </si>
  <si>
    <t>log length = 25 ft,  Ø =  24 in</t>
  </si>
  <si>
    <t>Cramer (2012)
Virginia University (2004)</t>
  </si>
  <si>
    <t>Engineered log jam: root-wise</t>
  </si>
  <si>
    <t>rootwad</t>
  </si>
  <si>
    <t>Engineered log jam: complete</t>
  </si>
  <si>
    <t>Cramer (2012)
Knutson (2015)</t>
  </si>
  <si>
    <t>Angular boulder placement (instream)</t>
  </si>
  <si>
    <t>yd²</t>
  </si>
  <si>
    <t>Zeh (2007)
Cramer (2012)</t>
  </si>
  <si>
    <t>Vegetation plantings</t>
  </si>
  <si>
    <t>Ball method (small trees)</t>
  </si>
  <si>
    <t>Zeh (2007)
Virginia University (2004)</t>
  </si>
  <si>
    <t>Container trees</t>
  </si>
  <si>
    <t>tree</t>
  </si>
  <si>
    <t>Pod method (Cottonwood)</t>
  </si>
  <si>
    <t>Cutting length = 7-12 ft,  Ø =  6 in
Density: 1500 plantings / acre</t>
  </si>
  <si>
    <t>SYRCL (2013)</t>
  </si>
  <si>
    <t>Pod method (Willow)</t>
  </si>
  <si>
    <t>Stinger method (Cottonwood)</t>
  </si>
  <si>
    <t>Cutting length = 7-12 ft,  Ø =  2 in
Density: 1500 plantings / acre</t>
  </si>
  <si>
    <t>Stinger method (Willow)</t>
  </si>
  <si>
    <t>Other planting methods (Box Elder)</t>
  </si>
  <si>
    <t>Knutson (2015)</t>
  </si>
  <si>
    <t>Other planting methods (White Alder)</t>
  </si>
  <si>
    <t>SUM (Vegetation plantings)</t>
  </si>
  <si>
    <t>Bioengineering (other)</t>
  </si>
  <si>
    <t>Fascine</t>
  </si>
  <si>
    <t>Var. long and thick living willow branches</t>
  </si>
  <si>
    <t>Fascine: on slopes</t>
  </si>
  <si>
    <t>Branches: Ø 4-16 in, 4-5 ft long</t>
  </si>
  <si>
    <t>Geotextile</t>
  </si>
  <si>
    <t>Aka: Slope protection mat</t>
  </si>
  <si>
    <t>Lateral brush layers
(Ramified willow branches)</t>
  </si>
  <si>
    <t>Branches: Ø 4-8 in, 2-20 ft long</t>
  </si>
  <si>
    <t>Rock paving / layering
(individually placed rocks)</t>
  </si>
  <si>
    <t>Block weight: 0.5-2 tons
Use Adequate filter/drain material</t>
  </si>
  <si>
    <t>SUM (Bioengineering)</t>
  </si>
  <si>
    <t>Maintain</t>
  </si>
  <si>
    <t>Fine sediment</t>
  </si>
  <si>
    <t>Virginia University (2004)</t>
  </si>
  <si>
    <t>Gravel (spawning substrate)</t>
  </si>
  <si>
    <t>SUM (Maintenance)</t>
  </si>
  <si>
    <t>Civil engineering &amp; other</t>
  </si>
  <si>
    <t>Culvert: Concrete PC 300</t>
  </si>
  <si>
    <t>Culvert: Reinforcement steel</t>
  </si>
  <si>
    <t>short tons</t>
  </si>
  <si>
    <t>Roads: Develop existing</t>
  </si>
  <si>
    <t>approximate measure from GoogleEarth</t>
  </si>
  <si>
    <t>Roads: New (easy terrain)</t>
  </si>
  <si>
    <t>Roads: New (complex terrain)</t>
  </si>
  <si>
    <t>Roads: New bridge</t>
  </si>
  <si>
    <t>Roads: Reinforce existing bridge</t>
  </si>
  <si>
    <t>Bonham &amp; Stephenson (2004)</t>
  </si>
  <si>
    <t>SUM (Civil engineering &amp; other)</t>
  </si>
  <si>
    <t>SUM (TOTAL CONSTRUCTION WORKS)</t>
  </si>
  <si>
    <t>APPLICATION OF FEES &amp; RATES</t>
  </si>
  <si>
    <t>CIVIL ENGINEERING</t>
  </si>
  <si>
    <t>Site (de-)mobilization (from total costs)</t>
  </si>
  <si>
    <t>[-]</t>
  </si>
  <si>
    <t>Unexpected (from total costs)</t>
  </si>
  <si>
    <t>TOTAL COSTS</t>
  </si>
  <si>
    <t>VEGETATION PLANTINGS</t>
  </si>
  <si>
    <t>Type</t>
  </si>
  <si>
    <t>Area (acres)</t>
  </si>
  <si>
    <t>Plant stabilization</t>
  </si>
  <si>
    <t>Source:</t>
  </si>
  <si>
    <t>Excavate</t>
  </si>
  <si>
    <t>Fill</t>
  </si>
  <si>
    <t>Automatic Calculation</t>
  </si>
  <si>
    <t>Site Name</t>
  </si>
  <si>
    <t>Terrain acquisition</t>
  </si>
  <si>
    <t>CCC (2003)
King et al. (1994)
LCH (2012)</t>
  </si>
  <si>
    <t>King et al. (1994)</t>
  </si>
  <si>
    <t>King et al. (1994)
Zeh (2007)</t>
  </si>
  <si>
    <t>Unit System: U.S. Customary</t>
  </si>
  <si>
    <t>Unit System: SI (metric)</t>
  </si>
  <si>
    <t>m²</t>
  </si>
  <si>
    <t>m³</t>
  </si>
  <si>
    <t>m'</t>
  </si>
  <si>
    <t>t</t>
  </si>
  <si>
    <t>Bioengineering (stabilization)</t>
  </si>
  <si>
    <t>SUM (Plant-stabilizing bioengineering)</t>
  </si>
  <si>
    <t>(cubic yard or m³)</t>
  </si>
  <si>
    <t>FEES AND LICENSING</t>
  </si>
  <si>
    <t>Permitting</t>
  </si>
  <si>
    <t>LCH (2012)
Cramer (2012)
Johnson (2019)</t>
  </si>
  <si>
    <t>Markups (overhead, profit, insurance) and 
Engineering fees</t>
  </si>
  <si>
    <t>Project return
(US $ per ac net gain in SHArea)</t>
  </si>
  <si>
    <t>Project return
(EUR per m² net gain in SHArea)</t>
  </si>
  <si>
    <t>Net gain in SHArea (m²/season):</t>
  </si>
  <si>
    <t>Net gain in SHArea (ac/season):</t>
  </si>
  <si>
    <t>Generated  with the RiverArchitect's Volume Assessment module</t>
  </si>
  <si>
    <r>
      <rPr>
        <sz val="11"/>
        <color theme="1" tint="0.499984740745262"/>
        <rFont val="Courier New"/>
        <family val="3"/>
      </rPr>
      <t>…/RiverArchitect/VolumeAssessment/Output/</t>
    </r>
    <r>
      <rPr>
        <i/>
        <sz val="11"/>
        <color theme="1"/>
        <rFont val="Courier New"/>
        <family val="3"/>
      </rPr>
      <t>CONDITION</t>
    </r>
    <r>
      <rPr>
        <sz val="11"/>
        <color theme="1"/>
        <rFont val="Courier New"/>
        <family val="3"/>
      </rPr>
      <t>_volumes.xlsx</t>
    </r>
  </si>
  <si>
    <t>Terrain stabilization</t>
  </si>
  <si>
    <t>Streamwood
(for plant and terrain stabilization)</t>
  </si>
  <si>
    <t>Anchoring (logs for plant stability)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</si>
</sst>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164" formatCode="0.0"/>
    <numFmt numFmtId="165" formatCode="&quot;$&quot;#,##0.00"/>
    <numFmt numFmtId="166" formatCode="#,##0.0"/>
    <numFmt numFmtId="167" formatCode="0.000"/>
    <numFmt numFmtId="168" formatCode="_([$EUR]\ * #,##0.00_);_([$EUR]\ * \(#,##0.00\);_([$EUR]\ * &quot;-&quot;??_);_(@_)"/>
    <numFmt numFmtId="169" formatCode="[$€-2]\ 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name val="Arial Narrow"/>
      <family val="2"/>
    </font>
    <font>
      <sz val="11"/>
      <color theme="0" tint="-0.499984740745262"/>
      <name val="Arial Narrow"/>
      <family val="2"/>
    </font>
    <font>
      <b/>
      <sz val="11"/>
      <color theme="0"/>
      <name val="Arial Narrow"/>
      <family val="2"/>
    </font>
    <font>
      <b/>
      <sz val="11"/>
      <color theme="0" tint="-4.9989318521683403E-2"/>
      <name val="Arial Narrow"/>
      <family val="2"/>
    </font>
    <font>
      <sz val="11"/>
      <color indexed="8"/>
      <name val="Calibri"/>
      <family val="2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sz val="11"/>
      <color rgb="FF3F3F76"/>
      <name val="Calibri"/>
      <family val="2"/>
      <scheme val="minor"/>
    </font>
    <font>
      <sz val="11"/>
      <color theme="1" tint="0.499984740745262"/>
      <name val="Arial Narrow"/>
      <family val="2"/>
    </font>
    <font>
      <b/>
      <sz val="11"/>
      <color rgb="FF3F3F76"/>
      <name val="Arial Narrow"/>
      <family val="2"/>
    </font>
    <font>
      <b/>
      <sz val="11"/>
      <color rgb="FF000000"/>
      <name val="Arial Narrow"/>
      <family val="2"/>
    </font>
    <font>
      <b/>
      <sz val="11"/>
      <color theme="1" tint="0.499984740745262"/>
      <name val="Arial Narrow"/>
      <family val="2"/>
    </font>
    <font>
      <sz val="11"/>
      <color theme="1"/>
      <name val="Courier New"/>
      <family val="3"/>
    </font>
    <font>
      <sz val="11"/>
      <color theme="1" tint="0.499984740745262"/>
      <name val="Courier New"/>
      <family val="3"/>
    </font>
    <font>
      <i/>
      <sz val="1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7" tint="-0.499984740745262"/>
      <name val="Arial Narrow"/>
      <family val="2"/>
    </font>
    <font>
      <i/>
      <sz val="11"/>
      <color theme="1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C99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34998626667073579"/>
      </bottom>
      <diagonal/>
    </border>
    <border>
      <left/>
      <right/>
      <top style="thin">
        <color theme="0" tint="-0.499984740745262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10" fillId="7" borderId="7"/>
    <xf numFmtId="0" fontId="17" fillId="9" borderId="7" applyNumberFormat="0" applyAlignment="0" applyProtection="0"/>
  </cellStyleXfs>
  <cellXfs count="196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1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1" fillId="5" borderId="0" xfId="0" applyFont="1" applyFill="1" applyAlignment="1">
      <alignment horizontal="left" wrapText="1"/>
    </xf>
    <xf numFmtId="0" fontId="4" fillId="5" borderId="0" xfId="0" applyFont="1" applyFill="1" applyAlignment="1">
      <alignment horizontal="left" wrapText="1"/>
    </xf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left" wrapText="1"/>
    </xf>
    <xf numFmtId="0" fontId="4" fillId="3" borderId="0" xfId="0" applyFont="1" applyFill="1" applyAlignment="1">
      <alignment horizontal="left" wrapText="1"/>
    </xf>
    <xf numFmtId="0" fontId="8" fillId="3" borderId="0" xfId="1" applyFont="1" applyFill="1"/>
    <xf numFmtId="0" fontId="5" fillId="5" borderId="0" xfId="0" applyFont="1" applyFill="1" applyAlignment="1">
      <alignment horizontal="left" wrapText="1"/>
    </xf>
    <xf numFmtId="4" fontId="8" fillId="0" borderId="0" xfId="2" applyNumberFormat="1" applyFont="1" applyAlignment="1">
      <alignment horizontal="center"/>
    </xf>
    <xf numFmtId="2" fontId="8" fillId="0" borderId="0" xfId="2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8" fillId="3" borderId="0" xfId="1" applyNumberFormat="1" applyFont="1" applyFill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vertical="top" wrapText="1"/>
    </xf>
    <xf numFmtId="0" fontId="1" fillId="5" borderId="0" xfId="0" applyFont="1" applyFill="1" applyAlignment="1">
      <alignment horizontal="center" vertical="top" wrapText="1"/>
    </xf>
    <xf numFmtId="0" fontId="5" fillId="6" borderId="4" xfId="0" applyFont="1" applyFill="1" applyBorder="1" applyAlignment="1">
      <alignment horizontal="center" vertical="top" wrapText="1"/>
    </xf>
    <xf numFmtId="0" fontId="5" fillId="6" borderId="5" xfId="0" applyFont="1" applyFill="1" applyBorder="1" applyAlignment="1">
      <alignment horizontal="center" vertical="top" wrapText="1"/>
    </xf>
    <xf numFmtId="0" fontId="6" fillId="6" borderId="6" xfId="0" applyFont="1" applyFill="1" applyBorder="1" applyAlignment="1">
      <alignment horizontal="left" vertical="top" wrapText="1"/>
    </xf>
    <xf numFmtId="164" fontId="5" fillId="6" borderId="5" xfId="0" applyNumberFormat="1" applyFont="1" applyFill="1" applyBorder="1" applyAlignment="1">
      <alignment horizontal="center" vertical="top" wrapText="1"/>
    </xf>
    <xf numFmtId="164" fontId="1" fillId="5" borderId="0" xfId="0" applyNumberFormat="1" applyFont="1" applyFill="1" applyAlignment="1">
      <alignment horizontal="center" vertical="top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wrapText="1"/>
    </xf>
    <xf numFmtId="164" fontId="5" fillId="5" borderId="0" xfId="0" applyNumberFormat="1" applyFont="1" applyFill="1" applyAlignment="1">
      <alignment horizontal="left" wrapText="1"/>
    </xf>
    <xf numFmtId="164" fontId="1" fillId="3" borderId="0" xfId="0" applyNumberFormat="1" applyFont="1" applyFill="1" applyAlignment="1">
      <alignment horizontal="center" wrapText="1"/>
    </xf>
    <xf numFmtId="2" fontId="12" fillId="7" borderId="7" xfId="3" applyNumberFormat="1" applyFont="1"/>
    <xf numFmtId="164" fontId="11" fillId="0" borderId="1" xfId="0" applyNumberFormat="1" applyFont="1" applyBorder="1" applyAlignment="1">
      <alignment horizontal="center" vertical="center" wrapText="1"/>
    </xf>
    <xf numFmtId="2" fontId="8" fillId="0" borderId="0" xfId="1" applyNumberFormat="1" applyFont="1" applyAlignment="1">
      <alignment horizontal="center" vertical="center"/>
    </xf>
    <xf numFmtId="4" fontId="8" fillId="0" borderId="0" xfId="2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0" fontId="1" fillId="0" borderId="9" xfId="0" applyFont="1" applyBorder="1" applyAlignment="1">
      <alignment vertical="top" wrapText="1"/>
    </xf>
    <xf numFmtId="0" fontId="1" fillId="0" borderId="9" xfId="0" applyFont="1" applyBorder="1" applyAlignment="1">
      <alignment horizontal="center" vertical="top" wrapText="1"/>
    </xf>
    <xf numFmtId="164" fontId="1" fillId="0" borderId="9" xfId="0" applyNumberFormat="1" applyFont="1" applyBorder="1" applyAlignment="1">
      <alignment horizontal="center" vertical="top" wrapText="1"/>
    </xf>
    <xf numFmtId="0" fontId="1" fillId="0" borderId="9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wrapText="1"/>
    </xf>
    <xf numFmtId="0" fontId="1" fillId="0" borderId="9" xfId="0" applyFont="1" applyBorder="1" applyAlignment="1">
      <alignment horizontal="center" wrapText="1"/>
    </xf>
    <xf numFmtId="0" fontId="2" fillId="5" borderId="10" xfId="0" applyFont="1" applyFill="1" applyBorder="1" applyAlignment="1">
      <alignment horizontal="left" vertical="top" wrapText="1"/>
    </xf>
    <xf numFmtId="164" fontId="2" fillId="5" borderId="10" xfId="0" applyNumberFormat="1" applyFont="1" applyFill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164" fontId="2" fillId="0" borderId="11" xfId="0" applyNumberFormat="1" applyFont="1" applyBorder="1" applyAlignment="1">
      <alignment horizontal="left" vertical="top" wrapText="1"/>
    </xf>
    <xf numFmtId="164" fontId="2" fillId="8" borderId="12" xfId="0" applyNumberFormat="1" applyFont="1" applyFill="1" applyBorder="1" applyAlignment="1">
      <alignment vertical="center" wrapText="1"/>
    </xf>
    <xf numFmtId="164" fontId="2" fillId="8" borderId="16" xfId="0" applyNumberFormat="1" applyFont="1" applyFill="1" applyBorder="1" applyAlignment="1">
      <alignment horizontal="right" vertical="center" wrapText="1"/>
    </xf>
    <xf numFmtId="0" fontId="2" fillId="8" borderId="12" xfId="0" applyFont="1" applyFill="1" applyBorder="1" applyAlignment="1">
      <alignment horizontal="right" vertical="center" wrapText="1"/>
    </xf>
    <xf numFmtId="164" fontId="2" fillId="8" borderId="16" xfId="0" applyNumberFormat="1" applyFont="1" applyFill="1" applyBorder="1" applyAlignment="1">
      <alignment vertical="center" wrapText="1"/>
    </xf>
    <xf numFmtId="164" fontId="2" fillId="8" borderId="13" xfId="0" applyNumberFormat="1" applyFont="1" applyFill="1" applyBorder="1" applyAlignment="1">
      <alignment vertical="center" wrapText="1"/>
    </xf>
    <xf numFmtId="0" fontId="2" fillId="8" borderId="14" xfId="0" applyFont="1" applyFill="1" applyBorder="1" applyAlignment="1">
      <alignment horizontal="right" vertical="center" wrapText="1"/>
    </xf>
    <xf numFmtId="164" fontId="2" fillId="8" borderId="17" xfId="0" applyNumberFormat="1" applyFont="1" applyFill="1" applyBorder="1" applyAlignment="1">
      <alignment vertical="center" wrapText="1"/>
    </xf>
    <xf numFmtId="164" fontId="2" fillId="8" borderId="15" xfId="0" applyNumberFormat="1" applyFont="1" applyFill="1" applyBorder="1" applyAlignment="1">
      <alignment vertical="center" wrapText="1"/>
    </xf>
    <xf numFmtId="0" fontId="1" fillId="0" borderId="18" xfId="0" applyFont="1" applyBorder="1" applyAlignment="1">
      <alignment wrapText="1"/>
    </xf>
    <xf numFmtId="0" fontId="1" fillId="0" borderId="19" xfId="0" applyFont="1" applyBorder="1" applyAlignment="1">
      <alignment wrapText="1"/>
    </xf>
    <xf numFmtId="0" fontId="2" fillId="0" borderId="19" xfId="0" applyFont="1" applyBorder="1" applyAlignment="1">
      <alignment vertical="top" wrapText="1"/>
    </xf>
    <xf numFmtId="164" fontId="2" fillId="0" borderId="19" xfId="0" applyNumberFormat="1" applyFont="1" applyBorder="1" applyAlignment="1">
      <alignment vertical="top" wrapText="1"/>
    </xf>
    <xf numFmtId="16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 wrapText="1"/>
    </xf>
    <xf numFmtId="0" fontId="5" fillId="4" borderId="0" xfId="0" applyFont="1" applyFill="1" applyAlignment="1">
      <alignment horizontal="left" wrapText="1"/>
    </xf>
    <xf numFmtId="0" fontId="2" fillId="0" borderId="0" xfId="0" applyFont="1" applyAlignment="1">
      <alignment horizontal="left" vertical="top" wrapText="1"/>
    </xf>
    <xf numFmtId="0" fontId="1" fillId="0" borderId="0" xfId="0" applyFont="1"/>
    <xf numFmtId="0" fontId="11" fillId="0" borderId="0" xfId="0" applyFont="1" applyAlignment="1">
      <alignment horizontal="left"/>
    </xf>
    <xf numFmtId="44" fontId="1" fillId="0" borderId="0" xfId="0" applyNumberFormat="1" applyFont="1" applyAlignment="1">
      <alignment wrapText="1"/>
    </xf>
    <xf numFmtId="165" fontId="1" fillId="0" borderId="0" xfId="0" applyNumberFormat="1" applyFont="1" applyAlignment="1">
      <alignment horizontal="center" wrapText="1"/>
    </xf>
    <xf numFmtId="165" fontId="2" fillId="8" borderId="13" xfId="0" applyNumberFormat="1" applyFont="1" applyFill="1" applyBorder="1" applyAlignment="1">
      <alignment horizontal="center" vertical="center" wrapText="1"/>
    </xf>
    <xf numFmtId="166" fontId="2" fillId="8" borderId="15" xfId="0" applyNumberFormat="1" applyFont="1" applyFill="1" applyBorder="1" applyAlignment="1">
      <alignment horizontal="center" vertical="center" wrapText="1"/>
    </xf>
    <xf numFmtId="165" fontId="2" fillId="0" borderId="19" xfId="0" applyNumberFormat="1" applyFont="1" applyBorder="1" applyAlignment="1">
      <alignment vertical="top" wrapText="1"/>
    </xf>
    <xf numFmtId="44" fontId="5" fillId="6" borderId="5" xfId="0" applyNumberFormat="1" applyFont="1" applyFill="1" applyBorder="1" applyAlignment="1">
      <alignment horizontal="center" vertical="top" wrapText="1"/>
    </xf>
    <xf numFmtId="165" fontId="5" fillId="6" borderId="5" xfId="0" applyNumberFormat="1" applyFont="1" applyFill="1" applyBorder="1" applyAlignment="1">
      <alignment horizontal="center" vertical="top" wrapText="1"/>
    </xf>
    <xf numFmtId="44" fontId="1" fillId="5" borderId="0" xfId="0" applyNumberFormat="1" applyFont="1" applyFill="1" applyAlignment="1">
      <alignment horizontal="center" vertical="top" wrapText="1"/>
    </xf>
    <xf numFmtId="165" fontId="1" fillId="5" borderId="0" xfId="0" applyNumberFormat="1" applyFont="1" applyFill="1" applyAlignment="1">
      <alignment horizontal="center" vertical="top" wrapText="1"/>
    </xf>
    <xf numFmtId="44" fontId="1" fillId="0" borderId="1" xfId="0" applyNumberFormat="1" applyFont="1" applyBorder="1" applyAlignment="1">
      <alignment horizontal="center" vertical="top" wrapText="1"/>
    </xf>
    <xf numFmtId="165" fontId="1" fillId="0" borderId="1" xfId="0" applyNumberFormat="1" applyFont="1" applyBorder="1" applyAlignment="1">
      <alignment horizontal="center" vertical="top" wrapText="1"/>
    </xf>
    <xf numFmtId="44" fontId="1" fillId="0" borderId="1" xfId="0" applyNumberFormat="1" applyFont="1" applyBorder="1" applyAlignment="1">
      <alignment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44" fontId="1" fillId="0" borderId="9" xfId="0" applyNumberFormat="1" applyFont="1" applyBorder="1" applyAlignment="1">
      <alignment horizontal="center" vertical="top" wrapText="1"/>
    </xf>
    <xf numFmtId="165" fontId="1" fillId="0" borderId="2" xfId="0" applyNumberFormat="1" applyFont="1" applyBorder="1" applyAlignment="1">
      <alignment horizontal="center" vertical="top" wrapText="1"/>
    </xf>
    <xf numFmtId="165" fontId="2" fillId="2" borderId="8" xfId="0" applyNumberFormat="1" applyFont="1" applyFill="1" applyBorder="1" applyAlignment="1">
      <alignment horizontal="center" vertical="top" wrapText="1"/>
    </xf>
    <xf numFmtId="165" fontId="2" fillId="5" borderId="0" xfId="0" applyNumberFormat="1" applyFont="1" applyFill="1" applyAlignment="1">
      <alignment horizontal="center" vertical="top" wrapText="1"/>
    </xf>
    <xf numFmtId="44" fontId="1" fillId="0" borderId="1" xfId="0" applyNumberFormat="1" applyFont="1" applyBorder="1" applyAlignment="1">
      <alignment horizontal="center" vertical="center" wrapText="1"/>
    </xf>
    <xf numFmtId="44" fontId="1" fillId="0" borderId="9" xfId="0" applyNumberFormat="1" applyFont="1" applyBorder="1" applyAlignment="1">
      <alignment vertical="center" wrapText="1"/>
    </xf>
    <xf numFmtId="165" fontId="1" fillId="0" borderId="2" xfId="0" applyNumberFormat="1" applyFont="1" applyBorder="1" applyAlignment="1">
      <alignment horizontal="center" vertical="center" wrapText="1"/>
    </xf>
    <xf numFmtId="44" fontId="1" fillId="0" borderId="1" xfId="0" applyNumberFormat="1" applyFont="1" applyBorder="1" applyAlignment="1">
      <alignment wrapText="1"/>
    </xf>
    <xf numFmtId="165" fontId="1" fillId="0" borderId="1" xfId="0" applyNumberFormat="1" applyFont="1" applyBorder="1" applyAlignment="1">
      <alignment horizontal="center" wrapText="1"/>
    </xf>
    <xf numFmtId="44" fontId="1" fillId="0" borderId="2" xfId="0" applyNumberFormat="1" applyFont="1" applyBorder="1" applyAlignment="1">
      <alignment wrapText="1"/>
    </xf>
    <xf numFmtId="44" fontId="1" fillId="0" borderId="9" xfId="0" applyNumberFormat="1" applyFont="1" applyBorder="1" applyAlignment="1">
      <alignment wrapText="1"/>
    </xf>
    <xf numFmtId="165" fontId="1" fillId="0" borderId="2" xfId="0" applyNumberFormat="1" applyFont="1" applyBorder="1" applyAlignment="1">
      <alignment horizontal="center" wrapText="1"/>
    </xf>
    <xf numFmtId="165" fontId="2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center" vertical="top" wrapText="1"/>
    </xf>
    <xf numFmtId="165" fontId="1" fillId="3" borderId="0" xfId="0" applyNumberFormat="1" applyFont="1" applyFill="1" applyAlignment="1">
      <alignment horizontal="center" wrapText="1"/>
    </xf>
    <xf numFmtId="165" fontId="1" fillId="0" borderId="0" xfId="0" applyNumberFormat="1" applyFont="1" applyAlignment="1">
      <alignment horizontal="center" vertical="center" wrapText="1"/>
    </xf>
    <xf numFmtId="165" fontId="5" fillId="4" borderId="0" xfId="0" applyNumberFormat="1" applyFont="1" applyFill="1" applyAlignment="1">
      <alignment horizontal="center" wrapText="1"/>
    </xf>
    <xf numFmtId="164" fontId="17" fillId="9" borderId="7" xfId="4" applyNumberFormat="1" applyAlignment="1">
      <alignment horizontal="center" vertical="center" wrapText="1"/>
    </xf>
    <xf numFmtId="164" fontId="17" fillId="9" borderId="7" xfId="4" applyNumberFormat="1" applyAlignment="1">
      <alignment horizontal="center" vertical="top" wrapText="1"/>
    </xf>
    <xf numFmtId="164" fontId="17" fillId="9" borderId="7" xfId="4" applyNumberFormat="1" applyAlignment="1">
      <alignment horizontal="center" wrapText="1"/>
    </xf>
    <xf numFmtId="0" fontId="4" fillId="0" borderId="0" xfId="0" applyFont="1" applyBorder="1" applyAlignment="1">
      <alignment horizontal="left" wrapText="1"/>
    </xf>
    <xf numFmtId="0" fontId="1" fillId="0" borderId="0" xfId="0" applyFont="1" applyAlignment="1">
      <alignment vertical="center" wrapText="1"/>
    </xf>
    <xf numFmtId="167" fontId="8" fillId="0" borderId="0" xfId="1" applyNumberFormat="1" applyFont="1" applyAlignment="1">
      <alignment horizontal="center" vertical="center"/>
    </xf>
    <xf numFmtId="168" fontId="1" fillId="0" borderId="1" xfId="0" applyNumberFormat="1" applyFont="1" applyBorder="1" applyAlignment="1">
      <alignment horizontal="center" vertical="top" wrapText="1"/>
    </xf>
    <xf numFmtId="168" fontId="1" fillId="0" borderId="1" xfId="0" applyNumberFormat="1" applyFont="1" applyBorder="1" applyAlignment="1">
      <alignment vertical="center" wrapText="1"/>
    </xf>
    <xf numFmtId="168" fontId="1" fillId="0" borderId="9" xfId="0" applyNumberFormat="1" applyFont="1" applyBorder="1" applyAlignment="1">
      <alignment horizontal="center" vertical="top" wrapText="1"/>
    </xf>
    <xf numFmtId="168" fontId="1" fillId="0" borderId="1" xfId="0" applyNumberFormat="1" applyFont="1" applyBorder="1" applyAlignment="1">
      <alignment horizontal="center" vertical="center" wrapText="1"/>
    </xf>
    <xf numFmtId="168" fontId="1" fillId="0" borderId="9" xfId="0" applyNumberFormat="1" applyFont="1" applyBorder="1" applyAlignment="1">
      <alignment vertical="center" wrapText="1"/>
    </xf>
    <xf numFmtId="168" fontId="1" fillId="0" borderId="1" xfId="0" applyNumberFormat="1" applyFont="1" applyBorder="1" applyAlignment="1">
      <alignment wrapText="1"/>
    </xf>
    <xf numFmtId="168" fontId="1" fillId="0" borderId="2" xfId="0" applyNumberFormat="1" applyFont="1" applyBorder="1" applyAlignment="1">
      <alignment wrapText="1"/>
    </xf>
    <xf numFmtId="168" fontId="1" fillId="0" borderId="9" xfId="0" applyNumberFormat="1" applyFont="1" applyBorder="1" applyAlignment="1">
      <alignment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164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44" fontId="1" fillId="0" borderId="0" xfId="0" applyNumberFormat="1" applyFont="1" applyAlignment="1">
      <alignment wrapText="1"/>
    </xf>
    <xf numFmtId="0" fontId="1" fillId="0" borderId="0" xfId="0" applyFont="1" applyAlignment="1">
      <alignment horizontal="center" wrapText="1"/>
    </xf>
    <xf numFmtId="0" fontId="5" fillId="4" borderId="0" xfId="0" applyFont="1" applyFill="1" applyAlignment="1">
      <alignment horizontal="left" wrapText="1"/>
    </xf>
    <xf numFmtId="165" fontId="1" fillId="0" borderId="0" xfId="0" applyNumberFormat="1" applyFont="1" applyAlignment="1">
      <alignment horizontal="center" wrapText="1"/>
    </xf>
    <xf numFmtId="169" fontId="1" fillId="0" borderId="1" xfId="0" applyNumberFormat="1" applyFont="1" applyBorder="1" applyAlignment="1">
      <alignment horizontal="center" vertical="top" wrapText="1"/>
    </xf>
    <xf numFmtId="169" fontId="1" fillId="0" borderId="1" xfId="0" applyNumberFormat="1" applyFont="1" applyBorder="1" applyAlignment="1">
      <alignment horizontal="center" vertical="center" wrapText="1"/>
    </xf>
    <xf numFmtId="169" fontId="1" fillId="0" borderId="2" xfId="0" applyNumberFormat="1" applyFont="1" applyBorder="1" applyAlignment="1">
      <alignment horizontal="center" vertical="top" wrapText="1"/>
    </xf>
    <xf numFmtId="169" fontId="2" fillId="2" borderId="8" xfId="0" applyNumberFormat="1" applyFont="1" applyFill="1" applyBorder="1" applyAlignment="1">
      <alignment horizontal="center" vertical="top" wrapText="1"/>
    </xf>
    <xf numFmtId="169" fontId="2" fillId="5" borderId="0" xfId="0" applyNumberFormat="1" applyFont="1" applyFill="1" applyAlignment="1">
      <alignment horizontal="center" vertical="top" wrapText="1"/>
    </xf>
    <xf numFmtId="169" fontId="1" fillId="0" borderId="2" xfId="0" applyNumberFormat="1" applyFont="1" applyBorder="1" applyAlignment="1">
      <alignment horizontal="center" vertical="center" wrapText="1"/>
    </xf>
    <xf numFmtId="169" fontId="1" fillId="0" borderId="1" xfId="0" applyNumberFormat="1" applyFont="1" applyBorder="1" applyAlignment="1">
      <alignment horizontal="center" wrapText="1"/>
    </xf>
    <xf numFmtId="169" fontId="1" fillId="0" borderId="2" xfId="0" applyNumberFormat="1" applyFont="1" applyBorder="1" applyAlignment="1">
      <alignment horizontal="center" wrapText="1"/>
    </xf>
    <xf numFmtId="169" fontId="2" fillId="0" borderId="0" xfId="0" applyNumberFormat="1" applyFont="1" applyAlignment="1">
      <alignment horizontal="center" vertical="top" wrapText="1"/>
    </xf>
    <xf numFmtId="169" fontId="1" fillId="0" borderId="0" xfId="0" applyNumberFormat="1" applyFont="1" applyAlignment="1">
      <alignment horizontal="center" vertical="top" wrapText="1"/>
    </xf>
    <xf numFmtId="169" fontId="1" fillId="0" borderId="0" xfId="0" applyNumberFormat="1" applyFont="1" applyAlignment="1">
      <alignment horizontal="center" wrapText="1"/>
    </xf>
    <xf numFmtId="169" fontId="1" fillId="3" borderId="0" xfId="0" applyNumberFormat="1" applyFont="1" applyFill="1" applyAlignment="1">
      <alignment horizontal="center" wrapText="1"/>
    </xf>
    <xf numFmtId="169" fontId="1" fillId="0" borderId="0" xfId="0" applyNumberFormat="1" applyFont="1" applyAlignment="1">
      <alignment horizontal="center" vertical="center" wrapText="1"/>
    </xf>
    <xf numFmtId="169" fontId="5" fillId="4" borderId="0" xfId="0" applyNumberFormat="1" applyFont="1" applyFill="1" applyAlignment="1">
      <alignment horizontal="center" wrapText="1"/>
    </xf>
    <xf numFmtId="169" fontId="2" fillId="8" borderId="13" xfId="0" applyNumberFormat="1" applyFont="1" applyFill="1" applyBorder="1" applyAlignment="1">
      <alignment horizontal="center" vertical="center" wrapText="1"/>
    </xf>
    <xf numFmtId="0" fontId="8" fillId="0" borderId="0" xfId="1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5" fillId="4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44" fontId="1" fillId="0" borderId="0" xfId="0" applyNumberFormat="1" applyFont="1" applyAlignment="1">
      <alignment wrapText="1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0" fontId="5" fillId="2" borderId="0" xfId="0" applyFont="1" applyFill="1" applyAlignment="1">
      <alignment horizontal="left" wrapText="1"/>
    </xf>
    <xf numFmtId="165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9" fillId="3" borderId="0" xfId="1" applyFont="1" applyFill="1" applyAlignment="1">
      <alignment horizontal="left"/>
    </xf>
    <xf numFmtId="0" fontId="8" fillId="0" borderId="0" xfId="1" applyFont="1" applyAlignment="1">
      <alignment horizontal="left"/>
    </xf>
    <xf numFmtId="0" fontId="8" fillId="0" borderId="0" xfId="1" applyFont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0" xfId="0" applyFont="1" applyAlignment="1">
      <alignment horizontal="center" vertical="center" textRotation="90" wrapText="1"/>
    </xf>
    <xf numFmtId="0" fontId="2" fillId="0" borderId="1" xfId="0" applyFont="1" applyBorder="1" applyAlignment="1">
      <alignment horizontal="left" vertical="center" textRotation="90" wrapText="1"/>
    </xf>
    <xf numFmtId="0" fontId="20" fillId="10" borderId="17" xfId="0" applyFont="1" applyFill="1" applyBorder="1" applyAlignment="1">
      <alignment horizontal="center" wrapText="1"/>
    </xf>
    <xf numFmtId="0" fontId="2" fillId="8" borderId="12" xfId="0" applyFont="1" applyFill="1" applyBorder="1" applyAlignment="1">
      <alignment horizontal="center" wrapText="1"/>
    </xf>
    <xf numFmtId="165" fontId="13" fillId="8" borderId="13" xfId="0" applyNumberFormat="1" applyFont="1" applyFill="1" applyBorder="1" applyAlignment="1">
      <alignment vertical="center" wrapText="1"/>
    </xf>
    <xf numFmtId="0" fontId="17" fillId="9" borderId="20" xfId="4" applyBorder="1" applyAlignment="1">
      <alignment horizontal="center" wrapText="1"/>
    </xf>
    <xf numFmtId="0" fontId="17" fillId="9" borderId="21" xfId="4" applyBorder="1" applyAlignment="1">
      <alignment horizontal="center" wrapText="1"/>
    </xf>
    <xf numFmtId="164" fontId="2" fillId="8" borderId="14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Alignment="1">
      <alignment horizontal="left"/>
    </xf>
    <xf numFmtId="0" fontId="2" fillId="0" borderId="0" xfId="0" applyFont="1"/>
  </cellXfs>
  <cellStyles count="5">
    <cellStyle name="Calculation" xfId="4" builtinId="22" customBuiltin="1"/>
    <cellStyle name="Excel Built-in Normal" xfId="1"/>
    <cellStyle name="Excel Built-in Normal 1" xfId="2"/>
    <cellStyle name="Input" xfId="3" builtinId="20"/>
    <cellStyle name="Normal" xfId="0" builtinId="0"/>
  </cellStyles>
  <dxfs count="10">
    <dxf>
      <font>
        <color theme="0" tint="-0.499984740745262"/>
      </font>
    </dxf>
    <dxf>
      <font>
        <color theme="1"/>
      </font>
    </dxf>
    <dxf>
      <font>
        <b/>
        <color theme="1"/>
      </font>
    </dxf>
    <dxf>
      <font>
        <b/>
        <color rgb="FFC00000"/>
      </font>
    </dxf>
    <dxf>
      <font>
        <b/>
        <color theme="1" tint="0.499984740745262"/>
      </font>
    </dxf>
    <dxf>
      <font>
        <color theme="0" tint="-0.499984740745262"/>
      </font>
    </dxf>
    <dxf>
      <font>
        <color theme="1"/>
      </font>
    </dxf>
    <dxf>
      <font>
        <b/>
        <color theme="1"/>
      </font>
    </dxf>
    <dxf>
      <font>
        <b/>
        <color rgb="FFC00000"/>
      </font>
    </dxf>
    <dxf>
      <font>
        <b/>
        <color theme="1" tint="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61"/>
  <sheetViews>
    <sheetView zoomScaleNormal="100" workbookViewId="0">
      <selection activeCell="C12" sqref="C12"/>
    </sheetView>
  </sheetViews>
  <sheetFormatPr defaultRowHeight="16.5" x14ac:dyDescent="0.3"/>
  <cols>
    <col min="1" max="2" width="9.140625" style="146" customWidth="1"/>
    <col min="3" max="3" width="29.85546875" style="146" customWidth="1"/>
    <col min="4" max="4" width="14.5703125" style="147" customWidth="1"/>
    <col min="5" max="5" width="9.140625" style="148" customWidth="1"/>
    <col min="6" max="6" width="18.5703125" style="143" customWidth="1"/>
    <col min="7" max="7" width="18.28515625" style="150" customWidth="1"/>
    <col min="8" max="8" width="34.28515625" style="141" customWidth="1"/>
    <col min="9" max="9" width="20.28515625" style="142" customWidth="1"/>
    <col min="10" max="10" width="9.140625" style="146" customWidth="1"/>
    <col min="11" max="11" width="12.42578125" style="146" customWidth="1"/>
    <col min="12" max="20" width="9.140625" style="146" customWidth="1"/>
    <col min="21" max="16384" width="9.140625" style="146"/>
  </cols>
  <sheetData>
    <row r="1" spans="2:11" ht="17.25" customHeight="1" thickBot="1" x14ac:dyDescent="0.35">
      <c r="B1" s="186" t="s">
        <v>100</v>
      </c>
      <c r="C1" s="186"/>
      <c r="D1" s="186"/>
      <c r="E1" s="186"/>
      <c r="F1" s="186"/>
      <c r="G1" s="186"/>
      <c r="H1" s="186"/>
      <c r="I1" s="186"/>
    </row>
    <row r="2" spans="2:11" ht="16.5" customHeight="1" x14ac:dyDescent="0.3">
      <c r="B2" s="75"/>
      <c r="C2" s="76"/>
      <c r="D2" s="77"/>
      <c r="E2" s="73"/>
      <c r="F2" s="74" t="s">
        <v>0</v>
      </c>
      <c r="G2" s="165">
        <f>G61</f>
        <v>0</v>
      </c>
      <c r="H2" s="187" t="s">
        <v>113</v>
      </c>
      <c r="I2" s="188" t="str">
        <f>IF(NOT(OR(ISBLANK(G2), ISBLANK(G3))),G2/G3,"")</f>
        <v/>
      </c>
      <c r="J2" s="81"/>
      <c r="K2" s="189" t="s">
        <v>93</v>
      </c>
    </row>
    <row r="3" spans="2:11" ht="17.25" customHeight="1" thickBot="1" x14ac:dyDescent="0.35">
      <c r="B3" s="78" t="s">
        <v>1</v>
      </c>
      <c r="C3" s="79" t="s">
        <v>94</v>
      </c>
      <c r="D3" s="80"/>
      <c r="E3" s="191" t="s">
        <v>114</v>
      </c>
      <c r="F3" s="172"/>
      <c r="G3" s="99"/>
      <c r="H3" s="175"/>
      <c r="I3" s="176"/>
      <c r="J3" s="81"/>
      <c r="K3" s="190"/>
    </row>
    <row r="4" spans="2:11" ht="16.5" customHeight="1" x14ac:dyDescent="0.3">
      <c r="B4" s="82"/>
      <c r="C4" s="83"/>
      <c r="D4" s="83"/>
      <c r="E4" s="83"/>
      <c r="F4" s="84"/>
      <c r="G4" s="100"/>
      <c r="H4" s="83"/>
      <c r="I4" s="83"/>
    </row>
    <row r="5" spans="2:11" s="140" customFormat="1" ht="33" customHeight="1" x14ac:dyDescent="0.25">
      <c r="B5" s="47" t="s">
        <v>2</v>
      </c>
      <c r="C5" s="48" t="s">
        <v>3</v>
      </c>
      <c r="D5" s="101" t="s">
        <v>4</v>
      </c>
      <c r="E5" s="48" t="s">
        <v>5</v>
      </c>
      <c r="F5" s="50" t="s">
        <v>6</v>
      </c>
      <c r="G5" s="102" t="s">
        <v>7</v>
      </c>
      <c r="H5" s="48" t="s">
        <v>8</v>
      </c>
      <c r="I5" s="49" t="s">
        <v>9</v>
      </c>
    </row>
    <row r="6" spans="2:11" s="140" customFormat="1" ht="5.0999999999999996" customHeight="1" x14ac:dyDescent="0.25">
      <c r="B6" s="45"/>
      <c r="C6" s="45"/>
      <c r="D6" s="103"/>
      <c r="E6" s="46"/>
      <c r="F6" s="51"/>
      <c r="G6" s="104"/>
      <c r="H6" s="13"/>
      <c r="I6" s="14"/>
    </row>
    <row r="7" spans="2:11" s="140" customFormat="1" ht="16.5" customHeight="1" x14ac:dyDescent="0.25">
      <c r="B7" s="185" t="s">
        <v>10</v>
      </c>
      <c r="C7" s="1" t="s">
        <v>11</v>
      </c>
      <c r="D7" s="132">
        <v>5.4399999999999997E-2</v>
      </c>
      <c r="E7" s="2" t="s">
        <v>101</v>
      </c>
      <c r="F7" s="127">
        <f>from_geodata!C8</f>
        <v>0</v>
      </c>
      <c r="G7" s="151">
        <f>F7*D7</f>
        <v>0</v>
      </c>
      <c r="H7" s="3"/>
      <c r="I7" s="4" t="s">
        <v>13</v>
      </c>
    </row>
    <row r="8" spans="2:11" s="140" customFormat="1" ht="49.5" customHeight="1" x14ac:dyDescent="0.25">
      <c r="B8" s="182"/>
      <c r="C8" s="5" t="s">
        <v>14</v>
      </c>
      <c r="D8" s="133">
        <v>23</v>
      </c>
      <c r="E8" s="6" t="s">
        <v>102</v>
      </c>
      <c r="F8" s="57" t="s">
        <v>16</v>
      </c>
      <c r="G8" s="152">
        <f>D8*MAX(terraforming_volumes!C5,terraforming_volumes!C6)</f>
        <v>0</v>
      </c>
      <c r="H8" s="7" t="s">
        <v>17</v>
      </c>
      <c r="I8" s="8" t="s">
        <v>96</v>
      </c>
    </row>
    <row r="9" spans="2:11" s="140" customFormat="1" ht="16.5" customHeight="1" x14ac:dyDescent="0.25">
      <c r="B9" s="182"/>
      <c r="C9" s="61" t="s">
        <v>18</v>
      </c>
      <c r="D9" s="134">
        <v>1200</v>
      </c>
      <c r="E9" s="62" t="s">
        <v>19</v>
      </c>
      <c r="F9" s="63"/>
      <c r="G9" s="153">
        <f>F9*D9</f>
        <v>0</v>
      </c>
      <c r="H9" s="20"/>
      <c r="I9" s="21" t="s">
        <v>20</v>
      </c>
    </row>
    <row r="10" spans="2:11" s="140" customFormat="1" ht="16.5" customHeight="1" x14ac:dyDescent="0.25">
      <c r="B10" s="181" t="s">
        <v>21</v>
      </c>
      <c r="C10" s="182"/>
      <c r="D10" s="182"/>
      <c r="E10" s="182"/>
      <c r="F10" s="182"/>
      <c r="G10" s="154">
        <f>SUM(G7:G9)</f>
        <v>0</v>
      </c>
      <c r="H10" s="43"/>
      <c r="I10" s="44"/>
    </row>
    <row r="11" spans="2:11" s="140" customFormat="1" ht="5.0999999999999996" customHeight="1" x14ac:dyDescent="0.25">
      <c r="B11" s="19"/>
      <c r="C11" s="69"/>
      <c r="D11" s="69"/>
      <c r="E11" s="69"/>
      <c r="F11" s="70"/>
      <c r="G11" s="155"/>
      <c r="H11" s="13"/>
      <c r="I11" s="14"/>
    </row>
    <row r="12" spans="2:11" s="140" customFormat="1" ht="16.5" customHeight="1" x14ac:dyDescent="0.25">
      <c r="B12" s="183" t="s">
        <v>105</v>
      </c>
      <c r="C12" s="1" t="s">
        <v>120</v>
      </c>
      <c r="D12" s="132">
        <v>80</v>
      </c>
      <c r="E12" s="2" t="s">
        <v>103</v>
      </c>
      <c r="F12" s="127">
        <f>(from_geodata!C13)/log_length</f>
        <v>0</v>
      </c>
      <c r="G12" s="151">
        <f>F12*D12</f>
        <v>0</v>
      </c>
      <c r="H12" s="3" t="s">
        <v>23</v>
      </c>
      <c r="I12" s="4" t="s">
        <v>13</v>
      </c>
    </row>
    <row r="13" spans="2:11" s="145" customFormat="1" ht="33" customHeight="1" x14ac:dyDescent="0.25">
      <c r="B13" s="167"/>
      <c r="C13" s="5" t="s">
        <v>119</v>
      </c>
      <c r="D13" s="135">
        <f>AVERAGE(600,1000, 300, 1200)</f>
        <v>775</v>
      </c>
      <c r="E13" s="6" t="s">
        <v>24</v>
      </c>
      <c r="F13" s="126">
        <f>(from_geodata!C12  + from_geodata!C13+ from_geodata!F12)/log_length^2</f>
        <v>0</v>
      </c>
      <c r="G13" s="152">
        <f>F13*D13</f>
        <v>0</v>
      </c>
      <c r="H13" s="7" t="s">
        <v>25</v>
      </c>
      <c r="I13" s="8" t="s">
        <v>26</v>
      </c>
    </row>
    <row r="14" spans="2:11" s="145" customFormat="1" ht="33" customHeight="1" x14ac:dyDescent="0.25">
      <c r="B14" s="167"/>
      <c r="C14" s="5" t="s">
        <v>27</v>
      </c>
      <c r="D14" s="135">
        <f>(1.65*15+75)/2</f>
        <v>49.875</v>
      </c>
      <c r="E14" s="6" t="s">
        <v>28</v>
      </c>
      <c r="F14" s="52"/>
      <c r="G14" s="152">
        <f>F14*D14</f>
        <v>0</v>
      </c>
      <c r="H14" s="7"/>
      <c r="I14" s="8" t="s">
        <v>98</v>
      </c>
    </row>
    <row r="15" spans="2:11" s="145" customFormat="1" ht="33" customHeight="1" x14ac:dyDescent="0.25">
      <c r="B15" s="167"/>
      <c r="C15" s="5" t="s">
        <v>29</v>
      </c>
      <c r="D15" s="135">
        <f>AVERAGE(5000,20000, 30000, 100000)</f>
        <v>38750</v>
      </c>
      <c r="E15" s="6" t="s">
        <v>19</v>
      </c>
      <c r="F15" s="52"/>
      <c r="G15" s="152">
        <f>F15*D15</f>
        <v>0</v>
      </c>
      <c r="H15" s="7"/>
      <c r="I15" s="8" t="s">
        <v>30</v>
      </c>
    </row>
    <row r="16" spans="2:11" s="145" customFormat="1" ht="33" customHeight="1" x14ac:dyDescent="0.25">
      <c r="B16" s="167"/>
      <c r="C16" s="64" t="s">
        <v>31</v>
      </c>
      <c r="D16" s="136">
        <v>150</v>
      </c>
      <c r="E16" s="65" t="s">
        <v>101</v>
      </c>
      <c r="F16" s="126">
        <f>(from_geodata!C16 + from_geodata!F15)</f>
        <v>0</v>
      </c>
      <c r="G16" s="156">
        <f>F16*D16</f>
        <v>0</v>
      </c>
      <c r="H16" s="17"/>
      <c r="I16" s="18" t="s">
        <v>33</v>
      </c>
    </row>
    <row r="17" spans="2:9" s="145" customFormat="1" ht="16.5" customHeight="1" x14ac:dyDescent="0.25">
      <c r="B17" s="181" t="s">
        <v>106</v>
      </c>
      <c r="C17" s="167"/>
      <c r="D17" s="167"/>
      <c r="E17" s="167"/>
      <c r="F17" s="167"/>
      <c r="G17" s="154">
        <f>SUM(G12:G16)</f>
        <v>0</v>
      </c>
      <c r="H17" s="39"/>
      <c r="I17" s="40"/>
    </row>
    <row r="18" spans="2:9" s="145" customFormat="1" ht="5.0999999999999996" customHeight="1" x14ac:dyDescent="0.25">
      <c r="B18" s="19"/>
      <c r="C18" s="69"/>
      <c r="D18" s="69"/>
      <c r="E18" s="69"/>
      <c r="F18" s="70"/>
      <c r="G18" s="155"/>
      <c r="H18" s="15"/>
      <c r="I18" s="16"/>
    </row>
    <row r="19" spans="2:9" s="145" customFormat="1" ht="33" customHeight="1" x14ac:dyDescent="0.25">
      <c r="B19" s="183" t="s">
        <v>34</v>
      </c>
      <c r="C19" s="5" t="s">
        <v>35</v>
      </c>
      <c r="D19" s="133">
        <f>AVERAGE(120, 300)</f>
        <v>210</v>
      </c>
      <c r="E19" s="6" t="s">
        <v>19</v>
      </c>
      <c r="F19" s="52"/>
      <c r="G19" s="152">
        <f t="shared" ref="G19:G26" si="0">F19*D19</f>
        <v>0</v>
      </c>
      <c r="H19" s="7"/>
      <c r="I19" s="8" t="s">
        <v>36</v>
      </c>
    </row>
    <row r="20" spans="2:9" x14ac:dyDescent="0.3">
      <c r="B20" s="169"/>
      <c r="C20" s="9" t="s">
        <v>37</v>
      </c>
      <c r="D20" s="137">
        <f>20*1.65</f>
        <v>33</v>
      </c>
      <c r="E20" s="10" t="s">
        <v>38</v>
      </c>
      <c r="F20" s="53"/>
      <c r="G20" s="157">
        <f t="shared" si="0"/>
        <v>0</v>
      </c>
      <c r="H20" s="11"/>
      <c r="I20" s="12" t="s">
        <v>97</v>
      </c>
    </row>
    <row r="21" spans="2:9" s="145" customFormat="1" ht="33" customHeight="1" x14ac:dyDescent="0.25">
      <c r="B21" s="167"/>
      <c r="C21" s="5" t="s">
        <v>39</v>
      </c>
      <c r="D21" s="133">
        <v>18</v>
      </c>
      <c r="E21" s="6" t="s">
        <v>101</v>
      </c>
      <c r="F21" s="52"/>
      <c r="G21" s="152">
        <f t="shared" si="0"/>
        <v>0</v>
      </c>
      <c r="H21" s="7" t="s">
        <v>40</v>
      </c>
      <c r="I21" s="8" t="s">
        <v>41</v>
      </c>
    </row>
    <row r="22" spans="2:9" s="145" customFormat="1" ht="33" customHeight="1" x14ac:dyDescent="0.25">
      <c r="B22" s="167"/>
      <c r="C22" s="5" t="s">
        <v>42</v>
      </c>
      <c r="D22" s="133">
        <v>18</v>
      </c>
      <c r="E22" s="6" t="s">
        <v>101</v>
      </c>
      <c r="F22" s="52"/>
      <c r="G22" s="152">
        <f t="shared" si="0"/>
        <v>0</v>
      </c>
      <c r="H22" s="7" t="s">
        <v>40</v>
      </c>
      <c r="I22" s="8" t="s">
        <v>41</v>
      </c>
    </row>
    <row r="23" spans="2:9" s="145" customFormat="1" ht="33" customHeight="1" x14ac:dyDescent="0.25">
      <c r="B23" s="167"/>
      <c r="C23" s="5" t="s">
        <v>43</v>
      </c>
      <c r="D23" s="133">
        <v>10</v>
      </c>
      <c r="E23" s="6" t="s">
        <v>101</v>
      </c>
      <c r="F23" s="126">
        <f>from_geodata!C5</f>
        <v>0</v>
      </c>
      <c r="G23" s="152">
        <f t="shared" si="0"/>
        <v>0</v>
      </c>
      <c r="H23" s="7" t="s">
        <v>44</v>
      </c>
      <c r="I23" s="8" t="s">
        <v>41</v>
      </c>
    </row>
    <row r="24" spans="2:9" s="145" customFormat="1" ht="33" customHeight="1" x14ac:dyDescent="0.25">
      <c r="B24" s="167"/>
      <c r="C24" s="5" t="s">
        <v>45</v>
      </c>
      <c r="D24" s="133">
        <v>10</v>
      </c>
      <c r="E24" s="6" t="s">
        <v>101</v>
      </c>
      <c r="F24" s="126">
        <f>from_geodata!C7</f>
        <v>0</v>
      </c>
      <c r="G24" s="152">
        <f t="shared" si="0"/>
        <v>0</v>
      </c>
      <c r="H24" s="7" t="s">
        <v>44</v>
      </c>
      <c r="I24" s="8" t="s">
        <v>41</v>
      </c>
    </row>
    <row r="25" spans="2:9" x14ac:dyDescent="0.3">
      <c r="B25" s="169"/>
      <c r="C25" s="22" t="s">
        <v>46</v>
      </c>
      <c r="D25" s="138">
        <v>10</v>
      </c>
      <c r="E25" s="6" t="s">
        <v>101</v>
      </c>
      <c r="F25" s="128">
        <f>from_geodata!C4</f>
        <v>0</v>
      </c>
      <c r="G25" s="157">
        <f t="shared" si="0"/>
        <v>0</v>
      </c>
      <c r="H25" s="24"/>
      <c r="I25" s="25" t="s">
        <v>47</v>
      </c>
    </row>
    <row r="26" spans="2:9" ht="16.5" customHeight="1" x14ac:dyDescent="0.3">
      <c r="B26" s="169"/>
      <c r="C26" s="67" t="s">
        <v>48</v>
      </c>
      <c r="D26" s="139">
        <v>10</v>
      </c>
      <c r="E26" s="68" t="s">
        <v>101</v>
      </c>
      <c r="F26" s="128">
        <f>from_geodata!C6</f>
        <v>0</v>
      </c>
      <c r="G26" s="158">
        <f t="shared" si="0"/>
        <v>0</v>
      </c>
      <c r="H26" s="24"/>
      <c r="I26" s="25" t="s">
        <v>47</v>
      </c>
    </row>
    <row r="27" spans="2:9" ht="16.5" customHeight="1" x14ac:dyDescent="0.3">
      <c r="B27" s="181" t="s">
        <v>49</v>
      </c>
      <c r="C27" s="169"/>
      <c r="D27" s="170"/>
      <c r="E27" s="171"/>
      <c r="F27" s="172"/>
      <c r="G27" s="154">
        <f>SUM(G19:G26)</f>
        <v>0</v>
      </c>
      <c r="H27" s="41"/>
      <c r="I27" s="42"/>
    </row>
    <row r="28" spans="2:9" ht="5.0999999999999996" customHeight="1" x14ac:dyDescent="0.3">
      <c r="B28" s="19"/>
      <c r="C28" s="69"/>
      <c r="D28" s="69"/>
      <c r="E28" s="69"/>
      <c r="F28" s="70"/>
      <c r="G28" s="155"/>
      <c r="H28" s="26"/>
      <c r="I28" s="27"/>
    </row>
    <row r="29" spans="2:9" ht="16.5" customHeight="1" x14ac:dyDescent="0.3">
      <c r="B29" s="184" t="s">
        <v>50</v>
      </c>
      <c r="C29" s="9" t="s">
        <v>51</v>
      </c>
      <c r="D29" s="137">
        <v>75</v>
      </c>
      <c r="E29" s="10" t="s">
        <v>101</v>
      </c>
      <c r="F29" s="53"/>
      <c r="G29" s="157">
        <f>F29*D29</f>
        <v>0</v>
      </c>
      <c r="H29" s="11" t="s">
        <v>52</v>
      </c>
      <c r="I29" s="12" t="s">
        <v>20</v>
      </c>
    </row>
    <row r="30" spans="2:9" x14ac:dyDescent="0.3">
      <c r="B30" s="169"/>
      <c r="C30" s="9" t="s">
        <v>53</v>
      </c>
      <c r="D30" s="137">
        <v>35</v>
      </c>
      <c r="E30" s="10" t="s">
        <v>103</v>
      </c>
      <c r="F30" s="53"/>
      <c r="G30" s="157">
        <f>F30*D30</f>
        <v>0</v>
      </c>
      <c r="H30" s="11" t="s">
        <v>54</v>
      </c>
      <c r="I30" s="12" t="s">
        <v>20</v>
      </c>
    </row>
    <row r="31" spans="2:9" x14ac:dyDescent="0.3">
      <c r="B31" s="169"/>
      <c r="C31" s="9" t="s">
        <v>55</v>
      </c>
      <c r="D31" s="137">
        <f>(2+10)/2</f>
        <v>6</v>
      </c>
      <c r="E31" s="10" t="s">
        <v>101</v>
      </c>
      <c r="F31" s="53"/>
      <c r="G31" s="157">
        <f>F31*D31</f>
        <v>0</v>
      </c>
      <c r="H31" s="11" t="s">
        <v>56</v>
      </c>
      <c r="I31" s="12" t="s">
        <v>20</v>
      </c>
    </row>
    <row r="32" spans="2:9" s="145" customFormat="1" ht="33" customHeight="1" x14ac:dyDescent="0.25">
      <c r="B32" s="167"/>
      <c r="C32" s="5" t="s">
        <v>57</v>
      </c>
      <c r="D32" s="133">
        <f>(10+20)/2</f>
        <v>15</v>
      </c>
      <c r="E32" s="6" t="s">
        <v>103</v>
      </c>
      <c r="F32" s="126">
        <f>(from_geodata!C14 + from_geodata!F13)</f>
        <v>0</v>
      </c>
      <c r="G32" s="152">
        <f>F32*2*D32</f>
        <v>0</v>
      </c>
      <c r="H32" s="7" t="s">
        <v>58</v>
      </c>
      <c r="I32" s="8" t="s">
        <v>20</v>
      </c>
    </row>
    <row r="33" spans="2:9" s="145" customFormat="1" ht="33" customHeight="1" x14ac:dyDescent="0.25">
      <c r="B33" s="167"/>
      <c r="C33" s="64" t="s">
        <v>59</v>
      </c>
      <c r="D33" s="136">
        <f>(120+160)/2</f>
        <v>140</v>
      </c>
      <c r="E33" s="65" t="s">
        <v>101</v>
      </c>
      <c r="F33" s="126">
        <f>(from_geodata!C15 + from_geodata!F14)</f>
        <v>0</v>
      </c>
      <c r="G33" s="156">
        <f>F33*D33</f>
        <v>0</v>
      </c>
      <c r="H33" s="17" t="s">
        <v>60</v>
      </c>
      <c r="I33" s="18" t="s">
        <v>20</v>
      </c>
    </row>
    <row r="34" spans="2:9" ht="16.5" customHeight="1" x14ac:dyDescent="0.3">
      <c r="B34" s="181" t="s">
        <v>61</v>
      </c>
      <c r="C34" s="169"/>
      <c r="D34" s="170"/>
      <c r="E34" s="171"/>
      <c r="F34" s="172"/>
      <c r="G34" s="154">
        <f>SUM(G29:G33)</f>
        <v>0</v>
      </c>
      <c r="H34" s="41"/>
      <c r="I34" s="42"/>
    </row>
    <row r="35" spans="2:9" ht="5.0999999999999996" customHeight="1" x14ac:dyDescent="0.3">
      <c r="B35" s="19"/>
      <c r="C35" s="69"/>
      <c r="D35" s="69"/>
      <c r="E35" s="69"/>
      <c r="F35" s="70"/>
      <c r="G35" s="155"/>
      <c r="H35" s="26"/>
      <c r="I35" s="27"/>
    </row>
    <row r="36" spans="2:9" s="145" customFormat="1" ht="16.5" customHeight="1" x14ac:dyDescent="0.3">
      <c r="B36" s="183" t="s">
        <v>62</v>
      </c>
      <c r="C36" s="5" t="s">
        <v>63</v>
      </c>
      <c r="D36" s="133">
        <v>0.93</v>
      </c>
      <c r="E36" s="10" t="s">
        <v>101</v>
      </c>
      <c r="F36" s="52"/>
      <c r="G36" s="152">
        <f>F36*D36</f>
        <v>0</v>
      </c>
      <c r="H36" s="7"/>
      <c r="I36" s="8" t="s">
        <v>64</v>
      </c>
    </row>
    <row r="37" spans="2:9" s="145" customFormat="1" ht="16.5" customHeight="1" x14ac:dyDescent="0.25">
      <c r="B37" s="167"/>
      <c r="C37" s="64" t="s">
        <v>65</v>
      </c>
      <c r="D37" s="136">
        <f>AVERAGE(1000, 2000)</f>
        <v>1500</v>
      </c>
      <c r="E37" s="65" t="s">
        <v>103</v>
      </c>
      <c r="F37" s="66"/>
      <c r="G37" s="156">
        <f>F37*D37</f>
        <v>0</v>
      </c>
      <c r="H37" s="17"/>
      <c r="I37" s="18" t="s">
        <v>47</v>
      </c>
    </row>
    <row r="38" spans="2:9" s="145" customFormat="1" ht="16.5" customHeight="1" x14ac:dyDescent="0.25">
      <c r="B38" s="181" t="s">
        <v>66</v>
      </c>
      <c r="C38" s="167"/>
      <c r="D38" s="167"/>
      <c r="E38" s="167"/>
      <c r="F38" s="167"/>
      <c r="G38" s="154">
        <f>SUM(G36:G37)</f>
        <v>0</v>
      </c>
      <c r="H38" s="39"/>
      <c r="I38" s="40"/>
    </row>
    <row r="39" spans="2:9" s="145" customFormat="1" ht="5.0999999999999996" customHeight="1" x14ac:dyDescent="0.25">
      <c r="B39" s="19"/>
      <c r="C39" s="69"/>
      <c r="D39" s="69"/>
      <c r="E39" s="69"/>
      <c r="F39" s="70"/>
      <c r="G39" s="155"/>
      <c r="H39" s="15"/>
      <c r="I39" s="16"/>
    </row>
    <row r="40" spans="2:9" s="145" customFormat="1" ht="16.5" customHeight="1" x14ac:dyDescent="0.3">
      <c r="B40" s="183" t="s">
        <v>67</v>
      </c>
      <c r="C40" s="5" t="s">
        <v>68</v>
      </c>
      <c r="D40" s="133">
        <v>200</v>
      </c>
      <c r="E40" s="6" t="s">
        <v>102</v>
      </c>
      <c r="F40" s="52"/>
      <c r="G40" s="152">
        <f t="shared" ref="G40:G47" si="1">F40*D40</f>
        <v>0</v>
      </c>
      <c r="H40" s="7"/>
      <c r="I40" s="12" t="s">
        <v>13</v>
      </c>
    </row>
    <row r="41" spans="2:9" s="145" customFormat="1" ht="16.5" customHeight="1" x14ac:dyDescent="0.3">
      <c r="B41" s="167"/>
      <c r="C41" s="5" t="s">
        <v>69</v>
      </c>
      <c r="D41" s="133">
        <v>1500</v>
      </c>
      <c r="E41" s="6" t="s">
        <v>104</v>
      </c>
      <c r="F41" s="52"/>
      <c r="G41" s="152">
        <f t="shared" si="1"/>
        <v>0</v>
      </c>
      <c r="H41" s="7"/>
      <c r="I41" s="12" t="s">
        <v>13</v>
      </c>
    </row>
    <row r="42" spans="2:9" x14ac:dyDescent="0.3">
      <c r="B42" s="169"/>
      <c r="C42" s="9" t="s">
        <v>71</v>
      </c>
      <c r="D42" s="137">
        <v>100</v>
      </c>
      <c r="E42" s="10" t="s">
        <v>103</v>
      </c>
      <c r="F42" s="53"/>
      <c r="G42" s="157">
        <f t="shared" si="1"/>
        <v>0</v>
      </c>
      <c r="H42" s="11" t="s">
        <v>72</v>
      </c>
      <c r="I42" s="12" t="s">
        <v>13</v>
      </c>
    </row>
    <row r="43" spans="2:9" x14ac:dyDescent="0.3">
      <c r="B43" s="169"/>
      <c r="C43" s="9" t="s">
        <v>73</v>
      </c>
      <c r="D43" s="137">
        <v>140</v>
      </c>
      <c r="E43" s="10" t="s">
        <v>103</v>
      </c>
      <c r="F43" s="53"/>
      <c r="G43" s="157">
        <f t="shared" si="1"/>
        <v>0</v>
      </c>
      <c r="H43" s="11"/>
      <c r="I43" s="12" t="s">
        <v>13</v>
      </c>
    </row>
    <row r="44" spans="2:9" x14ac:dyDescent="0.3">
      <c r="B44" s="169"/>
      <c r="C44" s="9" t="s">
        <v>74</v>
      </c>
      <c r="D44" s="137">
        <v>275</v>
      </c>
      <c r="E44" s="10" t="s">
        <v>103</v>
      </c>
      <c r="F44" s="53"/>
      <c r="G44" s="157">
        <f t="shared" si="1"/>
        <v>0</v>
      </c>
      <c r="H44" s="11"/>
      <c r="I44" s="12" t="s">
        <v>13</v>
      </c>
    </row>
    <row r="45" spans="2:9" x14ac:dyDescent="0.3">
      <c r="B45" s="169"/>
      <c r="C45" s="9" t="s">
        <v>75</v>
      </c>
      <c r="D45" s="137">
        <v>850</v>
      </c>
      <c r="E45" s="10" t="s">
        <v>101</v>
      </c>
      <c r="F45" s="53"/>
      <c r="G45" s="157">
        <f t="shared" si="1"/>
        <v>0</v>
      </c>
      <c r="H45" s="11"/>
      <c r="I45" s="12" t="s">
        <v>13</v>
      </c>
    </row>
    <row r="46" spans="2:9" x14ac:dyDescent="0.3">
      <c r="B46" s="169"/>
      <c r="C46" s="9" t="s">
        <v>76</v>
      </c>
      <c r="D46" s="137">
        <v>1250</v>
      </c>
      <c r="E46" s="10" t="s">
        <v>101</v>
      </c>
      <c r="F46" s="53"/>
      <c r="G46" s="157">
        <f t="shared" si="1"/>
        <v>0</v>
      </c>
      <c r="H46" s="11"/>
      <c r="I46" s="12" t="s">
        <v>13</v>
      </c>
    </row>
    <row r="47" spans="2:9" s="145" customFormat="1" ht="33" customHeight="1" x14ac:dyDescent="0.25">
      <c r="B47" s="167"/>
      <c r="C47" s="64" t="s">
        <v>95</v>
      </c>
      <c r="D47" s="136">
        <f>AVERAGE(3.29, 4.21, 5.65, 2.57, 2.77)*0.91^2</f>
        <v>3.0623138000000005</v>
      </c>
      <c r="E47" s="65" t="s">
        <v>101</v>
      </c>
      <c r="F47" s="66"/>
      <c r="G47" s="156">
        <f t="shared" si="1"/>
        <v>0</v>
      </c>
      <c r="H47" s="17"/>
      <c r="I47" s="18" t="s">
        <v>77</v>
      </c>
    </row>
    <row r="48" spans="2:9" s="145" customFormat="1" ht="16.5" customHeight="1" x14ac:dyDescent="0.25">
      <c r="B48" s="181" t="s">
        <v>78</v>
      </c>
      <c r="C48" s="167"/>
      <c r="D48" s="167"/>
      <c r="E48" s="167"/>
      <c r="F48" s="167"/>
      <c r="G48" s="154">
        <f>SUM(G40:G47)</f>
        <v>0</v>
      </c>
      <c r="H48" s="39"/>
      <c r="I48" s="40"/>
    </row>
    <row r="49" spans="2:9" s="145" customFormat="1" ht="16.5" customHeight="1" x14ac:dyDescent="0.25">
      <c r="B49" s="144"/>
      <c r="C49" s="71"/>
      <c r="D49" s="71"/>
      <c r="E49" s="71"/>
      <c r="F49" s="72"/>
      <c r="G49" s="159"/>
      <c r="H49" s="37"/>
      <c r="I49" s="38"/>
    </row>
    <row r="50" spans="2:9" s="145" customFormat="1" ht="16.5" customHeight="1" x14ac:dyDescent="0.25">
      <c r="B50" s="180" t="s">
        <v>79</v>
      </c>
      <c r="C50" s="167"/>
      <c r="D50" s="167"/>
      <c r="E50" s="167"/>
      <c r="F50" s="167"/>
      <c r="G50" s="160">
        <f>SUM(G48,G38,G34,G27,G17,G10)</f>
        <v>0</v>
      </c>
      <c r="H50" s="37"/>
      <c r="I50" s="38"/>
    </row>
    <row r="52" spans="2:9" ht="16.5" customHeight="1" x14ac:dyDescent="0.3">
      <c r="B52" s="173" t="s">
        <v>80</v>
      </c>
      <c r="C52" s="169"/>
      <c r="D52" s="170"/>
      <c r="E52" s="171"/>
      <c r="F52" s="172"/>
      <c r="G52" s="174"/>
      <c r="H52" s="175"/>
      <c r="I52" s="176"/>
    </row>
    <row r="53" spans="2:9" ht="5.0999999999999996" customHeight="1" x14ac:dyDescent="0.3">
      <c r="B53" s="32"/>
      <c r="C53" s="32"/>
      <c r="D53" s="32"/>
      <c r="E53" s="32"/>
      <c r="F53" s="54"/>
      <c r="G53" s="32"/>
      <c r="H53" s="32"/>
      <c r="I53" s="32"/>
    </row>
    <row r="54" spans="2:9" x14ac:dyDescent="0.3">
      <c r="B54" s="177" t="s">
        <v>81</v>
      </c>
      <c r="C54" s="169"/>
      <c r="D54" s="31"/>
      <c r="E54" s="28"/>
      <c r="F54" s="55"/>
      <c r="G54" s="123"/>
      <c r="H54" s="29"/>
      <c r="I54" s="30"/>
    </row>
    <row r="55" spans="2:9" x14ac:dyDescent="0.3">
      <c r="B55" s="178" t="s">
        <v>82</v>
      </c>
      <c r="C55" s="169"/>
      <c r="D55" s="34">
        <v>0.1</v>
      </c>
      <c r="E55" s="33" t="s">
        <v>83</v>
      </c>
      <c r="F55" s="143">
        <v>1</v>
      </c>
      <c r="G55" s="161">
        <f>G50*D55</f>
        <v>0</v>
      </c>
      <c r="I55" s="129" t="s">
        <v>13</v>
      </c>
    </row>
    <row r="56" spans="2:9" x14ac:dyDescent="0.3">
      <c r="B56" s="178" t="s">
        <v>84</v>
      </c>
      <c r="C56" s="169"/>
      <c r="D56" s="35">
        <v>0.1</v>
      </c>
      <c r="E56" s="33" t="s">
        <v>83</v>
      </c>
      <c r="F56" s="143">
        <v>1</v>
      </c>
      <c r="G56" s="161">
        <f>G50*D56</f>
        <v>0</v>
      </c>
      <c r="I56" s="129" t="s">
        <v>13</v>
      </c>
    </row>
    <row r="57" spans="2:9" x14ac:dyDescent="0.3">
      <c r="B57" s="177" t="s">
        <v>108</v>
      </c>
      <c r="C57" s="169"/>
      <c r="D57" s="36"/>
      <c r="E57" s="28"/>
      <c r="F57" s="55"/>
      <c r="G57" s="162"/>
      <c r="H57" s="29"/>
      <c r="I57" s="30"/>
    </row>
    <row r="58" spans="2:9" s="145" customFormat="1" ht="48.95" customHeight="1" x14ac:dyDescent="0.25">
      <c r="B58" s="179" t="s">
        <v>111</v>
      </c>
      <c r="C58" s="167"/>
      <c r="D58" s="131">
        <v>0.16500000000000001</v>
      </c>
      <c r="E58" s="59" t="s">
        <v>83</v>
      </c>
      <c r="F58" s="60">
        <v>1</v>
      </c>
      <c r="G58" s="163">
        <f>G50*D58</f>
        <v>0</v>
      </c>
      <c r="H58" s="37"/>
      <c r="I58" s="38" t="s">
        <v>110</v>
      </c>
    </row>
    <row r="59" spans="2:9" s="145" customFormat="1" ht="16.5" customHeight="1" x14ac:dyDescent="0.25">
      <c r="B59" s="166" t="s">
        <v>109</v>
      </c>
      <c r="C59" s="167"/>
      <c r="D59" s="58">
        <v>0.35</v>
      </c>
      <c r="E59" s="59" t="s">
        <v>83</v>
      </c>
      <c r="F59" s="60">
        <v>1</v>
      </c>
      <c r="G59" s="163">
        <f>G50*D59</f>
        <v>0</v>
      </c>
      <c r="H59" s="37"/>
      <c r="I59" s="38"/>
    </row>
    <row r="60" spans="2:9" x14ac:dyDescent="0.3">
      <c r="G60" s="161"/>
    </row>
    <row r="61" spans="2:9" x14ac:dyDescent="0.3">
      <c r="B61" s="168" t="s">
        <v>85</v>
      </c>
      <c r="C61" s="169"/>
      <c r="D61" s="170"/>
      <c r="E61" s="171"/>
      <c r="F61" s="172"/>
      <c r="G61" s="164">
        <f>G58+G56+G55+G50+G59</f>
        <v>0</v>
      </c>
      <c r="H61" s="149"/>
      <c r="I61" s="149"/>
    </row>
  </sheetData>
  <mergeCells count="26">
    <mergeCell ref="B7:B9"/>
    <mergeCell ref="B1:I1"/>
    <mergeCell ref="H2:H3"/>
    <mergeCell ref="I2:I3"/>
    <mergeCell ref="K2:K3"/>
    <mergeCell ref="E3:F3"/>
    <mergeCell ref="B50:F50"/>
    <mergeCell ref="B10:F10"/>
    <mergeCell ref="B12:B16"/>
    <mergeCell ref="B17:F17"/>
    <mergeCell ref="B19:B26"/>
    <mergeCell ref="B27:F27"/>
    <mergeCell ref="B29:B33"/>
    <mergeCell ref="B34:F34"/>
    <mergeCell ref="B36:B37"/>
    <mergeCell ref="B38:F38"/>
    <mergeCell ref="B40:B47"/>
    <mergeCell ref="B48:F48"/>
    <mergeCell ref="B59:C59"/>
    <mergeCell ref="B61:F61"/>
    <mergeCell ref="B52:I52"/>
    <mergeCell ref="B54:C54"/>
    <mergeCell ref="B55:C55"/>
    <mergeCell ref="B56:C56"/>
    <mergeCell ref="B57:C57"/>
    <mergeCell ref="B58:C58"/>
  </mergeCells>
  <conditionalFormatting sqref="B10:F11 B17:F18 B27:F28 B34:F35 B38:F39 B48:F49">
    <cfRule type="expression" dxfId="9" priority="5">
      <formula>G10=0</formula>
    </cfRule>
  </conditionalFormatting>
  <conditionalFormatting sqref="G7:G51">
    <cfRule type="cellIs" dxfId="8" priority="1" operator="greaterThan">
      <formula>1000000</formula>
    </cfRule>
    <cfRule type="cellIs" dxfId="7" priority="2" operator="between">
      <formula>100000</formula>
      <formula>1000000</formula>
    </cfRule>
    <cfRule type="cellIs" dxfId="6" priority="3" operator="between">
      <formula>1</formula>
      <formula>100000</formula>
    </cfRule>
    <cfRule type="cellIs" dxfId="5" priority="4" operator="lessThanOr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61"/>
  <sheetViews>
    <sheetView tabSelected="1" zoomScaleNormal="100" workbookViewId="0">
      <selection activeCell="M15" sqref="M15"/>
    </sheetView>
  </sheetViews>
  <sheetFormatPr defaultRowHeight="16.5" x14ac:dyDescent="0.3"/>
  <cols>
    <col min="1" max="2" width="9.140625" style="88" customWidth="1"/>
    <col min="3" max="3" width="29.85546875" style="88" customWidth="1"/>
    <col min="4" max="4" width="10.7109375" style="96" bestFit="1" customWidth="1"/>
    <col min="5" max="5" width="9.140625" style="89" customWidth="1"/>
    <col min="6" max="6" width="18.5703125" style="85" customWidth="1"/>
    <col min="7" max="7" width="18.28515625" style="97" customWidth="1"/>
    <col min="8" max="8" width="34.28515625" style="86" customWidth="1"/>
    <col min="9" max="9" width="20.28515625" style="87" customWidth="1"/>
    <col min="10" max="10" width="9.140625" style="88" customWidth="1"/>
    <col min="11" max="11" width="12.42578125" style="88" customWidth="1"/>
    <col min="12" max="20" width="9.140625" style="88" customWidth="1"/>
    <col min="21" max="16384" width="9.140625" style="88"/>
  </cols>
  <sheetData>
    <row r="1" spans="2:11" ht="17.25" customHeight="1" thickBot="1" x14ac:dyDescent="0.35">
      <c r="B1" s="186" t="s">
        <v>99</v>
      </c>
      <c r="C1" s="186"/>
      <c r="D1" s="186"/>
      <c r="E1" s="186"/>
      <c r="F1" s="186"/>
      <c r="G1" s="186"/>
      <c r="H1" s="186"/>
      <c r="I1" s="186"/>
    </row>
    <row r="2" spans="2:11" ht="16.5" customHeight="1" x14ac:dyDescent="0.3">
      <c r="B2" s="75"/>
      <c r="C2" s="76"/>
      <c r="D2" s="77"/>
      <c r="E2" s="73"/>
      <c r="F2" s="74" t="s">
        <v>0</v>
      </c>
      <c r="G2" s="98">
        <f>G61</f>
        <v>0</v>
      </c>
      <c r="H2" s="187" t="s">
        <v>112</v>
      </c>
      <c r="I2" s="188" t="str">
        <f>IF(NOT(OR(ISBLANK(G2), ISBLANK(G3))),G2/G3,"")</f>
        <v/>
      </c>
      <c r="J2" s="81"/>
      <c r="K2" s="189" t="s">
        <v>93</v>
      </c>
    </row>
    <row r="3" spans="2:11" ht="17.25" customHeight="1" thickBot="1" x14ac:dyDescent="0.35">
      <c r="B3" s="78" t="s">
        <v>1</v>
      </c>
      <c r="C3" s="79" t="s">
        <v>94</v>
      </c>
      <c r="D3" s="80"/>
      <c r="E3" s="191" t="s">
        <v>115</v>
      </c>
      <c r="F3" s="172"/>
      <c r="G3" s="99"/>
      <c r="H3" s="175"/>
      <c r="I3" s="176"/>
      <c r="J3" s="81"/>
      <c r="K3" s="190"/>
    </row>
    <row r="4" spans="2:11" ht="16.5" customHeight="1" x14ac:dyDescent="0.3">
      <c r="B4" s="82"/>
      <c r="C4" s="83"/>
      <c r="D4" s="83"/>
      <c r="E4" s="83"/>
      <c r="F4" s="84"/>
      <c r="G4" s="100"/>
      <c r="H4" s="83"/>
      <c r="I4" s="83"/>
    </row>
    <row r="5" spans="2:11" s="91" customFormat="1" ht="33" customHeight="1" x14ac:dyDescent="0.25">
      <c r="B5" s="47" t="s">
        <v>2</v>
      </c>
      <c r="C5" s="48" t="s">
        <v>3</v>
      </c>
      <c r="D5" s="101" t="s">
        <v>4</v>
      </c>
      <c r="E5" s="48" t="s">
        <v>5</v>
      </c>
      <c r="F5" s="50" t="s">
        <v>6</v>
      </c>
      <c r="G5" s="102" t="s">
        <v>7</v>
      </c>
      <c r="H5" s="48" t="s">
        <v>8</v>
      </c>
      <c r="I5" s="49" t="s">
        <v>9</v>
      </c>
    </row>
    <row r="6" spans="2:11" s="91" customFormat="1" ht="5.0999999999999996" customHeight="1" x14ac:dyDescent="0.25">
      <c r="B6" s="45"/>
      <c r="C6" s="45"/>
      <c r="D6" s="103"/>
      <c r="E6" s="46"/>
      <c r="F6" s="51"/>
      <c r="G6" s="104"/>
      <c r="H6" s="13"/>
      <c r="I6" s="14"/>
    </row>
    <row r="7" spans="2:11" s="91" customFormat="1" ht="16.5" customHeight="1" x14ac:dyDescent="0.25">
      <c r="B7" s="185" t="s">
        <v>10</v>
      </c>
      <c r="C7" s="1" t="s">
        <v>11</v>
      </c>
      <c r="D7" s="105">
        <v>220</v>
      </c>
      <c r="E7" s="2" t="s">
        <v>12</v>
      </c>
      <c r="F7" s="127">
        <f>from_geodata!C8</f>
        <v>0</v>
      </c>
      <c r="G7" s="106">
        <f>F7*D7</f>
        <v>0</v>
      </c>
      <c r="H7" s="3"/>
      <c r="I7" s="4" t="s">
        <v>13</v>
      </c>
    </row>
    <row r="8" spans="2:11" s="91" customFormat="1" ht="49.5" customHeight="1" x14ac:dyDescent="0.25">
      <c r="B8" s="182"/>
      <c r="C8" s="5" t="s">
        <v>14</v>
      </c>
      <c r="D8" s="107">
        <v>23</v>
      </c>
      <c r="E8" s="6" t="s">
        <v>15</v>
      </c>
      <c r="F8" s="57" t="s">
        <v>16</v>
      </c>
      <c r="G8" s="108">
        <f>D8*MAX(terraforming_volumes!C5,terraforming_volumes!C6)</f>
        <v>0</v>
      </c>
      <c r="H8" s="7" t="s">
        <v>17</v>
      </c>
      <c r="I8" s="8" t="s">
        <v>96</v>
      </c>
    </row>
    <row r="9" spans="2:11" s="91" customFormat="1" ht="16.5" customHeight="1" x14ac:dyDescent="0.25">
      <c r="B9" s="182"/>
      <c r="C9" s="61" t="s">
        <v>18</v>
      </c>
      <c r="D9" s="109">
        <v>1200</v>
      </c>
      <c r="E9" s="62" t="s">
        <v>19</v>
      </c>
      <c r="F9" s="63"/>
      <c r="G9" s="110">
        <f>F9*D9</f>
        <v>0</v>
      </c>
      <c r="H9" s="20"/>
      <c r="I9" s="21" t="s">
        <v>20</v>
      </c>
    </row>
    <row r="10" spans="2:11" s="91" customFormat="1" ht="16.5" customHeight="1" x14ac:dyDescent="0.25">
      <c r="B10" s="181" t="s">
        <v>21</v>
      </c>
      <c r="C10" s="182"/>
      <c r="D10" s="182"/>
      <c r="E10" s="182"/>
      <c r="F10" s="182"/>
      <c r="G10" s="111">
        <f>SUM(G7:G9)</f>
        <v>0</v>
      </c>
      <c r="H10" s="43"/>
      <c r="I10" s="44"/>
    </row>
    <row r="11" spans="2:11" s="91" customFormat="1" ht="5.0999999999999996" customHeight="1" x14ac:dyDescent="0.25">
      <c r="B11" s="19"/>
      <c r="C11" s="69"/>
      <c r="D11" s="69"/>
      <c r="E11" s="69"/>
      <c r="F11" s="70"/>
      <c r="G11" s="112"/>
      <c r="H11" s="13"/>
      <c r="I11" s="14"/>
    </row>
    <row r="12" spans="2:11" s="91" customFormat="1" ht="16.5" customHeight="1" x14ac:dyDescent="0.25">
      <c r="B12" s="183" t="s">
        <v>105</v>
      </c>
      <c r="C12" s="1" t="s">
        <v>120</v>
      </c>
      <c r="D12" s="105">
        <v>80</v>
      </c>
      <c r="E12" s="2" t="s">
        <v>22</v>
      </c>
      <c r="F12" s="127">
        <f>(from_geodata!C13)/square_yd2acre/ft2yd^2/log_length^2*log_length*ft2yd</f>
        <v>0</v>
      </c>
      <c r="G12" s="106">
        <f>F12*D12</f>
        <v>0</v>
      </c>
      <c r="H12" s="3" t="s">
        <v>23</v>
      </c>
      <c r="I12" s="4" t="s">
        <v>13</v>
      </c>
    </row>
    <row r="13" spans="2:11" s="90" customFormat="1" ht="33" customHeight="1" x14ac:dyDescent="0.25">
      <c r="B13" s="167"/>
      <c r="C13" s="5" t="s">
        <v>119</v>
      </c>
      <c r="D13" s="113">
        <f>AVERAGE(600,1000, 300, 1200)</f>
        <v>775</v>
      </c>
      <c r="E13" s="6" t="s">
        <v>24</v>
      </c>
      <c r="F13" s="126">
        <f>(from_geodata!C12  + from_geodata!C13+ from_geodata!F12)/square_yd2acre/ft2yd^2/log_length^2</f>
        <v>0</v>
      </c>
      <c r="G13" s="108">
        <f>F13*D13</f>
        <v>0</v>
      </c>
      <c r="H13" s="7" t="s">
        <v>25</v>
      </c>
      <c r="I13" s="8" t="s">
        <v>26</v>
      </c>
    </row>
    <row r="14" spans="2:11" s="90" customFormat="1" ht="33" customHeight="1" x14ac:dyDescent="0.25">
      <c r="B14" s="167"/>
      <c r="C14" s="5" t="s">
        <v>27</v>
      </c>
      <c r="D14" s="113">
        <f>(1.65*15+75)/2</f>
        <v>49.875</v>
      </c>
      <c r="E14" s="6" t="s">
        <v>28</v>
      </c>
      <c r="F14" s="52"/>
      <c r="G14" s="108">
        <f>F14*D14</f>
        <v>0</v>
      </c>
      <c r="H14" s="7"/>
      <c r="I14" s="8" t="s">
        <v>98</v>
      </c>
    </row>
    <row r="15" spans="2:11" s="90" customFormat="1" ht="33" customHeight="1" x14ac:dyDescent="0.25">
      <c r="B15" s="167"/>
      <c r="C15" s="5" t="s">
        <v>29</v>
      </c>
      <c r="D15" s="113">
        <f>AVERAGE(5000,20000, 30000, 100000)</f>
        <v>38750</v>
      </c>
      <c r="E15" s="6" t="s">
        <v>19</v>
      </c>
      <c r="F15" s="52"/>
      <c r="G15" s="108">
        <f>F15*D15</f>
        <v>0</v>
      </c>
      <c r="H15" s="7"/>
      <c r="I15" s="8" t="s">
        <v>30</v>
      </c>
    </row>
    <row r="16" spans="2:11" s="90" customFormat="1" ht="33" customHeight="1" x14ac:dyDescent="0.25">
      <c r="B16" s="167"/>
      <c r="C16" s="64" t="s">
        <v>31</v>
      </c>
      <c r="D16" s="114">
        <v>150</v>
      </c>
      <c r="E16" s="65" t="s">
        <v>32</v>
      </c>
      <c r="F16" s="126">
        <f>(from_geodata!C16 + from_geodata!F15)/ square_yd2acre</f>
        <v>0</v>
      </c>
      <c r="G16" s="115">
        <f>F16*D16</f>
        <v>0</v>
      </c>
      <c r="H16" s="17"/>
      <c r="I16" s="18" t="s">
        <v>33</v>
      </c>
    </row>
    <row r="17" spans="2:9" s="90" customFormat="1" ht="16.5" customHeight="1" x14ac:dyDescent="0.25">
      <c r="B17" s="181" t="s">
        <v>106</v>
      </c>
      <c r="C17" s="167"/>
      <c r="D17" s="167"/>
      <c r="E17" s="167"/>
      <c r="F17" s="167"/>
      <c r="G17" s="111">
        <f>SUM(G12:G16)</f>
        <v>0</v>
      </c>
      <c r="H17" s="39"/>
      <c r="I17" s="40"/>
    </row>
    <row r="18" spans="2:9" s="90" customFormat="1" ht="5.0999999999999996" customHeight="1" x14ac:dyDescent="0.25">
      <c r="B18" s="19"/>
      <c r="C18" s="69"/>
      <c r="D18" s="69"/>
      <c r="E18" s="69"/>
      <c r="F18" s="70"/>
      <c r="G18" s="112"/>
      <c r="H18" s="15"/>
      <c r="I18" s="16"/>
    </row>
    <row r="19" spans="2:9" s="90" customFormat="1" ht="33" customHeight="1" x14ac:dyDescent="0.25">
      <c r="B19" s="183" t="s">
        <v>34</v>
      </c>
      <c r="C19" s="5" t="s">
        <v>35</v>
      </c>
      <c r="D19" s="107">
        <f>AVERAGE(120, 300)</f>
        <v>210</v>
      </c>
      <c r="E19" s="6" t="s">
        <v>19</v>
      </c>
      <c r="F19" s="52"/>
      <c r="G19" s="108">
        <f t="shared" ref="G19:G26" si="0">F19*D19</f>
        <v>0</v>
      </c>
      <c r="H19" s="7"/>
      <c r="I19" s="8" t="s">
        <v>36</v>
      </c>
    </row>
    <row r="20" spans="2:9" x14ac:dyDescent="0.3">
      <c r="B20" s="169"/>
      <c r="C20" s="9" t="s">
        <v>37</v>
      </c>
      <c r="D20" s="116">
        <f>20*1.65</f>
        <v>33</v>
      </c>
      <c r="E20" s="10" t="s">
        <v>38</v>
      </c>
      <c r="F20" s="53"/>
      <c r="G20" s="117">
        <f t="shared" si="0"/>
        <v>0</v>
      </c>
      <c r="H20" s="11"/>
      <c r="I20" s="12" t="s">
        <v>97</v>
      </c>
    </row>
    <row r="21" spans="2:9" s="90" customFormat="1" ht="33" customHeight="1" x14ac:dyDescent="0.25">
      <c r="B21" s="167"/>
      <c r="C21" s="5" t="s">
        <v>39</v>
      </c>
      <c r="D21" s="107">
        <f>AVERAGE(73059, 71836)</f>
        <v>72447.5</v>
      </c>
      <c r="E21" s="6" t="s">
        <v>12</v>
      </c>
      <c r="F21" s="52"/>
      <c r="G21" s="108">
        <f t="shared" si="0"/>
        <v>0</v>
      </c>
      <c r="H21" s="7" t="s">
        <v>40</v>
      </c>
      <c r="I21" s="8" t="s">
        <v>41</v>
      </c>
    </row>
    <row r="22" spans="2:9" s="90" customFormat="1" ht="33" customHeight="1" x14ac:dyDescent="0.25">
      <c r="B22" s="167"/>
      <c r="C22" s="5" t="s">
        <v>42</v>
      </c>
      <c r="D22" s="107">
        <f>AVERAGE(73059, 71836)</f>
        <v>72447.5</v>
      </c>
      <c r="E22" s="6" t="s">
        <v>12</v>
      </c>
      <c r="F22" s="52"/>
      <c r="G22" s="108">
        <f t="shared" si="0"/>
        <v>0</v>
      </c>
      <c r="H22" s="7" t="s">
        <v>40</v>
      </c>
      <c r="I22" s="8" t="s">
        <v>41</v>
      </c>
    </row>
    <row r="23" spans="2:9" s="90" customFormat="1" ht="33" customHeight="1" x14ac:dyDescent="0.25">
      <c r="B23" s="167"/>
      <c r="C23" s="5" t="s">
        <v>43</v>
      </c>
      <c r="D23" s="107">
        <v>40598</v>
      </c>
      <c r="E23" s="6" t="s">
        <v>12</v>
      </c>
      <c r="F23" s="126">
        <f>from_geodata!C5</f>
        <v>0</v>
      </c>
      <c r="G23" s="108">
        <f t="shared" si="0"/>
        <v>0</v>
      </c>
      <c r="H23" s="7" t="s">
        <v>44</v>
      </c>
      <c r="I23" s="8" t="s">
        <v>41</v>
      </c>
    </row>
    <row r="24" spans="2:9" s="90" customFormat="1" ht="33" customHeight="1" x14ac:dyDescent="0.25">
      <c r="B24" s="167"/>
      <c r="C24" s="5" t="s">
        <v>45</v>
      </c>
      <c r="D24" s="107">
        <v>40598</v>
      </c>
      <c r="E24" s="6" t="s">
        <v>12</v>
      </c>
      <c r="F24" s="126">
        <f>from_geodata!C7</f>
        <v>0</v>
      </c>
      <c r="G24" s="108">
        <f t="shared" si="0"/>
        <v>0</v>
      </c>
      <c r="H24" s="7" t="s">
        <v>44</v>
      </c>
      <c r="I24" s="8" t="s">
        <v>41</v>
      </c>
    </row>
    <row r="25" spans="2:9" x14ac:dyDescent="0.3">
      <c r="B25" s="169"/>
      <c r="C25" s="22" t="s">
        <v>46</v>
      </c>
      <c r="D25" s="118">
        <f>AVERAGE(35000,45000)</f>
        <v>40000</v>
      </c>
      <c r="E25" s="23" t="s">
        <v>12</v>
      </c>
      <c r="F25" s="128">
        <f>from_geodata!C4</f>
        <v>0</v>
      </c>
      <c r="G25" s="117">
        <f t="shared" si="0"/>
        <v>0</v>
      </c>
      <c r="H25" s="24"/>
      <c r="I25" s="25" t="s">
        <v>47</v>
      </c>
    </row>
    <row r="26" spans="2:9" ht="16.5" customHeight="1" x14ac:dyDescent="0.3">
      <c r="B26" s="169"/>
      <c r="C26" s="67" t="s">
        <v>48</v>
      </c>
      <c r="D26" s="119">
        <f>AVERAGE(35000,45000)</f>
        <v>40000</v>
      </c>
      <c r="E26" s="68" t="s">
        <v>12</v>
      </c>
      <c r="F26" s="128">
        <f>from_geodata!C6</f>
        <v>0</v>
      </c>
      <c r="G26" s="120">
        <f t="shared" si="0"/>
        <v>0</v>
      </c>
      <c r="H26" s="24"/>
      <c r="I26" s="25" t="s">
        <v>47</v>
      </c>
    </row>
    <row r="27" spans="2:9" ht="16.5" customHeight="1" x14ac:dyDescent="0.3">
      <c r="B27" s="181" t="s">
        <v>49</v>
      </c>
      <c r="C27" s="169"/>
      <c r="D27" s="170"/>
      <c r="E27" s="171"/>
      <c r="F27" s="172"/>
      <c r="G27" s="111">
        <f>SUM(G19:G26)</f>
        <v>0</v>
      </c>
      <c r="H27" s="41"/>
      <c r="I27" s="42"/>
    </row>
    <row r="28" spans="2:9" ht="5.0999999999999996" customHeight="1" x14ac:dyDescent="0.3">
      <c r="B28" s="19"/>
      <c r="C28" s="69"/>
      <c r="D28" s="69"/>
      <c r="E28" s="69"/>
      <c r="F28" s="70"/>
      <c r="G28" s="112"/>
      <c r="H28" s="26"/>
      <c r="I28" s="27"/>
    </row>
    <row r="29" spans="2:9" ht="16.5" customHeight="1" x14ac:dyDescent="0.3">
      <c r="B29" s="184" t="s">
        <v>50</v>
      </c>
      <c r="C29" s="9" t="s">
        <v>51</v>
      </c>
      <c r="D29" s="116">
        <f>(60+100)/2</f>
        <v>80</v>
      </c>
      <c r="E29" s="10" t="s">
        <v>32</v>
      </c>
      <c r="F29" s="53"/>
      <c r="G29" s="117">
        <f>F29*D29</f>
        <v>0</v>
      </c>
      <c r="H29" s="11" t="s">
        <v>52</v>
      </c>
      <c r="I29" s="12" t="s">
        <v>20</v>
      </c>
    </row>
    <row r="30" spans="2:9" x14ac:dyDescent="0.3">
      <c r="B30" s="169"/>
      <c r="C30" s="9" t="s">
        <v>53</v>
      </c>
      <c r="D30" s="116">
        <f>(25+50)/2</f>
        <v>37.5</v>
      </c>
      <c r="E30" s="10" t="s">
        <v>22</v>
      </c>
      <c r="F30" s="53"/>
      <c r="G30" s="117">
        <f>F30*D30</f>
        <v>0</v>
      </c>
      <c r="H30" s="11" t="s">
        <v>54</v>
      </c>
      <c r="I30" s="12" t="s">
        <v>20</v>
      </c>
    </row>
    <row r="31" spans="2:9" x14ac:dyDescent="0.3">
      <c r="B31" s="169"/>
      <c r="C31" s="9" t="s">
        <v>55</v>
      </c>
      <c r="D31" s="116">
        <f>(3+12)/2</f>
        <v>7.5</v>
      </c>
      <c r="E31" s="10" t="s">
        <v>32</v>
      </c>
      <c r="F31" s="53"/>
      <c r="G31" s="117">
        <f>F31*D31</f>
        <v>0</v>
      </c>
      <c r="H31" s="11" t="s">
        <v>56</v>
      </c>
      <c r="I31" s="12" t="s">
        <v>20</v>
      </c>
    </row>
    <row r="32" spans="2:9" s="90" customFormat="1" ht="33" customHeight="1" x14ac:dyDescent="0.25">
      <c r="B32" s="167"/>
      <c r="C32" s="5" t="s">
        <v>57</v>
      </c>
      <c r="D32" s="107">
        <f>(10+20)/2</f>
        <v>15</v>
      </c>
      <c r="E32" s="6" t="s">
        <v>22</v>
      </c>
      <c r="F32" s="126">
        <f>(from_geodata!C14 + from_geodata!F13)*square_yd2acre</f>
        <v>0</v>
      </c>
      <c r="G32" s="108">
        <f>F32*2*D32</f>
        <v>0</v>
      </c>
      <c r="H32" s="7" t="s">
        <v>58</v>
      </c>
      <c r="I32" s="8" t="s">
        <v>20</v>
      </c>
    </row>
    <row r="33" spans="2:9" s="90" customFormat="1" ht="33" customHeight="1" x14ac:dyDescent="0.25">
      <c r="B33" s="167"/>
      <c r="C33" s="64" t="s">
        <v>59</v>
      </c>
      <c r="D33" s="114">
        <f>(140+175)/2</f>
        <v>157.5</v>
      </c>
      <c r="E33" s="65" t="s">
        <v>32</v>
      </c>
      <c r="F33" s="126">
        <f>(from_geodata!C15 + from_geodata!F14)*square_yd2acre</f>
        <v>0</v>
      </c>
      <c r="G33" s="115">
        <f>F33*D33</f>
        <v>0</v>
      </c>
      <c r="H33" s="17" t="s">
        <v>60</v>
      </c>
      <c r="I33" s="18" t="s">
        <v>20</v>
      </c>
    </row>
    <row r="34" spans="2:9" ht="16.5" customHeight="1" x14ac:dyDescent="0.3">
      <c r="B34" s="181" t="s">
        <v>61</v>
      </c>
      <c r="C34" s="169"/>
      <c r="D34" s="170"/>
      <c r="E34" s="171"/>
      <c r="F34" s="172"/>
      <c r="G34" s="111">
        <f>SUM(G29:G33)</f>
        <v>0</v>
      </c>
      <c r="H34" s="41"/>
      <c r="I34" s="42"/>
    </row>
    <row r="35" spans="2:9" ht="5.0999999999999996" customHeight="1" x14ac:dyDescent="0.3">
      <c r="B35" s="19"/>
      <c r="C35" s="69"/>
      <c r="D35" s="69"/>
      <c r="E35" s="69"/>
      <c r="F35" s="70"/>
      <c r="G35" s="112"/>
      <c r="H35" s="26"/>
      <c r="I35" s="27"/>
    </row>
    <row r="36" spans="2:9" s="90" customFormat="1" ht="16.5" customHeight="1" x14ac:dyDescent="0.3">
      <c r="B36" s="183" t="s">
        <v>62</v>
      </c>
      <c r="C36" s="5" t="s">
        <v>63</v>
      </c>
      <c r="D36" s="107">
        <f>AVERAGE(2500, 5000)</f>
        <v>3750</v>
      </c>
      <c r="E36" s="10" t="s">
        <v>12</v>
      </c>
      <c r="F36" s="52"/>
      <c r="G36" s="108">
        <f>F36*D36</f>
        <v>0</v>
      </c>
      <c r="H36" s="7"/>
      <c r="I36" s="8" t="s">
        <v>64</v>
      </c>
    </row>
    <row r="37" spans="2:9" s="90" customFormat="1" ht="16.5" customHeight="1" x14ac:dyDescent="0.25">
      <c r="B37" s="167"/>
      <c r="C37" s="64" t="s">
        <v>65</v>
      </c>
      <c r="D37" s="114">
        <f>AVERAGE(1000, 2000)</f>
        <v>1500</v>
      </c>
      <c r="E37" s="65" t="s">
        <v>22</v>
      </c>
      <c r="F37" s="66"/>
      <c r="G37" s="115">
        <f>F37*D37</f>
        <v>0</v>
      </c>
      <c r="H37" s="17"/>
      <c r="I37" s="18" t="s">
        <v>47</v>
      </c>
    </row>
    <row r="38" spans="2:9" s="90" customFormat="1" ht="16.5" customHeight="1" x14ac:dyDescent="0.25">
      <c r="B38" s="181" t="s">
        <v>66</v>
      </c>
      <c r="C38" s="167"/>
      <c r="D38" s="167"/>
      <c r="E38" s="167"/>
      <c r="F38" s="167"/>
      <c r="G38" s="111">
        <f>SUM(G36:G37)</f>
        <v>0</v>
      </c>
      <c r="H38" s="39"/>
      <c r="I38" s="40"/>
    </row>
    <row r="39" spans="2:9" s="90" customFormat="1" ht="5.0999999999999996" customHeight="1" x14ac:dyDescent="0.25">
      <c r="B39" s="19"/>
      <c r="C39" s="69"/>
      <c r="D39" s="69"/>
      <c r="E39" s="69"/>
      <c r="F39" s="70"/>
      <c r="G39" s="112"/>
      <c r="H39" s="15"/>
      <c r="I39" s="16"/>
    </row>
    <row r="40" spans="2:9" s="90" customFormat="1" ht="16.5" customHeight="1" x14ac:dyDescent="0.3">
      <c r="B40" s="183" t="s">
        <v>67</v>
      </c>
      <c r="C40" s="5" t="s">
        <v>68</v>
      </c>
      <c r="D40" s="107">
        <v>250</v>
      </c>
      <c r="E40" s="6" t="s">
        <v>15</v>
      </c>
      <c r="F40" s="52"/>
      <c r="G40" s="108">
        <f t="shared" ref="G40:G47" si="1">F40*D40</f>
        <v>0</v>
      </c>
      <c r="H40" s="7"/>
      <c r="I40" s="12" t="s">
        <v>13</v>
      </c>
    </row>
    <row r="41" spans="2:9" s="90" customFormat="1" ht="16.5" customHeight="1" x14ac:dyDescent="0.3">
      <c r="B41" s="167"/>
      <c r="C41" s="5" t="s">
        <v>69</v>
      </c>
      <c r="D41" s="107">
        <f>1700*0.9071847</f>
        <v>1542.21399</v>
      </c>
      <c r="E41" s="6" t="s">
        <v>70</v>
      </c>
      <c r="F41" s="52"/>
      <c r="G41" s="108">
        <f t="shared" si="1"/>
        <v>0</v>
      </c>
      <c r="H41" s="7"/>
      <c r="I41" s="12" t="s">
        <v>13</v>
      </c>
    </row>
    <row r="42" spans="2:9" x14ac:dyDescent="0.3">
      <c r="B42" s="169"/>
      <c r="C42" s="9" t="s">
        <v>71</v>
      </c>
      <c r="D42" s="116">
        <v>100</v>
      </c>
      <c r="E42" s="10" t="s">
        <v>22</v>
      </c>
      <c r="F42" s="53"/>
      <c r="G42" s="117">
        <f t="shared" si="1"/>
        <v>0</v>
      </c>
      <c r="H42" s="11"/>
      <c r="I42" s="12" t="s">
        <v>13</v>
      </c>
    </row>
    <row r="43" spans="2:9" x14ac:dyDescent="0.3">
      <c r="B43" s="169"/>
      <c r="C43" s="9" t="s">
        <v>73</v>
      </c>
      <c r="D43" s="116">
        <v>150</v>
      </c>
      <c r="E43" s="10" t="s">
        <v>22</v>
      </c>
      <c r="F43" s="53"/>
      <c r="G43" s="117">
        <f t="shared" si="1"/>
        <v>0</v>
      </c>
      <c r="H43" s="11"/>
      <c r="I43" s="12" t="s">
        <v>13</v>
      </c>
    </row>
    <row r="44" spans="2:9" x14ac:dyDescent="0.3">
      <c r="B44" s="169"/>
      <c r="C44" s="9" t="s">
        <v>74</v>
      </c>
      <c r="D44" s="116">
        <v>300</v>
      </c>
      <c r="E44" s="10" t="s">
        <v>22</v>
      </c>
      <c r="F44" s="53"/>
      <c r="G44" s="117">
        <f t="shared" si="1"/>
        <v>0</v>
      </c>
      <c r="H44" s="11"/>
      <c r="I44" s="12" t="s">
        <v>13</v>
      </c>
    </row>
    <row r="45" spans="2:9" x14ac:dyDescent="0.3">
      <c r="B45" s="169"/>
      <c r="C45" s="9" t="s">
        <v>75</v>
      </c>
      <c r="D45" s="116">
        <v>1000</v>
      </c>
      <c r="E45" s="10" t="s">
        <v>32</v>
      </c>
      <c r="F45" s="53"/>
      <c r="G45" s="117">
        <f t="shared" si="1"/>
        <v>0</v>
      </c>
      <c r="H45" s="11"/>
      <c r="I45" s="12" t="s">
        <v>13</v>
      </c>
    </row>
    <row r="46" spans="2:9" x14ac:dyDescent="0.3">
      <c r="B46" s="169"/>
      <c r="C46" s="9" t="s">
        <v>76</v>
      </c>
      <c r="D46" s="116">
        <v>1500</v>
      </c>
      <c r="E46" s="10" t="s">
        <v>32</v>
      </c>
      <c r="F46" s="53"/>
      <c r="G46" s="117">
        <f t="shared" si="1"/>
        <v>0</v>
      </c>
      <c r="H46" s="11"/>
      <c r="I46" s="12" t="s">
        <v>13</v>
      </c>
    </row>
    <row r="47" spans="2:9" s="90" customFormat="1" ht="33" customHeight="1" x14ac:dyDescent="0.25">
      <c r="B47" s="167"/>
      <c r="C47" s="64" t="s">
        <v>95</v>
      </c>
      <c r="D47" s="114">
        <f>AVERAGE(3.29, 4.21, 5.65, 2.57, 2.77)</f>
        <v>3.6980000000000004</v>
      </c>
      <c r="E47" s="65" t="s">
        <v>32</v>
      </c>
      <c r="F47" s="66"/>
      <c r="G47" s="115">
        <f t="shared" si="1"/>
        <v>0</v>
      </c>
      <c r="H47" s="17"/>
      <c r="I47" s="18" t="s">
        <v>77</v>
      </c>
    </row>
    <row r="48" spans="2:9" s="90" customFormat="1" ht="16.5" customHeight="1" x14ac:dyDescent="0.25">
      <c r="B48" s="181" t="s">
        <v>78</v>
      </c>
      <c r="C48" s="167"/>
      <c r="D48" s="167"/>
      <c r="E48" s="167"/>
      <c r="F48" s="167"/>
      <c r="G48" s="111">
        <f>SUM(G40:G47)</f>
        <v>0</v>
      </c>
      <c r="H48" s="39"/>
      <c r="I48" s="40"/>
    </row>
    <row r="49" spans="2:9" s="90" customFormat="1" ht="16.5" customHeight="1" x14ac:dyDescent="0.25">
      <c r="B49" s="93"/>
      <c r="C49" s="71"/>
      <c r="D49" s="71"/>
      <c r="E49" s="71"/>
      <c r="F49" s="72"/>
      <c r="G49" s="121"/>
      <c r="H49" s="37"/>
      <c r="I49" s="38"/>
    </row>
    <row r="50" spans="2:9" s="90" customFormat="1" ht="16.5" customHeight="1" x14ac:dyDescent="0.25">
      <c r="B50" s="180" t="s">
        <v>79</v>
      </c>
      <c r="C50" s="167"/>
      <c r="D50" s="167"/>
      <c r="E50" s="167"/>
      <c r="F50" s="167"/>
      <c r="G50" s="122">
        <f>SUM(G48,G38,G34,G27,G17,G10)</f>
        <v>0</v>
      </c>
      <c r="H50" s="37"/>
      <c r="I50" s="38"/>
    </row>
    <row r="52" spans="2:9" ht="16.5" customHeight="1" x14ac:dyDescent="0.3">
      <c r="B52" s="173" t="s">
        <v>80</v>
      </c>
      <c r="C52" s="169"/>
      <c r="D52" s="170"/>
      <c r="E52" s="171"/>
      <c r="F52" s="172"/>
      <c r="G52" s="174"/>
      <c r="H52" s="175"/>
      <c r="I52" s="176"/>
    </row>
    <row r="53" spans="2:9" ht="5.0999999999999996" customHeight="1" x14ac:dyDescent="0.3">
      <c r="B53" s="32"/>
      <c r="C53" s="32"/>
      <c r="D53" s="32"/>
      <c r="E53" s="32"/>
      <c r="F53" s="54"/>
      <c r="G53" s="32"/>
      <c r="H53" s="32"/>
      <c r="I53" s="32"/>
    </row>
    <row r="54" spans="2:9" x14ac:dyDescent="0.3">
      <c r="B54" s="177" t="s">
        <v>81</v>
      </c>
      <c r="C54" s="169"/>
      <c r="D54" s="31"/>
      <c r="E54" s="28"/>
      <c r="F54" s="55"/>
      <c r="G54" s="123"/>
      <c r="H54" s="29"/>
      <c r="I54" s="30"/>
    </row>
    <row r="55" spans="2:9" x14ac:dyDescent="0.3">
      <c r="B55" s="178" t="s">
        <v>82</v>
      </c>
      <c r="C55" s="169"/>
      <c r="D55" s="34">
        <v>0.1</v>
      </c>
      <c r="E55" s="33" t="s">
        <v>83</v>
      </c>
      <c r="F55" s="85">
        <v>1</v>
      </c>
      <c r="G55" s="97">
        <f>G50*D55</f>
        <v>0</v>
      </c>
      <c r="I55" s="129" t="s">
        <v>13</v>
      </c>
    </row>
    <row r="56" spans="2:9" x14ac:dyDescent="0.3">
      <c r="B56" s="178" t="s">
        <v>84</v>
      </c>
      <c r="C56" s="169"/>
      <c r="D56" s="35">
        <v>0.1</v>
      </c>
      <c r="E56" s="33" t="s">
        <v>83</v>
      </c>
      <c r="F56" s="85">
        <v>1</v>
      </c>
      <c r="G56" s="97">
        <f>G50*D56</f>
        <v>0</v>
      </c>
      <c r="I56" s="129" t="s">
        <v>13</v>
      </c>
    </row>
    <row r="57" spans="2:9" x14ac:dyDescent="0.3">
      <c r="B57" s="177" t="s">
        <v>108</v>
      </c>
      <c r="C57" s="169"/>
      <c r="D57" s="36"/>
      <c r="E57" s="28"/>
      <c r="F57" s="55"/>
      <c r="G57" s="123"/>
      <c r="H57" s="29"/>
      <c r="I57" s="30"/>
    </row>
    <row r="58" spans="2:9" s="90" customFormat="1" ht="48.95" customHeight="1" x14ac:dyDescent="0.25">
      <c r="B58" s="179" t="s">
        <v>111</v>
      </c>
      <c r="C58" s="167"/>
      <c r="D58" s="131">
        <v>0.16500000000000001</v>
      </c>
      <c r="E58" s="59" t="s">
        <v>83</v>
      </c>
      <c r="F58" s="60">
        <v>1</v>
      </c>
      <c r="G58" s="124">
        <f>G50*D58</f>
        <v>0</v>
      </c>
      <c r="H58" s="37"/>
      <c r="I58" s="38" t="s">
        <v>110</v>
      </c>
    </row>
    <row r="59" spans="2:9" s="130" customFormat="1" ht="16.5" customHeight="1" x14ac:dyDescent="0.25">
      <c r="B59" s="166" t="s">
        <v>109</v>
      </c>
      <c r="C59" s="167"/>
      <c r="D59" s="58">
        <v>0.35</v>
      </c>
      <c r="E59" s="59" t="s">
        <v>83</v>
      </c>
      <c r="F59" s="60">
        <v>1</v>
      </c>
      <c r="G59" s="124">
        <f>G50*D59</f>
        <v>0</v>
      </c>
      <c r="H59" s="37"/>
      <c r="I59" s="38"/>
    </row>
    <row r="61" spans="2:9" x14ac:dyDescent="0.3">
      <c r="B61" s="168" t="s">
        <v>85</v>
      </c>
      <c r="C61" s="169"/>
      <c r="D61" s="170"/>
      <c r="E61" s="171"/>
      <c r="F61" s="172"/>
      <c r="G61" s="125">
        <f>G58+G56+G55+G50+G59</f>
        <v>0</v>
      </c>
      <c r="H61" s="92"/>
      <c r="I61" s="92"/>
    </row>
  </sheetData>
  <mergeCells count="26">
    <mergeCell ref="B1:I1"/>
    <mergeCell ref="K2:K3"/>
    <mergeCell ref="B48:F48"/>
    <mergeCell ref="B50:F50"/>
    <mergeCell ref="B52:I52"/>
    <mergeCell ref="E3:F3"/>
    <mergeCell ref="H2:H3"/>
    <mergeCell ref="I2:I3"/>
    <mergeCell ref="B40:B47"/>
    <mergeCell ref="B38:F38"/>
    <mergeCell ref="B7:B9"/>
    <mergeCell ref="B12:B16"/>
    <mergeCell ref="B19:B26"/>
    <mergeCell ref="B29:B33"/>
    <mergeCell ref="B36:B37"/>
    <mergeCell ref="B10:F10"/>
    <mergeCell ref="B17:F17"/>
    <mergeCell ref="B27:F27"/>
    <mergeCell ref="B34:F34"/>
    <mergeCell ref="B61:F61"/>
    <mergeCell ref="B56:C56"/>
    <mergeCell ref="B58:C58"/>
    <mergeCell ref="B54:C54"/>
    <mergeCell ref="B57:C57"/>
    <mergeCell ref="B55:C55"/>
    <mergeCell ref="B59:C59"/>
  </mergeCells>
  <conditionalFormatting sqref="B10:F11 B17:F18 B27:F28 B34:F35 B38:F39 B48:F49">
    <cfRule type="expression" dxfId="4" priority="5">
      <formula>G10=0</formula>
    </cfRule>
  </conditionalFormatting>
  <conditionalFormatting sqref="G7:G51">
    <cfRule type="cellIs" dxfId="3" priority="1" operator="greaterThan">
      <formula>1000000</formula>
    </cfRule>
    <cfRule type="cellIs" dxfId="2" priority="2" operator="between">
      <formula>100000</formula>
      <formula>1000000</formula>
    </cfRule>
    <cfRule type="cellIs" dxfId="1" priority="3" operator="between">
      <formula>1</formula>
      <formula>100000</formula>
    </cfRule>
    <cfRule type="cellIs" dxfId="0" priority="4" operator="lessThanOr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workbookViewId="0">
      <selection activeCell="E11" sqref="E11"/>
    </sheetView>
  </sheetViews>
  <sheetFormatPr defaultRowHeight="16.5" x14ac:dyDescent="0.3"/>
  <cols>
    <col min="1" max="1" width="9.140625" style="94" customWidth="1"/>
    <col min="2" max="2" width="21.7109375" style="94" customWidth="1"/>
    <col min="3" max="3" width="12.85546875" style="94" customWidth="1"/>
    <col min="4" max="4" width="9.140625" style="94" customWidth="1"/>
    <col min="5" max="5" width="19.42578125" style="94" customWidth="1"/>
    <col min="6" max="6" width="14.7109375" style="94" customWidth="1"/>
    <col min="7" max="12" width="9.140625" style="94" customWidth="1"/>
    <col min="13" max="16384" width="9.140625" style="94"/>
  </cols>
  <sheetData>
    <row r="2" spans="2:6" x14ac:dyDescent="0.3">
      <c r="B2" s="94" t="s">
        <v>86</v>
      </c>
    </row>
    <row r="3" spans="2:6" x14ac:dyDescent="0.3">
      <c r="B3" s="94" t="s">
        <v>87</v>
      </c>
      <c r="C3" s="94" t="s">
        <v>88</v>
      </c>
    </row>
    <row r="10" spans="2:6" x14ac:dyDescent="0.3">
      <c r="B10" s="94" t="s">
        <v>89</v>
      </c>
      <c r="E10" s="94" t="s">
        <v>118</v>
      </c>
    </row>
    <row r="11" spans="2:6" x14ac:dyDescent="0.3">
      <c r="B11" s="94" t="s">
        <v>87</v>
      </c>
      <c r="C11" s="94" t="s">
        <v>88</v>
      </c>
      <c r="E11" s="94" t="s">
        <v>87</v>
      </c>
      <c r="F11" s="94" t="s">
        <v>88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"/>
  <sheetViews>
    <sheetView workbookViewId="0">
      <selection activeCell="N12" sqref="N12"/>
    </sheetView>
  </sheetViews>
  <sheetFormatPr defaultRowHeight="16.5" x14ac:dyDescent="0.3"/>
  <cols>
    <col min="1" max="2" width="9.140625" style="94" customWidth="1"/>
    <col min="3" max="3" width="18.85546875" style="94" customWidth="1"/>
    <col min="4" max="4" width="10.85546875" style="94" customWidth="1"/>
    <col min="5" max="8" width="9.140625" style="94" customWidth="1"/>
    <col min="9" max="9" width="24.28515625" style="94" customWidth="1"/>
    <col min="10" max="11" width="9.140625" style="94" customWidth="1"/>
    <col min="12" max="16384" width="9.140625" style="94"/>
  </cols>
  <sheetData>
    <row r="2" spans="2:9" x14ac:dyDescent="0.3">
      <c r="B2" s="94" t="s">
        <v>90</v>
      </c>
      <c r="C2" s="192" t="s">
        <v>117</v>
      </c>
      <c r="D2" s="193"/>
      <c r="E2" s="193"/>
      <c r="F2" s="193"/>
      <c r="G2" s="193"/>
      <c r="H2" s="193"/>
      <c r="I2" s="193"/>
    </row>
    <row r="3" spans="2:9" x14ac:dyDescent="0.3">
      <c r="B3" s="194" t="s">
        <v>116</v>
      </c>
      <c r="C3" s="195"/>
      <c r="D3" s="195"/>
      <c r="E3" s="195"/>
      <c r="F3" s="195"/>
      <c r="G3" s="195"/>
      <c r="H3" s="195"/>
      <c r="I3" s="195"/>
    </row>
    <row r="4" spans="2:9" x14ac:dyDescent="0.3">
      <c r="B4" s="95"/>
      <c r="C4" s="95"/>
      <c r="D4" s="95"/>
      <c r="E4" s="95"/>
      <c r="F4" s="95"/>
      <c r="G4" s="95"/>
      <c r="H4" s="95"/>
      <c r="I4" s="95"/>
    </row>
    <row r="5" spans="2:9" x14ac:dyDescent="0.3">
      <c r="B5" s="94" t="s">
        <v>91</v>
      </c>
      <c r="C5" s="56"/>
      <c r="D5" s="94" t="s">
        <v>107</v>
      </c>
    </row>
    <row r="6" spans="2:9" x14ac:dyDescent="0.3">
      <c r="B6" s="94" t="s">
        <v>92</v>
      </c>
      <c r="C6" s="56"/>
      <c r="D6" s="94" t="s">
        <v>107</v>
      </c>
    </row>
  </sheetData>
  <mergeCells count="2">
    <mergeCell ref="C2:I2"/>
    <mergeCell ref="B3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costs (SI metric)</vt:lpstr>
      <vt:lpstr>costs (U.S. Cust.)</vt:lpstr>
      <vt:lpstr>from_geodata</vt:lpstr>
      <vt:lpstr>terraforming_volumes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cp:lastPrinted>2017-10-12T02:03:57Z</cp:lastPrinted>
  <dcterms:created xsi:type="dcterms:W3CDTF">2017-09-29T17:19:56Z</dcterms:created>
  <dcterms:modified xsi:type="dcterms:W3CDTF">2019-07-06T01:24:15Z</dcterms:modified>
</cp:coreProperties>
</file>