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Project_vii_TEMPLATE\"/>
    </mc:Choice>
  </mc:AlternateContent>
  <bookViews>
    <workbookView xWindow="0" yWindow="0" windowWidth="38400" windowHeight="17700" activeTab="1"/>
  </bookViews>
  <sheets>
    <sheet name="costs (SI metric)" sheetId="6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F33" i="1" l="1"/>
  <c r="F16" i="1"/>
  <c r="F33" i="6"/>
  <c r="D15" i="6" l="1"/>
  <c r="F16" i="6" l="1"/>
  <c r="F13" i="6"/>
  <c r="F15" i="6"/>
  <c r="F15" i="1"/>
  <c r="F13" i="1"/>
  <c r="D15" i="1"/>
  <c r="F32" i="6" l="1"/>
  <c r="F26" i="6"/>
  <c r="F25" i="6"/>
  <c r="F24" i="6"/>
  <c r="F23" i="6"/>
  <c r="F12" i="6"/>
  <c r="F7" i="6"/>
  <c r="F12" i="1"/>
  <c r="F7" i="1"/>
  <c r="F32" i="1" l="1"/>
  <c r="F26" i="1"/>
  <c r="F25" i="1"/>
  <c r="F23" i="1"/>
  <c r="D47" i="6" l="1"/>
  <c r="D37" i="6"/>
  <c r="G37" i="6" s="1"/>
  <c r="D33" i="6"/>
  <c r="D32" i="6"/>
  <c r="D31" i="6"/>
  <c r="D20" i="6"/>
  <c r="G20" i="6" s="1"/>
  <c r="D19" i="6"/>
  <c r="D14" i="6"/>
  <c r="D13" i="6"/>
  <c r="G47" i="6"/>
  <c r="G46" i="6"/>
  <c r="G45" i="6"/>
  <c r="G44" i="6"/>
  <c r="G43" i="6"/>
  <c r="G42" i="6"/>
  <c r="G41" i="6"/>
  <c r="G40" i="6"/>
  <c r="G36" i="6"/>
  <c r="G32" i="6"/>
  <c r="G31" i="6"/>
  <c r="G30" i="6"/>
  <c r="G29" i="6"/>
  <c r="G26" i="6"/>
  <c r="G25" i="6"/>
  <c r="G24" i="6"/>
  <c r="G23" i="6"/>
  <c r="G22" i="6"/>
  <c r="G21" i="6"/>
  <c r="G19" i="6"/>
  <c r="G16" i="6"/>
  <c r="G15" i="6"/>
  <c r="G14" i="6"/>
  <c r="G13" i="6"/>
  <c r="G9" i="6"/>
  <c r="G8" i="6"/>
  <c r="G7" i="6"/>
  <c r="G48" i="6" l="1"/>
  <c r="G38" i="6"/>
  <c r="G33" i="6"/>
  <c r="G34" i="6" s="1"/>
  <c r="G10" i="6"/>
  <c r="G27" i="6"/>
  <c r="G12" i="6"/>
  <c r="G17" i="6" s="1"/>
  <c r="G50" i="6" l="1"/>
  <c r="G59" i="6" s="1"/>
  <c r="G58" i="6" l="1"/>
  <c r="G55" i="6"/>
  <c r="G56" i="6"/>
  <c r="G8" i="1"/>
  <c r="G61" i="6" l="1"/>
  <c r="G2" i="6" s="1"/>
  <c r="I2" i="6" s="1"/>
  <c r="G47" i="1" l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G33" i="1"/>
  <c r="D33" i="1"/>
  <c r="G32" i="1"/>
  <c r="D32" i="1"/>
  <c r="G31" i="1"/>
  <c r="D31" i="1"/>
  <c r="D30" i="1"/>
  <c r="G30" i="1"/>
  <c r="G29" i="1"/>
  <c r="D29" i="1"/>
  <c r="G26" i="1"/>
  <c r="D26" i="1"/>
  <c r="G25" i="1"/>
  <c r="D25" i="1"/>
  <c r="F24" i="1"/>
  <c r="G24" i="1" s="1"/>
  <c r="G23" i="1"/>
  <c r="D22" i="1"/>
  <c r="G22" i="1"/>
  <c r="D21" i="1"/>
  <c r="G21" i="1"/>
  <c r="D20" i="1"/>
  <c r="G20" i="1"/>
  <c r="G19" i="1"/>
  <c r="D19" i="1"/>
  <c r="G16" i="1"/>
  <c r="G15" i="1"/>
  <c r="D14" i="1"/>
  <c r="G14" i="1"/>
  <c r="G13" i="1"/>
  <c r="D13" i="1"/>
  <c r="G9" i="1"/>
  <c r="G7" i="1"/>
  <c r="G10" i="1" s="1"/>
  <c r="G38" i="1"/>
  <c r="G34" i="1" l="1"/>
  <c r="G27" i="1"/>
  <c r="G12" i="1"/>
  <c r="G17" i="1" s="1"/>
  <c r="G50" i="1" l="1"/>
  <c r="G59" i="1" s="1"/>
  <c r="G55" i="1" l="1"/>
  <c r="G58" i="1"/>
  <c r="G56" i="1"/>
  <c r="G61" i="1" l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<sst xmlns="http://schemas.openxmlformats.org/spreadsheetml/2006/main" count="315" uniqueCount="121">
  <si>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</si>
  <si>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</si>
  <si>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</si>
  <si>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</si>
  <si>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</si>
  <si>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</si>
  <si>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</si>
  <si>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</si>
  <si>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</si>
  <si>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</si>
  <si>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</si>
  <si>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</si>
  <si>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</si>
  <si>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</si>
  <si>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</si>
  <si>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</si>
  <si>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</si>
  <si>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</si>
  <si>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</si>
  <si>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</si>
  <si>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</si>
  <si>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</si>
  <si>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yd'</t>
  </si>
  <si>
    <t>refers to log length</t>
  </si>
  <si>
    <t>log</t>
  </si>
  <si>
    <t>log length = 25 ft,  Ø =  24 in</t>
  </si>
  <si>
    <t>Cramer (2012)
Virginia University (2004)</t>
  </si>
  <si>
    <t>Engineered log jam: root-wise</t>
  </si>
  <si>
    <t>rootwad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</si>
  <si>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</si>
  <si>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</si>
  <si>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</si>
  <si>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</si>
  <si>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</si>
  <si>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</si>
  <si>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</si>
  <si>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</si>
  <si>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</si>
  <si>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</si>
  <si>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</si>
  <si>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</si>
  <si>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</si>
  <si>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</si>
  <si>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</si>
  <si>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</si>
  <si>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</si>
  <si>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</si>
  <si>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</si>
  <si>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</si>
  <si>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</si>
  <si>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</si>
  <si>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</si>
  <si>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</si>
  <si>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</si>
  <si>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</si>
  <si>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</si>
  <si>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</si>
  <si>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</si>
  <si>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</si>
  <si>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</si>
  <si>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</si>
  <si>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</si>
  <si>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</si>
  <si>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</si>
  <si>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</si>
  <si>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</si>
  <si>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</si>
  <si>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</si>
  <si>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</si>
  <si>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</si>
  <si>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</si>
  <si>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</si>
  <si>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</si>
  <si>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</si>
  <si>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</si>
  <si>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</si>
  <si>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</si>
  <si>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</si>
  <si>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</si>
  <si>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</si>
  <si>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</si>
  <si>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</si>
  <si>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</si>
  <si>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</si>
  <si>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</si>
  <si>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</si>
  <si>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</si>
  <si>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</si>
  <si>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</si>
  <si>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</si>
  <si>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</si>
  <si>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</si>
  <si>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</si>
  <si>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</si>
  <si>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</si>
  <si>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</si>
  <si>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</si>
  <si>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</si>
  <si>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</si>
  <si>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</si>
  <si>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</si>
  <si>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</si>
  <si>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</si>
  <si>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</si>
  <si>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</si>
  <si>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</si>
  <si>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</si>
  <si>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t>FEES AND LICENSING</t>
  </si>
  <si>
    <t>Permitting</t>
  </si>
  <si>
    <t>LCH (2012)
Cramer (2012)
Johnson (2019)</t>
  </si>
  <si>
    <t>Markups (overhead, profit, insurance) and 
Engineering fees</t>
  </si>
  <si>
    <t>Project return
(US $ per ac net gain in SHArea)</t>
  </si>
  <si>
    <t>Project return
(EUR per m² net gain in SHArea)</t>
  </si>
  <si>
    <t>Net gain in SHArea (m²/season):</t>
  </si>
  <si>
    <t>Net gain in SHArea (ac/season):</t>
  </si>
  <si>
    <t>Generated  with the RiverArchitect's Volume Assessment module</t>
  </si>
  <si>
    <r>
      <rPr>
        <sz val="11"/>
        <color theme="1" tint="0.499984740745262"/>
        <rFont val="Courier New"/>
        <family val="3"/>
      </rPr>
      <t>…/RiverArchitect/VolumeAssessment/Output/</t>
    </r>
    <r>
      <rPr>
        <i/>
        <sz val="11"/>
        <color theme="1"/>
        <rFont val="Courier New"/>
        <family val="3"/>
      </rPr>
      <t>CONDITION</t>
    </r>
    <r>
      <rPr>
        <sz val="11"/>
        <color theme="1"/>
        <rFont val="Courier New"/>
        <family val="3"/>
      </rPr>
      <t>_volumes.xlsx</t>
    </r>
  </si>
  <si>
    <t>Terrain stabilization</t>
  </si>
  <si>
    <t>Anchoring (logs for plant stability)</t>
  </si>
  <si>
    <t>Engineered log jam, log-wise
(for plant and terrain stabilization)</t>
  </si>
  <si>
    <t>Streamwood (non-anchored)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</si>
</sst>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  <numFmt numFmtId="168" formatCode="_([$EUR]\ * #,##0.00_);_([$EUR]\ * \(#,##0.00\);_([$EUR]\ * &quot;-&quot;??_);_(@_)"/>
    <numFmt numFmtId="169" formatCode="[$€-2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  <font>
      <i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9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167" fontId="8" fillId="0" borderId="0" xfId="1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9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168" fontId="1" fillId="0" borderId="9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wrapText="1"/>
    </xf>
    <xf numFmtId="168" fontId="1" fillId="0" borderId="9" xfId="0" applyNumberFormat="1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169" fontId="1" fillId="0" borderId="1" xfId="0" applyNumberFormat="1" applyFont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top" wrapText="1"/>
    </xf>
    <xf numFmtId="169" fontId="2" fillId="2" borderId="8" xfId="0" applyNumberFormat="1" applyFont="1" applyFill="1" applyBorder="1" applyAlignment="1">
      <alignment horizontal="center" vertical="top" wrapText="1"/>
    </xf>
    <xf numFmtId="169" fontId="2" fillId="5" borderId="0" xfId="0" applyNumberFormat="1" applyFont="1" applyFill="1" applyAlignment="1">
      <alignment horizontal="center" vertical="top" wrapText="1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wrapText="1"/>
    </xf>
    <xf numFmtId="169" fontId="1" fillId="0" borderId="2" xfId="0" applyNumberFormat="1" applyFont="1" applyBorder="1" applyAlignment="1">
      <alignment horizontal="center" wrapText="1"/>
    </xf>
    <xf numFmtId="169" fontId="2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wrapText="1"/>
    </xf>
    <xf numFmtId="169" fontId="1" fillId="3" borderId="0" xfId="0" applyNumberFormat="1" applyFont="1" applyFill="1" applyAlignment="1">
      <alignment horizontal="center" wrapText="1"/>
    </xf>
    <xf numFmtId="169" fontId="1" fillId="0" borderId="0" xfId="0" applyNumberFormat="1" applyFont="1" applyAlignment="1">
      <alignment horizontal="center" vertical="center" wrapText="1"/>
    </xf>
    <xf numFmtId="169" fontId="5" fillId="4" borderId="0" xfId="0" applyNumberFormat="1" applyFont="1" applyFill="1" applyAlignment="1">
      <alignment horizontal="center" wrapText="1"/>
    </xf>
    <xf numFmtId="169" fontId="2" fillId="8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5" fontId="13" fillId="8" borderId="13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textRotation="90" wrapText="1"/>
    </xf>
    <xf numFmtId="0" fontId="8" fillId="0" borderId="0" xfId="1" applyFont="1" applyAlignment="1">
      <alignment horizontal="left" vertical="center"/>
    </xf>
    <xf numFmtId="0" fontId="5" fillId="4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opLeftCell="A13" zoomScaleNormal="100" workbookViewId="0">
      <selection activeCell="B34" sqref="B34:F34"/>
    </sheetView>
  </sheetViews>
  <sheetFormatPr defaultRowHeight="16.5" x14ac:dyDescent="0.3"/>
  <cols>
    <col min="1" max="2" width="9.140625" style="146" customWidth="1"/>
    <col min="3" max="3" width="29.85546875" style="146" customWidth="1"/>
    <col min="4" max="4" width="14.5703125" style="147" customWidth="1"/>
    <col min="5" max="5" width="9.140625" style="148" customWidth="1"/>
    <col min="6" max="6" width="18.5703125" style="143" customWidth="1"/>
    <col min="7" max="7" width="18.28515625" style="150" customWidth="1"/>
    <col min="8" max="8" width="34.28515625" style="141" customWidth="1"/>
    <col min="9" max="9" width="20.28515625" style="142" customWidth="1"/>
    <col min="10" max="10" width="9.140625" style="146" customWidth="1"/>
    <col min="11" max="11" width="12.42578125" style="146" customWidth="1"/>
    <col min="12" max="20" width="9.140625" style="146" customWidth="1"/>
    <col min="21" max="16384" width="9.140625" style="146"/>
  </cols>
  <sheetData>
    <row r="1" spans="2:11" ht="17.25" customHeight="1" thickBot="1" x14ac:dyDescent="0.35">
      <c r="B1" s="168" t="s">
        <v>99</v>
      </c>
      <c r="C1" s="168"/>
      <c r="D1" s="168"/>
      <c r="E1" s="168"/>
      <c r="F1" s="168"/>
      <c r="G1" s="168"/>
      <c r="H1" s="168"/>
      <c r="I1" s="168"/>
    </row>
    <row r="2" spans="2:11" ht="16.5" customHeight="1" x14ac:dyDescent="0.3">
      <c r="B2" s="75"/>
      <c r="C2" s="76"/>
      <c r="D2" s="77"/>
      <c r="E2" s="73"/>
      <c r="F2" s="74" t="s">
        <v>0</v>
      </c>
      <c r="G2" s="165">
        <f>G61</f>
        <v>0</v>
      </c>
      <c r="H2" s="169" t="s">
        <v>112</v>
      </c>
      <c r="I2" s="171" t="str">
        <f>IF(NOT(OR(ISBLANK(G2), ISBLANK(G3))),G2/G3,"")</f>
        <v/>
      </c>
      <c r="J2" s="81"/>
      <c r="K2" s="173" t="s">
        <v>92</v>
      </c>
    </row>
    <row r="3" spans="2:11" ht="17.25" customHeight="1" thickBot="1" x14ac:dyDescent="0.35">
      <c r="B3" s="78" t="s">
        <v>1</v>
      </c>
      <c r="C3" s="79" t="s">
        <v>93</v>
      </c>
      <c r="D3" s="80"/>
      <c r="E3" s="175" t="s">
        <v>113</v>
      </c>
      <c r="F3" s="176"/>
      <c r="G3" s="99"/>
      <c r="H3" s="170"/>
      <c r="I3" s="172"/>
      <c r="J3" s="81"/>
      <c r="K3" s="174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40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140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40" customFormat="1" ht="16.5" customHeight="1" x14ac:dyDescent="0.25">
      <c r="B7" s="166" t="s">
        <v>10</v>
      </c>
      <c r="C7" s="1" t="s">
        <v>11</v>
      </c>
      <c r="D7" s="132">
        <v>5.4399999999999997E-2</v>
      </c>
      <c r="E7" s="2" t="s">
        <v>100</v>
      </c>
      <c r="F7" s="127">
        <f>from_geodata!C8</f>
        <v>0</v>
      </c>
      <c r="G7" s="151">
        <f>F7*D7</f>
        <v>0</v>
      </c>
      <c r="H7" s="3"/>
      <c r="I7" s="4" t="s">
        <v>13</v>
      </c>
    </row>
    <row r="8" spans="2:11" s="140" customFormat="1" ht="49.5" customHeight="1" x14ac:dyDescent="0.25">
      <c r="B8" s="167"/>
      <c r="C8" s="5" t="s">
        <v>14</v>
      </c>
      <c r="D8" s="133">
        <v>23</v>
      </c>
      <c r="E8" s="6" t="s">
        <v>101</v>
      </c>
      <c r="F8" s="57" t="s">
        <v>16</v>
      </c>
      <c r="G8" s="152">
        <f>D8*MAX(terraforming_volumes!C5,terraforming_volumes!C6)</f>
        <v>0</v>
      </c>
      <c r="H8" s="7" t="s">
        <v>17</v>
      </c>
      <c r="I8" s="8" t="s">
        <v>95</v>
      </c>
    </row>
    <row r="9" spans="2:11" s="140" customFormat="1" ht="16.5" customHeight="1" x14ac:dyDescent="0.25">
      <c r="B9" s="167"/>
      <c r="C9" s="61" t="s">
        <v>18</v>
      </c>
      <c r="D9" s="134">
        <v>1200</v>
      </c>
      <c r="E9" s="62" t="s">
        <v>19</v>
      </c>
      <c r="F9" s="63"/>
      <c r="G9" s="153">
        <f>F9*D9</f>
        <v>0</v>
      </c>
      <c r="H9" s="20"/>
      <c r="I9" s="21" t="s">
        <v>20</v>
      </c>
    </row>
    <row r="10" spans="2:11" s="140" customFormat="1" ht="16.5" customHeight="1" x14ac:dyDescent="0.25">
      <c r="B10" s="179" t="s">
        <v>21</v>
      </c>
      <c r="C10" s="167"/>
      <c r="D10" s="167"/>
      <c r="E10" s="167"/>
      <c r="F10" s="167"/>
      <c r="G10" s="154">
        <f>SUM(G7:G9)</f>
        <v>0</v>
      </c>
      <c r="H10" s="43"/>
      <c r="I10" s="44"/>
    </row>
    <row r="11" spans="2:11" s="140" customFormat="1" ht="5.0999999999999996" customHeight="1" x14ac:dyDescent="0.25">
      <c r="B11" s="19"/>
      <c r="C11" s="69"/>
      <c r="D11" s="69"/>
      <c r="E11" s="69"/>
      <c r="F11" s="70"/>
      <c r="G11" s="155"/>
      <c r="H11" s="13"/>
      <c r="I11" s="14"/>
    </row>
    <row r="12" spans="2:11" s="140" customFormat="1" ht="16.5" customHeight="1" x14ac:dyDescent="0.25">
      <c r="B12" s="180" t="s">
        <v>104</v>
      </c>
      <c r="C12" s="1" t="s">
        <v>118</v>
      </c>
      <c r="D12" s="132">
        <v>80</v>
      </c>
      <c r="E12" s="2" t="s">
        <v>102</v>
      </c>
      <c r="F12" s="127">
        <f>(from_geodata!C13)/log_length</f>
        <v>0</v>
      </c>
      <c r="G12" s="151">
        <f>F12*D12</f>
        <v>0</v>
      </c>
      <c r="H12" s="3" t="s">
        <v>23</v>
      </c>
      <c r="I12" s="4" t="s">
        <v>13</v>
      </c>
    </row>
    <row r="13" spans="2:11" s="145" customFormat="1" ht="33" customHeight="1" x14ac:dyDescent="0.25">
      <c r="B13" s="178"/>
      <c r="C13" s="5" t="s">
        <v>119</v>
      </c>
      <c r="D13" s="135">
        <f>AVERAGE(600,1000, 300, 1200)</f>
        <v>775</v>
      </c>
      <c r="E13" s="6" t="s">
        <v>24</v>
      </c>
      <c r="F13" s="126">
        <f>( from_geodata!C13)/square_yd2acre/ft2yd^2/log_length^2</f>
        <v>0</v>
      </c>
      <c r="G13" s="152">
        <f>F13*D13</f>
        <v>0</v>
      </c>
      <c r="H13" s="7" t="s">
        <v>25</v>
      </c>
      <c r="I13" s="8" t="s">
        <v>26</v>
      </c>
    </row>
    <row r="14" spans="2:11" s="145" customFormat="1" ht="33" customHeight="1" x14ac:dyDescent="0.25">
      <c r="B14" s="178"/>
      <c r="C14" s="5" t="s">
        <v>27</v>
      </c>
      <c r="D14" s="135">
        <f>(1.65*15+75)/2</f>
        <v>49.875</v>
      </c>
      <c r="E14" s="6" t="s">
        <v>28</v>
      </c>
      <c r="F14" s="52"/>
      <c r="G14" s="152">
        <f>F14*D14</f>
        <v>0</v>
      </c>
      <c r="H14" s="7"/>
      <c r="I14" s="8" t="s">
        <v>97</v>
      </c>
    </row>
    <row r="15" spans="2:11" s="145" customFormat="1" ht="33" customHeight="1" x14ac:dyDescent="0.25">
      <c r="B15" s="178"/>
      <c r="C15" s="5" t="s">
        <v>120</v>
      </c>
      <c r="D15" s="135">
        <f>AVERAGE(600,1000, 300, 1200)</f>
        <v>775</v>
      </c>
      <c r="E15" s="6" t="s">
        <v>19</v>
      </c>
      <c r="F15" s="126">
        <f>(from_geodata!C12 + from_geodata!F12)/square_yd2acre/ft2yd^2/log_length^2</f>
        <v>0</v>
      </c>
      <c r="G15" s="152">
        <f>F15*D15</f>
        <v>0</v>
      </c>
      <c r="H15" s="7"/>
      <c r="I15" s="8" t="s">
        <v>29</v>
      </c>
    </row>
    <row r="16" spans="2:11" s="145" customFormat="1" ht="33" customHeight="1" x14ac:dyDescent="0.25">
      <c r="B16" s="178"/>
      <c r="C16" s="64" t="s">
        <v>30</v>
      </c>
      <c r="D16" s="136">
        <v>150</v>
      </c>
      <c r="E16" s="65" t="s">
        <v>100</v>
      </c>
      <c r="F16" s="126">
        <f>(from_geodata!C16 + from_geodata!C15)/ square_yd2acre</f>
        <v>0</v>
      </c>
      <c r="G16" s="156">
        <f>F16*D16</f>
        <v>0</v>
      </c>
      <c r="H16" s="17"/>
      <c r="I16" s="18" t="s">
        <v>32</v>
      </c>
    </row>
    <row r="17" spans="2:9" s="145" customFormat="1" ht="16.5" customHeight="1" x14ac:dyDescent="0.25">
      <c r="B17" s="179" t="s">
        <v>105</v>
      </c>
      <c r="C17" s="178"/>
      <c r="D17" s="178"/>
      <c r="E17" s="178"/>
      <c r="F17" s="178"/>
      <c r="G17" s="154">
        <f>SUM(G12:G16)</f>
        <v>0</v>
      </c>
      <c r="H17" s="39"/>
      <c r="I17" s="40"/>
    </row>
    <row r="18" spans="2:9" s="145" customFormat="1" ht="5.0999999999999996" customHeight="1" x14ac:dyDescent="0.25">
      <c r="B18" s="19"/>
      <c r="C18" s="69"/>
      <c r="D18" s="69"/>
      <c r="E18" s="69"/>
      <c r="F18" s="70"/>
      <c r="G18" s="155"/>
      <c r="H18" s="15"/>
      <c r="I18" s="16"/>
    </row>
    <row r="19" spans="2:9" s="145" customFormat="1" ht="33" customHeight="1" x14ac:dyDescent="0.25">
      <c r="B19" s="180" t="s">
        <v>33</v>
      </c>
      <c r="C19" s="5" t="s">
        <v>34</v>
      </c>
      <c r="D19" s="133">
        <f>AVERAGE(120, 300)</f>
        <v>210</v>
      </c>
      <c r="E19" s="6" t="s">
        <v>19</v>
      </c>
      <c r="F19" s="52"/>
      <c r="G19" s="152">
        <f t="shared" ref="G19:G26" si="0">F19*D19</f>
        <v>0</v>
      </c>
      <c r="H19" s="7"/>
      <c r="I19" s="8" t="s">
        <v>35</v>
      </c>
    </row>
    <row r="20" spans="2:9" x14ac:dyDescent="0.3">
      <c r="B20" s="181"/>
      <c r="C20" s="9" t="s">
        <v>36</v>
      </c>
      <c r="D20" s="137">
        <f>20*1.65</f>
        <v>33</v>
      </c>
      <c r="E20" s="10" t="s">
        <v>37</v>
      </c>
      <c r="F20" s="53"/>
      <c r="G20" s="157">
        <f t="shared" si="0"/>
        <v>0</v>
      </c>
      <c r="H20" s="11"/>
      <c r="I20" s="12" t="s">
        <v>96</v>
      </c>
    </row>
    <row r="21" spans="2:9" s="145" customFormat="1" ht="33" customHeight="1" x14ac:dyDescent="0.25">
      <c r="B21" s="178"/>
      <c r="C21" s="5" t="s">
        <v>38</v>
      </c>
      <c r="D21" s="133">
        <v>18</v>
      </c>
      <c r="E21" s="6" t="s">
        <v>100</v>
      </c>
      <c r="F21" s="52"/>
      <c r="G21" s="152">
        <f t="shared" si="0"/>
        <v>0</v>
      </c>
      <c r="H21" s="7" t="s">
        <v>39</v>
      </c>
      <c r="I21" s="8" t="s">
        <v>40</v>
      </c>
    </row>
    <row r="22" spans="2:9" s="145" customFormat="1" ht="33" customHeight="1" x14ac:dyDescent="0.25">
      <c r="B22" s="178"/>
      <c r="C22" s="5" t="s">
        <v>41</v>
      </c>
      <c r="D22" s="133">
        <v>18</v>
      </c>
      <c r="E22" s="6" t="s">
        <v>100</v>
      </c>
      <c r="F22" s="52"/>
      <c r="G22" s="152">
        <f t="shared" si="0"/>
        <v>0</v>
      </c>
      <c r="H22" s="7" t="s">
        <v>39</v>
      </c>
      <c r="I22" s="8" t="s">
        <v>40</v>
      </c>
    </row>
    <row r="23" spans="2:9" s="145" customFormat="1" ht="33" customHeight="1" x14ac:dyDescent="0.25">
      <c r="B23" s="178"/>
      <c r="C23" s="5" t="s">
        <v>42</v>
      </c>
      <c r="D23" s="133">
        <v>10</v>
      </c>
      <c r="E23" s="6" t="s">
        <v>100</v>
      </c>
      <c r="F23" s="126">
        <f>from_geodata!C5</f>
        <v>0</v>
      </c>
      <c r="G23" s="152">
        <f t="shared" si="0"/>
        <v>0</v>
      </c>
      <c r="H23" s="7" t="s">
        <v>43</v>
      </c>
      <c r="I23" s="8" t="s">
        <v>40</v>
      </c>
    </row>
    <row r="24" spans="2:9" s="145" customFormat="1" ht="33" customHeight="1" x14ac:dyDescent="0.25">
      <c r="B24" s="178"/>
      <c r="C24" s="5" t="s">
        <v>44</v>
      </c>
      <c r="D24" s="133">
        <v>10</v>
      </c>
      <c r="E24" s="6" t="s">
        <v>100</v>
      </c>
      <c r="F24" s="126">
        <f>from_geodata!C7</f>
        <v>0</v>
      </c>
      <c r="G24" s="152">
        <f t="shared" si="0"/>
        <v>0</v>
      </c>
      <c r="H24" s="7" t="s">
        <v>43</v>
      </c>
      <c r="I24" s="8" t="s">
        <v>40</v>
      </c>
    </row>
    <row r="25" spans="2:9" x14ac:dyDescent="0.3">
      <c r="B25" s="181"/>
      <c r="C25" s="22" t="s">
        <v>45</v>
      </c>
      <c r="D25" s="138">
        <v>10</v>
      </c>
      <c r="E25" s="6" t="s">
        <v>100</v>
      </c>
      <c r="F25" s="128">
        <f>from_geodata!C4</f>
        <v>0</v>
      </c>
      <c r="G25" s="157">
        <f t="shared" si="0"/>
        <v>0</v>
      </c>
      <c r="H25" s="24"/>
      <c r="I25" s="25" t="s">
        <v>46</v>
      </c>
    </row>
    <row r="26" spans="2:9" ht="16.5" customHeight="1" x14ac:dyDescent="0.3">
      <c r="B26" s="181"/>
      <c r="C26" s="67" t="s">
        <v>47</v>
      </c>
      <c r="D26" s="139">
        <v>10</v>
      </c>
      <c r="E26" s="68" t="s">
        <v>100</v>
      </c>
      <c r="F26" s="128">
        <f>from_geodata!C6</f>
        <v>0</v>
      </c>
      <c r="G26" s="158">
        <f t="shared" si="0"/>
        <v>0</v>
      </c>
      <c r="H26" s="24"/>
      <c r="I26" s="25" t="s">
        <v>46</v>
      </c>
    </row>
    <row r="27" spans="2:9" ht="16.5" customHeight="1" x14ac:dyDescent="0.3">
      <c r="B27" s="179" t="s">
        <v>48</v>
      </c>
      <c r="C27" s="181"/>
      <c r="D27" s="182"/>
      <c r="E27" s="183"/>
      <c r="F27" s="176"/>
      <c r="G27" s="154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55"/>
      <c r="H28" s="26"/>
      <c r="I28" s="27"/>
    </row>
    <row r="29" spans="2:9" ht="16.5" customHeight="1" x14ac:dyDescent="0.3">
      <c r="B29" s="184" t="s">
        <v>49</v>
      </c>
      <c r="C29" s="9" t="s">
        <v>50</v>
      </c>
      <c r="D29" s="137">
        <v>75</v>
      </c>
      <c r="E29" s="10" t="s">
        <v>100</v>
      </c>
      <c r="F29" s="53"/>
      <c r="G29" s="157">
        <f>F29*D29</f>
        <v>0</v>
      </c>
      <c r="H29" s="11" t="s">
        <v>51</v>
      </c>
      <c r="I29" s="12" t="s">
        <v>20</v>
      </c>
    </row>
    <row r="30" spans="2:9" x14ac:dyDescent="0.3">
      <c r="B30" s="181"/>
      <c r="C30" s="9" t="s">
        <v>52</v>
      </c>
      <c r="D30" s="137">
        <v>35</v>
      </c>
      <c r="E30" s="10" t="s">
        <v>102</v>
      </c>
      <c r="F30" s="53"/>
      <c r="G30" s="157">
        <f>F30*D30</f>
        <v>0</v>
      </c>
      <c r="H30" s="11" t="s">
        <v>53</v>
      </c>
      <c r="I30" s="12" t="s">
        <v>20</v>
      </c>
    </row>
    <row r="31" spans="2:9" x14ac:dyDescent="0.3">
      <c r="B31" s="181"/>
      <c r="C31" s="9" t="s">
        <v>54</v>
      </c>
      <c r="D31" s="137">
        <f>(2+10)/2</f>
        <v>6</v>
      </c>
      <c r="E31" s="10" t="s">
        <v>100</v>
      </c>
      <c r="F31" s="53"/>
      <c r="G31" s="157">
        <f>F31*D31</f>
        <v>0</v>
      </c>
      <c r="H31" s="11" t="s">
        <v>55</v>
      </c>
      <c r="I31" s="12" t="s">
        <v>20</v>
      </c>
    </row>
    <row r="32" spans="2:9" s="145" customFormat="1" ht="33" customHeight="1" x14ac:dyDescent="0.25">
      <c r="B32" s="178"/>
      <c r="C32" s="5" t="s">
        <v>56</v>
      </c>
      <c r="D32" s="133">
        <f>(10+20)/2</f>
        <v>15</v>
      </c>
      <c r="E32" s="6" t="s">
        <v>102</v>
      </c>
      <c r="F32" s="126">
        <f>(from_geodata!C14 + from_geodata!F13)</f>
        <v>0</v>
      </c>
      <c r="G32" s="152">
        <f>F32*2*D32</f>
        <v>0</v>
      </c>
      <c r="H32" s="7" t="s">
        <v>57</v>
      </c>
      <c r="I32" s="8" t="s">
        <v>20</v>
      </c>
    </row>
    <row r="33" spans="2:9" s="145" customFormat="1" ht="33" customHeight="1" x14ac:dyDescent="0.25">
      <c r="B33" s="178"/>
      <c r="C33" s="64" t="s">
        <v>58</v>
      </c>
      <c r="D33" s="136">
        <f>(120+160)/2</f>
        <v>140</v>
      </c>
      <c r="E33" s="65" t="s">
        <v>100</v>
      </c>
      <c r="F33" s="126">
        <f>(from_geodata!F15 + from_geodata!F14)</f>
        <v>0</v>
      </c>
      <c r="G33" s="156">
        <f>F33*D33</f>
        <v>0</v>
      </c>
      <c r="H33" s="17" t="s">
        <v>59</v>
      </c>
      <c r="I33" s="18" t="s">
        <v>20</v>
      </c>
    </row>
    <row r="34" spans="2:9" ht="16.5" customHeight="1" x14ac:dyDescent="0.3">
      <c r="B34" s="179" t="s">
        <v>60</v>
      </c>
      <c r="C34" s="181"/>
      <c r="D34" s="182"/>
      <c r="E34" s="183"/>
      <c r="F34" s="176"/>
      <c r="G34" s="154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55"/>
      <c r="H35" s="26"/>
      <c r="I35" s="27"/>
    </row>
    <row r="36" spans="2:9" s="145" customFormat="1" ht="16.5" customHeight="1" x14ac:dyDescent="0.3">
      <c r="B36" s="180" t="s">
        <v>61</v>
      </c>
      <c r="C36" s="5" t="s">
        <v>62</v>
      </c>
      <c r="D36" s="133">
        <v>0.93</v>
      </c>
      <c r="E36" s="10" t="s">
        <v>100</v>
      </c>
      <c r="F36" s="52"/>
      <c r="G36" s="152">
        <f>F36*D36</f>
        <v>0</v>
      </c>
      <c r="H36" s="7"/>
      <c r="I36" s="8" t="s">
        <v>63</v>
      </c>
    </row>
    <row r="37" spans="2:9" s="145" customFormat="1" ht="16.5" customHeight="1" x14ac:dyDescent="0.25">
      <c r="B37" s="178"/>
      <c r="C37" s="64" t="s">
        <v>64</v>
      </c>
      <c r="D37" s="136">
        <f>AVERAGE(1000, 2000)</f>
        <v>1500</v>
      </c>
      <c r="E37" s="65" t="s">
        <v>102</v>
      </c>
      <c r="F37" s="66"/>
      <c r="G37" s="156">
        <f>F37*D37</f>
        <v>0</v>
      </c>
      <c r="H37" s="17"/>
      <c r="I37" s="18" t="s">
        <v>46</v>
      </c>
    </row>
    <row r="38" spans="2:9" s="145" customFormat="1" ht="16.5" customHeight="1" x14ac:dyDescent="0.25">
      <c r="B38" s="179" t="s">
        <v>65</v>
      </c>
      <c r="C38" s="178"/>
      <c r="D38" s="178"/>
      <c r="E38" s="178"/>
      <c r="F38" s="178"/>
      <c r="G38" s="154">
        <f>SUM(G36:G37)</f>
        <v>0</v>
      </c>
      <c r="H38" s="39"/>
      <c r="I38" s="40"/>
    </row>
    <row r="39" spans="2:9" s="145" customFormat="1" ht="5.0999999999999996" customHeight="1" x14ac:dyDescent="0.25">
      <c r="B39" s="19"/>
      <c r="C39" s="69"/>
      <c r="D39" s="69"/>
      <c r="E39" s="69"/>
      <c r="F39" s="70"/>
      <c r="G39" s="155"/>
      <c r="H39" s="15"/>
      <c r="I39" s="16"/>
    </row>
    <row r="40" spans="2:9" s="145" customFormat="1" ht="16.5" customHeight="1" x14ac:dyDescent="0.3">
      <c r="B40" s="180" t="s">
        <v>66</v>
      </c>
      <c r="C40" s="5" t="s">
        <v>67</v>
      </c>
      <c r="D40" s="133">
        <v>200</v>
      </c>
      <c r="E40" s="6" t="s">
        <v>101</v>
      </c>
      <c r="F40" s="52"/>
      <c r="G40" s="152">
        <f t="shared" ref="G40:G47" si="1">F40*D40</f>
        <v>0</v>
      </c>
      <c r="H40" s="7"/>
      <c r="I40" s="12" t="s">
        <v>13</v>
      </c>
    </row>
    <row r="41" spans="2:9" s="145" customFormat="1" ht="16.5" customHeight="1" x14ac:dyDescent="0.3">
      <c r="B41" s="178"/>
      <c r="C41" s="5" t="s">
        <v>68</v>
      </c>
      <c r="D41" s="133">
        <v>1500</v>
      </c>
      <c r="E41" s="6" t="s">
        <v>103</v>
      </c>
      <c r="F41" s="52"/>
      <c r="G41" s="152">
        <f t="shared" si="1"/>
        <v>0</v>
      </c>
      <c r="H41" s="7"/>
      <c r="I41" s="12" t="s">
        <v>13</v>
      </c>
    </row>
    <row r="42" spans="2:9" x14ac:dyDescent="0.3">
      <c r="B42" s="181"/>
      <c r="C42" s="9" t="s">
        <v>70</v>
      </c>
      <c r="D42" s="137">
        <v>100</v>
      </c>
      <c r="E42" s="10" t="s">
        <v>102</v>
      </c>
      <c r="F42" s="53"/>
      <c r="G42" s="157">
        <f t="shared" si="1"/>
        <v>0</v>
      </c>
      <c r="H42" s="11" t="s">
        <v>71</v>
      </c>
      <c r="I42" s="12" t="s">
        <v>13</v>
      </c>
    </row>
    <row r="43" spans="2:9" x14ac:dyDescent="0.3">
      <c r="B43" s="181"/>
      <c r="C43" s="9" t="s">
        <v>72</v>
      </c>
      <c r="D43" s="137">
        <v>140</v>
      </c>
      <c r="E43" s="10" t="s">
        <v>102</v>
      </c>
      <c r="F43" s="53"/>
      <c r="G43" s="157">
        <f t="shared" si="1"/>
        <v>0</v>
      </c>
      <c r="H43" s="11"/>
      <c r="I43" s="12" t="s">
        <v>13</v>
      </c>
    </row>
    <row r="44" spans="2:9" x14ac:dyDescent="0.3">
      <c r="B44" s="181"/>
      <c r="C44" s="9" t="s">
        <v>73</v>
      </c>
      <c r="D44" s="137">
        <v>275</v>
      </c>
      <c r="E44" s="10" t="s">
        <v>102</v>
      </c>
      <c r="F44" s="53"/>
      <c r="G44" s="157">
        <f t="shared" si="1"/>
        <v>0</v>
      </c>
      <c r="H44" s="11"/>
      <c r="I44" s="12" t="s">
        <v>13</v>
      </c>
    </row>
    <row r="45" spans="2:9" x14ac:dyDescent="0.3">
      <c r="B45" s="181"/>
      <c r="C45" s="9" t="s">
        <v>74</v>
      </c>
      <c r="D45" s="137">
        <v>850</v>
      </c>
      <c r="E45" s="10" t="s">
        <v>100</v>
      </c>
      <c r="F45" s="53"/>
      <c r="G45" s="157">
        <f t="shared" si="1"/>
        <v>0</v>
      </c>
      <c r="H45" s="11"/>
      <c r="I45" s="12" t="s">
        <v>13</v>
      </c>
    </row>
    <row r="46" spans="2:9" x14ac:dyDescent="0.3">
      <c r="B46" s="181"/>
      <c r="C46" s="9" t="s">
        <v>75</v>
      </c>
      <c r="D46" s="137">
        <v>1250</v>
      </c>
      <c r="E46" s="10" t="s">
        <v>100</v>
      </c>
      <c r="F46" s="53"/>
      <c r="G46" s="157">
        <f t="shared" si="1"/>
        <v>0</v>
      </c>
      <c r="H46" s="11"/>
      <c r="I46" s="12" t="s">
        <v>13</v>
      </c>
    </row>
    <row r="47" spans="2:9" s="145" customFormat="1" ht="33" customHeight="1" x14ac:dyDescent="0.25">
      <c r="B47" s="178"/>
      <c r="C47" s="64" t="s">
        <v>94</v>
      </c>
      <c r="D47" s="136">
        <f>AVERAGE(3.29, 4.21, 5.65, 2.57, 2.77)*0.91^2</f>
        <v>3.0623138000000005</v>
      </c>
      <c r="E47" s="65" t="s">
        <v>100</v>
      </c>
      <c r="F47" s="66"/>
      <c r="G47" s="156">
        <f t="shared" si="1"/>
        <v>0</v>
      </c>
      <c r="H47" s="17"/>
      <c r="I47" s="18" t="s">
        <v>76</v>
      </c>
    </row>
    <row r="48" spans="2:9" s="145" customFormat="1" ht="16.5" customHeight="1" x14ac:dyDescent="0.25">
      <c r="B48" s="179" t="s">
        <v>77</v>
      </c>
      <c r="C48" s="178"/>
      <c r="D48" s="178"/>
      <c r="E48" s="178"/>
      <c r="F48" s="178"/>
      <c r="G48" s="154">
        <f>SUM(G40:G47)</f>
        <v>0</v>
      </c>
      <c r="H48" s="39"/>
      <c r="I48" s="40"/>
    </row>
    <row r="49" spans="2:9" s="145" customFormat="1" ht="16.5" customHeight="1" x14ac:dyDescent="0.25">
      <c r="B49" s="144"/>
      <c r="C49" s="71"/>
      <c r="D49" s="71"/>
      <c r="E49" s="71"/>
      <c r="F49" s="72"/>
      <c r="G49" s="159"/>
      <c r="H49" s="37"/>
      <c r="I49" s="38"/>
    </row>
    <row r="50" spans="2:9" s="145" customFormat="1" ht="16.5" customHeight="1" x14ac:dyDescent="0.25">
      <c r="B50" s="177" t="s">
        <v>78</v>
      </c>
      <c r="C50" s="178"/>
      <c r="D50" s="178"/>
      <c r="E50" s="178"/>
      <c r="F50" s="178"/>
      <c r="G50" s="160">
        <f>SUM(G48,G38,G34,G27,G17,G10)</f>
        <v>0</v>
      </c>
      <c r="H50" s="37"/>
      <c r="I50" s="38"/>
    </row>
    <row r="52" spans="2:9" ht="16.5" customHeight="1" x14ac:dyDescent="0.3">
      <c r="B52" s="187" t="s">
        <v>79</v>
      </c>
      <c r="C52" s="181"/>
      <c r="D52" s="182"/>
      <c r="E52" s="183"/>
      <c r="F52" s="176"/>
      <c r="G52" s="188"/>
      <c r="H52" s="170"/>
      <c r="I52" s="172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89" t="s">
        <v>80</v>
      </c>
      <c r="C54" s="181"/>
      <c r="D54" s="31"/>
      <c r="E54" s="28"/>
      <c r="F54" s="55"/>
      <c r="G54" s="123"/>
      <c r="H54" s="29"/>
      <c r="I54" s="30"/>
    </row>
    <row r="55" spans="2:9" x14ac:dyDescent="0.3">
      <c r="B55" s="190" t="s">
        <v>81</v>
      </c>
      <c r="C55" s="181"/>
      <c r="D55" s="34">
        <v>0.1</v>
      </c>
      <c r="E55" s="33" t="s">
        <v>82</v>
      </c>
      <c r="F55" s="143">
        <v>1</v>
      </c>
      <c r="G55" s="161">
        <f>G50*D55</f>
        <v>0</v>
      </c>
      <c r="I55" s="129" t="s">
        <v>13</v>
      </c>
    </row>
    <row r="56" spans="2:9" x14ac:dyDescent="0.3">
      <c r="B56" s="190" t="s">
        <v>83</v>
      </c>
      <c r="C56" s="181"/>
      <c r="D56" s="35">
        <v>0.1</v>
      </c>
      <c r="E56" s="33" t="s">
        <v>82</v>
      </c>
      <c r="F56" s="143">
        <v>1</v>
      </c>
      <c r="G56" s="161">
        <f>G50*D56</f>
        <v>0</v>
      </c>
      <c r="I56" s="129" t="s">
        <v>13</v>
      </c>
    </row>
    <row r="57" spans="2:9" x14ac:dyDescent="0.3">
      <c r="B57" s="189" t="s">
        <v>107</v>
      </c>
      <c r="C57" s="181"/>
      <c r="D57" s="36"/>
      <c r="E57" s="28"/>
      <c r="F57" s="55"/>
      <c r="G57" s="162"/>
      <c r="H57" s="29"/>
      <c r="I57" s="30"/>
    </row>
    <row r="58" spans="2:9" s="145" customFormat="1" ht="48.95" customHeight="1" x14ac:dyDescent="0.25">
      <c r="B58" s="191" t="s">
        <v>110</v>
      </c>
      <c r="C58" s="178"/>
      <c r="D58" s="131">
        <v>0.16500000000000001</v>
      </c>
      <c r="E58" s="59" t="s">
        <v>82</v>
      </c>
      <c r="F58" s="60">
        <v>1</v>
      </c>
      <c r="G58" s="163">
        <f>G50*D58</f>
        <v>0</v>
      </c>
      <c r="H58" s="37"/>
      <c r="I58" s="38" t="s">
        <v>109</v>
      </c>
    </row>
    <row r="59" spans="2:9" s="145" customFormat="1" ht="16.5" customHeight="1" x14ac:dyDescent="0.25">
      <c r="B59" s="185" t="s">
        <v>108</v>
      </c>
      <c r="C59" s="178"/>
      <c r="D59" s="58">
        <v>0.35</v>
      </c>
      <c r="E59" s="59" t="s">
        <v>82</v>
      </c>
      <c r="F59" s="60">
        <v>1</v>
      </c>
      <c r="G59" s="163">
        <f>G50*D59</f>
        <v>0</v>
      </c>
      <c r="H59" s="37"/>
      <c r="I59" s="38"/>
    </row>
    <row r="60" spans="2:9" x14ac:dyDescent="0.3">
      <c r="G60" s="161"/>
    </row>
    <row r="61" spans="2:9" x14ac:dyDescent="0.3">
      <c r="B61" s="186" t="s">
        <v>84</v>
      </c>
      <c r="C61" s="181"/>
      <c r="D61" s="182"/>
      <c r="E61" s="183"/>
      <c r="F61" s="176"/>
      <c r="G61" s="164">
        <f>G58+G56+G55+G50+G59</f>
        <v>0</v>
      </c>
      <c r="H61" s="149"/>
      <c r="I61" s="149"/>
    </row>
  </sheetData>
  <mergeCells count="26">
    <mergeCell ref="B59:C59"/>
    <mergeCell ref="B61:F61"/>
    <mergeCell ref="B52:I52"/>
    <mergeCell ref="B54:C54"/>
    <mergeCell ref="B55:C55"/>
    <mergeCell ref="B56:C56"/>
    <mergeCell ref="B57:C57"/>
    <mergeCell ref="B58:C58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7:B9"/>
    <mergeCell ref="B1:I1"/>
    <mergeCell ref="H2:H3"/>
    <mergeCell ref="I2:I3"/>
    <mergeCell ref="K2:K3"/>
    <mergeCell ref="E3:F3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abSelected="1" topLeftCell="A13" zoomScaleNormal="100" workbookViewId="0">
      <selection activeCell="B34" sqref="B34:F34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8.5703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68" t="s">
        <v>98</v>
      </c>
      <c r="C1" s="168"/>
      <c r="D1" s="168"/>
      <c r="E1" s="168"/>
      <c r="F1" s="168"/>
      <c r="G1" s="168"/>
      <c r="H1" s="168"/>
      <c r="I1" s="168"/>
    </row>
    <row r="2" spans="2:11" ht="16.5" customHeight="1" x14ac:dyDescent="0.3">
      <c r="B2" s="75"/>
      <c r="C2" s="76"/>
      <c r="D2" s="77"/>
      <c r="E2" s="73"/>
      <c r="F2" s="74" t="s">
        <v>0</v>
      </c>
      <c r="G2" s="98">
        <f>G61</f>
        <v>0</v>
      </c>
      <c r="H2" s="169" t="s">
        <v>111</v>
      </c>
      <c r="I2" s="171" t="str">
        <f>IF(NOT(OR(ISBLANK(G2), ISBLANK(G3))),G2/G3,"")</f>
        <v/>
      </c>
      <c r="J2" s="81"/>
      <c r="K2" s="173" t="s">
        <v>92</v>
      </c>
    </row>
    <row r="3" spans="2:11" ht="17.25" customHeight="1" thickBot="1" x14ac:dyDescent="0.35">
      <c r="B3" s="78" t="s">
        <v>1</v>
      </c>
      <c r="C3" s="79" t="s">
        <v>93</v>
      </c>
      <c r="D3" s="80"/>
      <c r="E3" s="175" t="s">
        <v>114</v>
      </c>
      <c r="F3" s="176"/>
      <c r="G3" s="99"/>
      <c r="H3" s="170"/>
      <c r="I3" s="172"/>
      <c r="J3" s="81"/>
      <c r="K3" s="174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66" t="s">
        <v>10</v>
      </c>
      <c r="C7" s="1" t="s">
        <v>11</v>
      </c>
      <c r="D7" s="105">
        <v>220</v>
      </c>
      <c r="E7" s="2" t="s">
        <v>12</v>
      </c>
      <c r="F7" s="127">
        <f>from_geodata!C8</f>
        <v>0</v>
      </c>
      <c r="G7" s="106">
        <f>F7*D7</f>
        <v>0</v>
      </c>
      <c r="H7" s="3"/>
      <c r="I7" s="4" t="s">
        <v>13</v>
      </c>
    </row>
    <row r="8" spans="2:11" s="91" customFormat="1" ht="49.5" customHeight="1" x14ac:dyDescent="0.25">
      <c r="B8" s="167"/>
      <c r="C8" s="5" t="s">
        <v>14</v>
      </c>
      <c r="D8" s="107">
        <v>23</v>
      </c>
      <c r="E8" s="6" t="s">
        <v>15</v>
      </c>
      <c r="F8" s="57" t="s">
        <v>16</v>
      </c>
      <c r="G8" s="108">
        <f>D8*MAX(terraforming_volumes!C5,terraforming_volumes!C6)</f>
        <v>0</v>
      </c>
      <c r="H8" s="7" t="s">
        <v>17</v>
      </c>
      <c r="I8" s="8" t="s">
        <v>95</v>
      </c>
    </row>
    <row r="9" spans="2:11" s="91" customFormat="1" ht="16.5" customHeight="1" x14ac:dyDescent="0.25">
      <c r="B9" s="167"/>
      <c r="C9" s="61" t="s">
        <v>18</v>
      </c>
      <c r="D9" s="109">
        <v>1200</v>
      </c>
      <c r="E9" s="62" t="s">
        <v>19</v>
      </c>
      <c r="F9" s="63"/>
      <c r="G9" s="110">
        <f>F9*D9</f>
        <v>0</v>
      </c>
      <c r="H9" s="20"/>
      <c r="I9" s="21" t="s">
        <v>20</v>
      </c>
    </row>
    <row r="10" spans="2:11" s="91" customFormat="1" ht="16.5" customHeight="1" x14ac:dyDescent="0.25">
      <c r="B10" s="179" t="s">
        <v>21</v>
      </c>
      <c r="C10" s="167"/>
      <c r="D10" s="167"/>
      <c r="E10" s="167"/>
      <c r="F10" s="167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80" t="s">
        <v>104</v>
      </c>
      <c r="C12" s="1" t="s">
        <v>118</v>
      </c>
      <c r="D12" s="105">
        <v>80</v>
      </c>
      <c r="E12" s="2" t="s">
        <v>22</v>
      </c>
      <c r="F12" s="127">
        <f>(from_geodata!C13)/square_yd2acre/ft2yd^2/log_length^2*log_length*ft2yd</f>
        <v>0</v>
      </c>
      <c r="G12" s="106">
        <f>F12*D12</f>
        <v>0</v>
      </c>
      <c r="H12" s="3" t="s">
        <v>23</v>
      </c>
      <c r="I12" s="4" t="s">
        <v>13</v>
      </c>
    </row>
    <row r="13" spans="2:11" s="90" customFormat="1" ht="33" customHeight="1" x14ac:dyDescent="0.25">
      <c r="B13" s="178"/>
      <c r="C13" s="5" t="s">
        <v>119</v>
      </c>
      <c r="D13" s="113">
        <f>AVERAGE(600,1000, 300, 1200)</f>
        <v>775</v>
      </c>
      <c r="E13" s="6" t="s">
        <v>24</v>
      </c>
      <c r="F13" s="126">
        <f>( from_geodata!C13)/square_yd2acre/ft2yd^2/log_length^2</f>
        <v>0</v>
      </c>
      <c r="G13" s="108">
        <f>F13*D13</f>
        <v>0</v>
      </c>
      <c r="H13" s="7" t="s">
        <v>25</v>
      </c>
      <c r="I13" s="8" t="s">
        <v>26</v>
      </c>
    </row>
    <row r="14" spans="2:11" s="90" customFormat="1" ht="33" customHeight="1" x14ac:dyDescent="0.25">
      <c r="B14" s="178"/>
      <c r="C14" s="5" t="s">
        <v>27</v>
      </c>
      <c r="D14" s="113">
        <f>(1.65*15+75)/2</f>
        <v>49.875</v>
      </c>
      <c r="E14" s="6" t="s">
        <v>28</v>
      </c>
      <c r="F14" s="52"/>
      <c r="G14" s="108">
        <f>F14*D14</f>
        <v>0</v>
      </c>
      <c r="H14" s="7"/>
      <c r="I14" s="8" t="s">
        <v>97</v>
      </c>
    </row>
    <row r="15" spans="2:11" s="90" customFormat="1" ht="33" customHeight="1" x14ac:dyDescent="0.25">
      <c r="B15" s="178"/>
      <c r="C15" s="5" t="s">
        <v>120</v>
      </c>
      <c r="D15" s="113">
        <f>AVERAGE(600,1000, 300, 1200)</f>
        <v>775</v>
      </c>
      <c r="E15" s="6" t="s">
        <v>24</v>
      </c>
      <c r="F15" s="126">
        <f>(from_geodata!C12 + from_geodata!F12)/square_yd2acre/ft2yd^2/log_length^2</f>
        <v>0</v>
      </c>
      <c r="G15" s="108">
        <f>F15*D15</f>
        <v>0</v>
      </c>
      <c r="H15" s="7"/>
      <c r="I15" s="8" t="s">
        <v>29</v>
      </c>
    </row>
    <row r="16" spans="2:11" s="90" customFormat="1" ht="33" customHeight="1" x14ac:dyDescent="0.25">
      <c r="B16" s="178"/>
      <c r="C16" s="64" t="s">
        <v>30</v>
      </c>
      <c r="D16" s="114">
        <v>150</v>
      </c>
      <c r="E16" s="65" t="s">
        <v>31</v>
      </c>
      <c r="F16" s="126">
        <f>(from_geodata!C16 + from_geodata!C15)/ square_yd2acre</f>
        <v>0</v>
      </c>
      <c r="G16" s="115">
        <f>F16*D16</f>
        <v>0</v>
      </c>
      <c r="H16" s="17"/>
      <c r="I16" s="18" t="s">
        <v>32</v>
      </c>
    </row>
    <row r="17" spans="2:9" s="90" customFormat="1" ht="16.5" customHeight="1" x14ac:dyDescent="0.25">
      <c r="B17" s="179" t="s">
        <v>105</v>
      </c>
      <c r="C17" s="178"/>
      <c r="D17" s="178"/>
      <c r="E17" s="178"/>
      <c r="F17" s="178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80" t="s">
        <v>33</v>
      </c>
      <c r="C19" s="5" t="s">
        <v>34</v>
      </c>
      <c r="D19" s="107">
        <f>AVERAGE(120, 300)</f>
        <v>210</v>
      </c>
      <c r="E19" s="6" t="s">
        <v>19</v>
      </c>
      <c r="F19" s="52"/>
      <c r="G19" s="108">
        <f t="shared" ref="G19:G26" si="0">F19*D19</f>
        <v>0</v>
      </c>
      <c r="H19" s="7"/>
      <c r="I19" s="8" t="s">
        <v>35</v>
      </c>
    </row>
    <row r="20" spans="2:9" x14ac:dyDescent="0.3">
      <c r="B20" s="181"/>
      <c r="C20" s="9" t="s">
        <v>36</v>
      </c>
      <c r="D20" s="116">
        <f>20*1.65</f>
        <v>33</v>
      </c>
      <c r="E20" s="10" t="s">
        <v>37</v>
      </c>
      <c r="F20" s="53"/>
      <c r="G20" s="117">
        <f t="shared" si="0"/>
        <v>0</v>
      </c>
      <c r="H20" s="11"/>
      <c r="I20" s="12" t="s">
        <v>96</v>
      </c>
    </row>
    <row r="21" spans="2:9" s="90" customFormat="1" ht="33" customHeight="1" x14ac:dyDescent="0.25">
      <c r="B21" s="178"/>
      <c r="C21" s="5" t="s">
        <v>38</v>
      </c>
      <c r="D21" s="107">
        <f>AVERAGE(73059, 71836)</f>
        <v>72447.5</v>
      </c>
      <c r="E21" s="6" t="s">
        <v>12</v>
      </c>
      <c r="F21" s="52"/>
      <c r="G21" s="108">
        <f t="shared" si="0"/>
        <v>0</v>
      </c>
      <c r="H21" s="7" t="s">
        <v>39</v>
      </c>
      <c r="I21" s="8" t="s">
        <v>40</v>
      </c>
    </row>
    <row r="22" spans="2:9" s="90" customFormat="1" ht="33" customHeight="1" x14ac:dyDescent="0.25">
      <c r="B22" s="178"/>
      <c r="C22" s="5" t="s">
        <v>41</v>
      </c>
      <c r="D22" s="107">
        <f>AVERAGE(73059, 71836)</f>
        <v>72447.5</v>
      </c>
      <c r="E22" s="6" t="s">
        <v>12</v>
      </c>
      <c r="F22" s="52"/>
      <c r="G22" s="108">
        <f t="shared" si="0"/>
        <v>0</v>
      </c>
      <c r="H22" s="7" t="s">
        <v>39</v>
      </c>
      <c r="I22" s="8" t="s">
        <v>40</v>
      </c>
    </row>
    <row r="23" spans="2:9" s="90" customFormat="1" ht="33" customHeight="1" x14ac:dyDescent="0.25">
      <c r="B23" s="178"/>
      <c r="C23" s="5" t="s">
        <v>42</v>
      </c>
      <c r="D23" s="107">
        <v>40598</v>
      </c>
      <c r="E23" s="6" t="s">
        <v>12</v>
      </c>
      <c r="F23" s="126">
        <f>from_geodata!C5</f>
        <v>0</v>
      </c>
      <c r="G23" s="108">
        <f t="shared" si="0"/>
        <v>0</v>
      </c>
      <c r="H23" s="7" t="s">
        <v>43</v>
      </c>
      <c r="I23" s="8" t="s">
        <v>40</v>
      </c>
    </row>
    <row r="24" spans="2:9" s="90" customFormat="1" ht="33" customHeight="1" x14ac:dyDescent="0.25">
      <c r="B24" s="178"/>
      <c r="C24" s="5" t="s">
        <v>44</v>
      </c>
      <c r="D24" s="107">
        <v>40598</v>
      </c>
      <c r="E24" s="6" t="s">
        <v>12</v>
      </c>
      <c r="F24" s="126">
        <f>from_geodata!C7</f>
        <v>0</v>
      </c>
      <c r="G24" s="108">
        <f t="shared" si="0"/>
        <v>0</v>
      </c>
      <c r="H24" s="7" t="s">
        <v>43</v>
      </c>
      <c r="I24" s="8" t="s">
        <v>40</v>
      </c>
    </row>
    <row r="25" spans="2:9" x14ac:dyDescent="0.3">
      <c r="B25" s="181"/>
      <c r="C25" s="22" t="s">
        <v>45</v>
      </c>
      <c r="D25" s="118">
        <f>AVERAGE(35000,45000)</f>
        <v>40000</v>
      </c>
      <c r="E25" s="23" t="s">
        <v>12</v>
      </c>
      <c r="F25" s="128">
        <f>from_geodata!C4</f>
        <v>0</v>
      </c>
      <c r="G25" s="117">
        <f t="shared" si="0"/>
        <v>0</v>
      </c>
      <c r="H25" s="24"/>
      <c r="I25" s="25" t="s">
        <v>46</v>
      </c>
    </row>
    <row r="26" spans="2:9" ht="16.5" customHeight="1" x14ac:dyDescent="0.3">
      <c r="B26" s="181"/>
      <c r="C26" s="67" t="s">
        <v>47</v>
      </c>
      <c r="D26" s="119">
        <f>AVERAGE(35000,45000)</f>
        <v>40000</v>
      </c>
      <c r="E26" s="68" t="s">
        <v>12</v>
      </c>
      <c r="F26" s="128">
        <f>from_geodata!C6</f>
        <v>0</v>
      </c>
      <c r="G26" s="120">
        <f t="shared" si="0"/>
        <v>0</v>
      </c>
      <c r="H26" s="24"/>
      <c r="I26" s="25" t="s">
        <v>46</v>
      </c>
    </row>
    <row r="27" spans="2:9" ht="16.5" customHeight="1" x14ac:dyDescent="0.3">
      <c r="B27" s="179" t="s">
        <v>48</v>
      </c>
      <c r="C27" s="181"/>
      <c r="D27" s="182"/>
      <c r="E27" s="183"/>
      <c r="F27" s="176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84" t="s">
        <v>49</v>
      </c>
      <c r="C29" s="9" t="s">
        <v>50</v>
      </c>
      <c r="D29" s="116">
        <f>(60+100)/2</f>
        <v>80</v>
      </c>
      <c r="E29" s="10" t="s">
        <v>31</v>
      </c>
      <c r="F29" s="53"/>
      <c r="G29" s="117">
        <f>F29*D29</f>
        <v>0</v>
      </c>
      <c r="H29" s="11" t="s">
        <v>51</v>
      </c>
      <c r="I29" s="12" t="s">
        <v>20</v>
      </c>
    </row>
    <row r="30" spans="2:9" x14ac:dyDescent="0.3">
      <c r="B30" s="181"/>
      <c r="C30" s="9" t="s">
        <v>52</v>
      </c>
      <c r="D30" s="116">
        <f>(25+50)/2</f>
        <v>37.5</v>
      </c>
      <c r="E30" s="10" t="s">
        <v>22</v>
      </c>
      <c r="F30" s="53"/>
      <c r="G30" s="117">
        <f>F30*D30</f>
        <v>0</v>
      </c>
      <c r="H30" s="11" t="s">
        <v>53</v>
      </c>
      <c r="I30" s="12" t="s">
        <v>20</v>
      </c>
    </row>
    <row r="31" spans="2:9" x14ac:dyDescent="0.3">
      <c r="B31" s="181"/>
      <c r="C31" s="9" t="s">
        <v>54</v>
      </c>
      <c r="D31" s="116">
        <f>(3+12)/2</f>
        <v>7.5</v>
      </c>
      <c r="E31" s="10" t="s">
        <v>31</v>
      </c>
      <c r="F31" s="53"/>
      <c r="G31" s="117">
        <f>F31*D31</f>
        <v>0</v>
      </c>
      <c r="H31" s="11" t="s">
        <v>55</v>
      </c>
      <c r="I31" s="12" t="s">
        <v>20</v>
      </c>
    </row>
    <row r="32" spans="2:9" s="90" customFormat="1" ht="33" customHeight="1" x14ac:dyDescent="0.25">
      <c r="B32" s="178"/>
      <c r="C32" s="5" t="s">
        <v>56</v>
      </c>
      <c r="D32" s="107">
        <f>(10+20)/2</f>
        <v>15</v>
      </c>
      <c r="E32" s="6" t="s">
        <v>22</v>
      </c>
      <c r="F32" s="126">
        <f>(from_geodata!C14 + from_geodata!F13)*square_yd2acre</f>
        <v>0</v>
      </c>
      <c r="G32" s="108">
        <f>F32*2*D32</f>
        <v>0</v>
      </c>
      <c r="H32" s="7" t="s">
        <v>57</v>
      </c>
      <c r="I32" s="8" t="s">
        <v>20</v>
      </c>
    </row>
    <row r="33" spans="2:9" s="90" customFormat="1" ht="33" customHeight="1" x14ac:dyDescent="0.25">
      <c r="B33" s="178"/>
      <c r="C33" s="64" t="s">
        <v>58</v>
      </c>
      <c r="D33" s="114">
        <f>(140+175)/2</f>
        <v>157.5</v>
      </c>
      <c r="E33" s="65" t="s">
        <v>31</v>
      </c>
      <c r="F33" s="126">
        <f>(from_geodata!F15 + from_geodata!F14)/ square_yd2acre</f>
        <v>0</v>
      </c>
      <c r="G33" s="115">
        <f>F33*D33</f>
        <v>0</v>
      </c>
      <c r="H33" s="17" t="s">
        <v>59</v>
      </c>
      <c r="I33" s="18" t="s">
        <v>20</v>
      </c>
    </row>
    <row r="34" spans="2:9" ht="16.5" customHeight="1" x14ac:dyDescent="0.3">
      <c r="B34" s="179" t="s">
        <v>60</v>
      </c>
      <c r="C34" s="181"/>
      <c r="D34" s="182"/>
      <c r="E34" s="183"/>
      <c r="F34" s="176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80" t="s">
        <v>61</v>
      </c>
      <c r="C36" s="5" t="s">
        <v>62</v>
      </c>
      <c r="D36" s="107">
        <f>AVERAGE(2500, 5000)</f>
        <v>3750</v>
      </c>
      <c r="E36" s="10" t="s">
        <v>12</v>
      </c>
      <c r="F36" s="52"/>
      <c r="G36" s="108">
        <f>F36*D36</f>
        <v>0</v>
      </c>
      <c r="H36" s="7"/>
      <c r="I36" s="8" t="s">
        <v>63</v>
      </c>
    </row>
    <row r="37" spans="2:9" s="90" customFormat="1" ht="16.5" customHeight="1" x14ac:dyDescent="0.25">
      <c r="B37" s="178"/>
      <c r="C37" s="64" t="s">
        <v>64</v>
      </c>
      <c r="D37" s="114">
        <f>AVERAGE(1000, 2000)</f>
        <v>1500</v>
      </c>
      <c r="E37" s="65" t="s">
        <v>22</v>
      </c>
      <c r="F37" s="66"/>
      <c r="G37" s="115">
        <f>F37*D37</f>
        <v>0</v>
      </c>
      <c r="H37" s="17"/>
      <c r="I37" s="18" t="s">
        <v>46</v>
      </c>
    </row>
    <row r="38" spans="2:9" s="90" customFormat="1" ht="16.5" customHeight="1" x14ac:dyDescent="0.25">
      <c r="B38" s="179" t="s">
        <v>65</v>
      </c>
      <c r="C38" s="178"/>
      <c r="D38" s="178"/>
      <c r="E38" s="178"/>
      <c r="F38" s="178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80" t="s">
        <v>66</v>
      </c>
      <c r="C40" s="5" t="s">
        <v>67</v>
      </c>
      <c r="D40" s="107">
        <v>250</v>
      </c>
      <c r="E40" s="6" t="s">
        <v>15</v>
      </c>
      <c r="F40" s="52"/>
      <c r="G40" s="108">
        <f t="shared" ref="G40:G47" si="1">F40*D40</f>
        <v>0</v>
      </c>
      <c r="H40" s="7"/>
      <c r="I40" s="12" t="s">
        <v>13</v>
      </c>
    </row>
    <row r="41" spans="2:9" s="90" customFormat="1" ht="16.5" customHeight="1" x14ac:dyDescent="0.3">
      <c r="B41" s="178"/>
      <c r="C41" s="5" t="s">
        <v>68</v>
      </c>
      <c r="D41" s="107">
        <f>1700*0.9071847</f>
        <v>1542.21399</v>
      </c>
      <c r="E41" s="6" t="s">
        <v>69</v>
      </c>
      <c r="F41" s="52"/>
      <c r="G41" s="108">
        <f t="shared" si="1"/>
        <v>0</v>
      </c>
      <c r="H41" s="7"/>
      <c r="I41" s="12" t="s">
        <v>13</v>
      </c>
    </row>
    <row r="42" spans="2:9" x14ac:dyDescent="0.3">
      <c r="B42" s="181"/>
      <c r="C42" s="9" t="s">
        <v>70</v>
      </c>
      <c r="D42" s="116">
        <v>100</v>
      </c>
      <c r="E42" s="10" t="s">
        <v>22</v>
      </c>
      <c r="F42" s="53"/>
      <c r="G42" s="117">
        <f t="shared" si="1"/>
        <v>0</v>
      </c>
      <c r="H42" s="11"/>
      <c r="I42" s="12" t="s">
        <v>13</v>
      </c>
    </row>
    <row r="43" spans="2:9" x14ac:dyDescent="0.3">
      <c r="B43" s="181"/>
      <c r="C43" s="9" t="s">
        <v>72</v>
      </c>
      <c r="D43" s="116">
        <v>150</v>
      </c>
      <c r="E43" s="10" t="s">
        <v>22</v>
      </c>
      <c r="F43" s="53"/>
      <c r="G43" s="117">
        <f t="shared" si="1"/>
        <v>0</v>
      </c>
      <c r="H43" s="11"/>
      <c r="I43" s="12" t="s">
        <v>13</v>
      </c>
    </row>
    <row r="44" spans="2:9" x14ac:dyDescent="0.3">
      <c r="B44" s="181"/>
      <c r="C44" s="9" t="s">
        <v>73</v>
      </c>
      <c r="D44" s="116">
        <v>300</v>
      </c>
      <c r="E44" s="10" t="s">
        <v>22</v>
      </c>
      <c r="F44" s="53"/>
      <c r="G44" s="117">
        <f t="shared" si="1"/>
        <v>0</v>
      </c>
      <c r="H44" s="11"/>
      <c r="I44" s="12" t="s">
        <v>13</v>
      </c>
    </row>
    <row r="45" spans="2:9" x14ac:dyDescent="0.3">
      <c r="B45" s="181"/>
      <c r="C45" s="9" t="s">
        <v>74</v>
      </c>
      <c r="D45" s="116">
        <v>1000</v>
      </c>
      <c r="E45" s="10" t="s">
        <v>31</v>
      </c>
      <c r="F45" s="53"/>
      <c r="G45" s="117">
        <f t="shared" si="1"/>
        <v>0</v>
      </c>
      <c r="H45" s="11"/>
      <c r="I45" s="12" t="s">
        <v>13</v>
      </c>
    </row>
    <row r="46" spans="2:9" x14ac:dyDescent="0.3">
      <c r="B46" s="181"/>
      <c r="C46" s="9" t="s">
        <v>75</v>
      </c>
      <c r="D46" s="116">
        <v>1500</v>
      </c>
      <c r="E46" s="10" t="s">
        <v>31</v>
      </c>
      <c r="F46" s="53"/>
      <c r="G46" s="117">
        <f t="shared" si="1"/>
        <v>0</v>
      </c>
      <c r="H46" s="11"/>
      <c r="I46" s="12" t="s">
        <v>13</v>
      </c>
    </row>
    <row r="47" spans="2:9" s="90" customFormat="1" ht="33" customHeight="1" x14ac:dyDescent="0.25">
      <c r="B47" s="178"/>
      <c r="C47" s="64" t="s">
        <v>94</v>
      </c>
      <c r="D47" s="114">
        <f>AVERAGE(3.29, 4.21, 5.65, 2.57, 2.77)</f>
        <v>3.6980000000000004</v>
      </c>
      <c r="E47" s="65" t="s">
        <v>31</v>
      </c>
      <c r="F47" s="66"/>
      <c r="G47" s="115">
        <f t="shared" si="1"/>
        <v>0</v>
      </c>
      <c r="H47" s="17"/>
      <c r="I47" s="18" t="s">
        <v>76</v>
      </c>
    </row>
    <row r="48" spans="2:9" s="90" customFormat="1" ht="16.5" customHeight="1" x14ac:dyDescent="0.25">
      <c r="B48" s="179" t="s">
        <v>77</v>
      </c>
      <c r="C48" s="178"/>
      <c r="D48" s="178"/>
      <c r="E48" s="178"/>
      <c r="F48" s="178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77" t="s">
        <v>78</v>
      </c>
      <c r="C50" s="178"/>
      <c r="D50" s="178"/>
      <c r="E50" s="178"/>
      <c r="F50" s="178"/>
      <c r="G50" s="122">
        <f>SUM(G48,G38,G34,G27,G17,G10)</f>
        <v>0</v>
      </c>
      <c r="H50" s="37"/>
      <c r="I50" s="38"/>
    </row>
    <row r="52" spans="2:9" ht="16.5" customHeight="1" x14ac:dyDescent="0.3">
      <c r="B52" s="187" t="s">
        <v>79</v>
      </c>
      <c r="C52" s="181"/>
      <c r="D52" s="182"/>
      <c r="E52" s="183"/>
      <c r="F52" s="176"/>
      <c r="G52" s="188"/>
      <c r="H52" s="170"/>
      <c r="I52" s="172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89" t="s">
        <v>80</v>
      </c>
      <c r="C54" s="181"/>
      <c r="D54" s="31"/>
      <c r="E54" s="28"/>
      <c r="F54" s="55"/>
      <c r="G54" s="123"/>
      <c r="H54" s="29"/>
      <c r="I54" s="30"/>
    </row>
    <row r="55" spans="2:9" x14ac:dyDescent="0.3">
      <c r="B55" s="190" t="s">
        <v>81</v>
      </c>
      <c r="C55" s="181"/>
      <c r="D55" s="34">
        <v>0.1</v>
      </c>
      <c r="E55" s="33" t="s">
        <v>82</v>
      </c>
      <c r="F55" s="85">
        <v>1</v>
      </c>
      <c r="G55" s="97">
        <f>G50*D55</f>
        <v>0</v>
      </c>
      <c r="I55" s="129" t="s">
        <v>13</v>
      </c>
    </row>
    <row r="56" spans="2:9" x14ac:dyDescent="0.3">
      <c r="B56" s="190" t="s">
        <v>83</v>
      </c>
      <c r="C56" s="181"/>
      <c r="D56" s="35">
        <v>0.1</v>
      </c>
      <c r="E56" s="33" t="s">
        <v>82</v>
      </c>
      <c r="F56" s="85">
        <v>1</v>
      </c>
      <c r="G56" s="97">
        <f>G50*D56</f>
        <v>0</v>
      </c>
      <c r="I56" s="129" t="s">
        <v>13</v>
      </c>
    </row>
    <row r="57" spans="2:9" x14ac:dyDescent="0.3">
      <c r="B57" s="189" t="s">
        <v>107</v>
      </c>
      <c r="C57" s="181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91" t="s">
        <v>110</v>
      </c>
      <c r="C58" s="178"/>
      <c r="D58" s="131">
        <v>0.16500000000000001</v>
      </c>
      <c r="E58" s="59" t="s">
        <v>82</v>
      </c>
      <c r="F58" s="60">
        <v>1</v>
      </c>
      <c r="G58" s="124">
        <f>G50*D58</f>
        <v>0</v>
      </c>
      <c r="H58" s="37"/>
      <c r="I58" s="38" t="s">
        <v>109</v>
      </c>
    </row>
    <row r="59" spans="2:9" s="130" customFormat="1" ht="16.5" customHeight="1" x14ac:dyDescent="0.25">
      <c r="B59" s="185" t="s">
        <v>108</v>
      </c>
      <c r="C59" s="178"/>
      <c r="D59" s="58">
        <v>0.35</v>
      </c>
      <c r="E59" s="59" t="s">
        <v>82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86" t="s">
        <v>84</v>
      </c>
      <c r="C61" s="181"/>
      <c r="D61" s="182"/>
      <c r="E61" s="183"/>
      <c r="F61" s="176"/>
      <c r="G61" s="125">
        <f>G58+G56+G55+G50+G59</f>
        <v>0</v>
      </c>
      <c r="H61" s="92"/>
      <c r="I61" s="92"/>
    </row>
  </sheetData>
  <mergeCells count="26"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C4" sqref="C4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6" x14ac:dyDescent="0.3">
      <c r="B2" s="94" t="s">
        <v>85</v>
      </c>
    </row>
    <row r="3" spans="2:6" x14ac:dyDescent="0.3">
      <c r="B3" s="94" t="s">
        <v>86</v>
      </c>
      <c r="C3" s="94" t="s">
        <v>87</v>
      </c>
    </row>
    <row r="10" spans="2:6" x14ac:dyDescent="0.3">
      <c r="B10" s="94" t="s">
        <v>88</v>
      </c>
      <c r="E10" s="94" t="s">
        <v>117</v>
      </c>
    </row>
    <row r="11" spans="2:6" x14ac:dyDescent="0.3">
      <c r="B11" s="94" t="s">
        <v>86</v>
      </c>
      <c r="C11" s="94" t="s">
        <v>87</v>
      </c>
      <c r="E11" s="94" t="s">
        <v>86</v>
      </c>
      <c r="F11" s="94" t="s">
        <v>87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N12" sqref="N12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89</v>
      </c>
      <c r="C2" s="192" t="s">
        <v>116</v>
      </c>
      <c r="D2" s="193"/>
      <c r="E2" s="193"/>
      <c r="F2" s="193"/>
      <c r="G2" s="193"/>
      <c r="H2" s="193"/>
      <c r="I2" s="193"/>
    </row>
    <row r="3" spans="2:9" x14ac:dyDescent="0.3">
      <c r="B3" s="194" t="s">
        <v>115</v>
      </c>
      <c r="C3" s="195"/>
      <c r="D3" s="195"/>
      <c r="E3" s="195"/>
      <c r="F3" s="195"/>
      <c r="G3" s="195"/>
      <c r="H3" s="195"/>
      <c r="I3" s="195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90</v>
      </c>
      <c r="C5" s="56"/>
      <c r="D5" s="94" t="s">
        <v>106</v>
      </c>
    </row>
    <row r="6" spans="2:9" x14ac:dyDescent="0.3">
      <c r="B6" s="94" t="s">
        <v>91</v>
      </c>
      <c r="C6" s="56"/>
      <c r="D6" s="94" t="s">
        <v>106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2019-10-31T02:03:00Z</dcterms:modified>
</cp:coreProperties>
</file>