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m\Documents\BENOPT-HEAT (KonditorGas)\src\"/>
    </mc:Choice>
  </mc:AlternateContent>
  <bookViews>
    <workbookView xWindow="120" yWindow="360" windowWidth="23610" windowHeight="8925" activeTab="3"/>
  </bookViews>
  <sheets>
    <sheet name="KSS" sheetId="1" r:id="rId1"/>
    <sheet name="BMWi" sheetId="9" r:id="rId2"/>
    <sheet name="BioStromWärme" sheetId="6" r:id="rId3"/>
    <sheet name="ConstantPrices" sheetId="8" r:id="rId4"/>
    <sheet name="CO2" sheetId="11" r:id="rId5"/>
    <sheet name="PowerPriceStock" sheetId="12" r:id="rId6"/>
    <sheet name="Prognos" sheetId="5" r:id="rId7"/>
    <sheet name="MaxCap" sheetId="2" r:id="rId8"/>
    <sheet name="Strom2" sheetId="13" r:id="rId9"/>
    <sheet name="PowerPriceSupp" sheetId="14" r:id="rId10"/>
    <sheet name="Gas" sheetId="3" r:id="rId11"/>
  </sheets>
  <calcPr calcId="152511"/>
</workbook>
</file>

<file path=xl/calcChain.xml><?xml version="1.0" encoding="utf-8"?>
<calcChain xmlns="http://schemas.openxmlformats.org/spreadsheetml/2006/main">
  <c r="H46" i="14" l="1"/>
  <c r="H29" i="14"/>
  <c r="H12" i="14"/>
  <c r="C66" i="14"/>
  <c r="F66" i="14"/>
  <c r="G66" i="14"/>
  <c r="J66" i="14"/>
  <c r="K66" i="14"/>
  <c r="N66" i="14"/>
  <c r="O66" i="14"/>
  <c r="R66" i="14"/>
  <c r="S66" i="14"/>
  <c r="V66" i="14"/>
  <c r="W66" i="14"/>
  <c r="Z66" i="14"/>
  <c r="AA66" i="14"/>
  <c r="AD66" i="14"/>
  <c r="AE66" i="14"/>
  <c r="AH66" i="14"/>
  <c r="AI66" i="14"/>
  <c r="D66" i="14"/>
  <c r="E66" i="14"/>
  <c r="H66" i="14"/>
  <c r="I66" i="14"/>
  <c r="L66" i="14"/>
  <c r="M66" i="14"/>
  <c r="P66" i="14"/>
  <c r="Q66" i="14"/>
  <c r="T66" i="14"/>
  <c r="U66" i="14"/>
  <c r="X66" i="14"/>
  <c r="Y66" i="14"/>
  <c r="AB66" i="14"/>
  <c r="AC66" i="14"/>
  <c r="AF66" i="14"/>
  <c r="AG66" i="14"/>
  <c r="AJ66" i="14"/>
  <c r="AK66" i="14"/>
  <c r="E49" i="14"/>
  <c r="AK49" i="14"/>
  <c r="C37" i="14"/>
  <c r="C49" i="14" s="1"/>
  <c r="D37" i="14"/>
  <c r="D49" i="14" s="1"/>
  <c r="E37" i="14"/>
  <c r="F37" i="14"/>
  <c r="F49" i="14" s="1"/>
  <c r="G37" i="14"/>
  <c r="G49" i="14" s="1"/>
  <c r="H37" i="14"/>
  <c r="H49" i="14" s="1"/>
  <c r="I37" i="14"/>
  <c r="I49" i="14" s="1"/>
  <c r="J37" i="14"/>
  <c r="J49" i="14" s="1"/>
  <c r="K37" i="14"/>
  <c r="K49" i="14" s="1"/>
  <c r="L37" i="14"/>
  <c r="L49" i="14" s="1"/>
  <c r="M37" i="14"/>
  <c r="M49" i="14" s="1"/>
  <c r="N37" i="14"/>
  <c r="N49" i="14" s="1"/>
  <c r="O37" i="14"/>
  <c r="O49" i="14" s="1"/>
  <c r="P37" i="14"/>
  <c r="P49" i="14" s="1"/>
  <c r="Q37" i="14"/>
  <c r="Q49" i="14" s="1"/>
  <c r="R37" i="14"/>
  <c r="R49" i="14" s="1"/>
  <c r="S37" i="14"/>
  <c r="S49" i="14" s="1"/>
  <c r="T37" i="14"/>
  <c r="T49" i="14" s="1"/>
  <c r="U37" i="14"/>
  <c r="U49" i="14" s="1"/>
  <c r="V37" i="14"/>
  <c r="V49" i="14" s="1"/>
  <c r="W37" i="14"/>
  <c r="W49" i="14" s="1"/>
  <c r="X37" i="14"/>
  <c r="X49" i="14" s="1"/>
  <c r="Y37" i="14"/>
  <c r="Y49" i="14" s="1"/>
  <c r="Z37" i="14"/>
  <c r="Z49" i="14" s="1"/>
  <c r="AA37" i="14"/>
  <c r="AA49" i="14" s="1"/>
  <c r="AB37" i="14"/>
  <c r="AB49" i="14" s="1"/>
  <c r="AC37" i="14"/>
  <c r="AC49" i="14" s="1"/>
  <c r="AD37" i="14"/>
  <c r="AD49" i="14" s="1"/>
  <c r="AE37" i="14"/>
  <c r="AE49" i="14" s="1"/>
  <c r="AF37" i="14"/>
  <c r="AF49" i="14" s="1"/>
  <c r="AG37" i="14"/>
  <c r="AG49" i="14" s="1"/>
  <c r="AH37" i="14"/>
  <c r="AH49" i="14" s="1"/>
  <c r="AI37" i="14"/>
  <c r="AI49" i="14" s="1"/>
  <c r="AJ37" i="14"/>
  <c r="AJ49" i="14" s="1"/>
  <c r="AK37" i="14"/>
  <c r="C20" i="14"/>
  <c r="C32" i="14" s="1"/>
  <c r="D20" i="14"/>
  <c r="D32" i="14" s="1"/>
  <c r="E20" i="14"/>
  <c r="E32" i="14" s="1"/>
  <c r="F20" i="14"/>
  <c r="F32" i="14" s="1"/>
  <c r="G20" i="14"/>
  <c r="G32" i="14" s="1"/>
  <c r="H20" i="14"/>
  <c r="H32" i="14" s="1"/>
  <c r="I20" i="14"/>
  <c r="I32" i="14" s="1"/>
  <c r="J20" i="14"/>
  <c r="J32" i="14" s="1"/>
  <c r="K20" i="14"/>
  <c r="K32" i="14" s="1"/>
  <c r="L20" i="14"/>
  <c r="L32" i="14" s="1"/>
  <c r="M20" i="14"/>
  <c r="M32" i="14" s="1"/>
  <c r="N20" i="14"/>
  <c r="N32" i="14" s="1"/>
  <c r="O20" i="14"/>
  <c r="O32" i="14" s="1"/>
  <c r="P20" i="14"/>
  <c r="P32" i="14" s="1"/>
  <c r="Q20" i="14"/>
  <c r="Q32" i="14" s="1"/>
  <c r="R20" i="14"/>
  <c r="R32" i="14" s="1"/>
  <c r="S20" i="14"/>
  <c r="S32" i="14" s="1"/>
  <c r="T20" i="14"/>
  <c r="T32" i="14" s="1"/>
  <c r="U20" i="14"/>
  <c r="U32" i="14" s="1"/>
  <c r="V20" i="14"/>
  <c r="V32" i="14" s="1"/>
  <c r="W20" i="14"/>
  <c r="W32" i="14" s="1"/>
  <c r="X20" i="14"/>
  <c r="X32" i="14" s="1"/>
  <c r="Y20" i="14"/>
  <c r="Y32" i="14" s="1"/>
  <c r="Z20" i="14"/>
  <c r="Z32" i="14" s="1"/>
  <c r="AA20" i="14"/>
  <c r="AA32" i="14" s="1"/>
  <c r="AB20" i="14"/>
  <c r="AB32" i="14" s="1"/>
  <c r="AC20" i="14"/>
  <c r="AC32" i="14" s="1"/>
  <c r="AD20" i="14"/>
  <c r="AD32" i="14" s="1"/>
  <c r="AE20" i="14"/>
  <c r="AE32" i="14" s="1"/>
  <c r="AF20" i="14"/>
  <c r="AF32" i="14" s="1"/>
  <c r="AG20" i="14"/>
  <c r="AG32" i="14" s="1"/>
  <c r="AH20" i="14"/>
  <c r="AH32" i="14" s="1"/>
  <c r="AI20" i="14"/>
  <c r="AI32" i="14" s="1"/>
  <c r="AJ20" i="14"/>
  <c r="AJ32" i="14" s="1"/>
  <c r="AK20" i="14"/>
  <c r="AK32" i="14" s="1"/>
  <c r="C5" i="14" l="1"/>
  <c r="D5" i="14"/>
  <c r="D14" i="14" s="1"/>
  <c r="E5" i="14"/>
  <c r="E14" i="14" s="1"/>
  <c r="F5" i="14"/>
  <c r="F14" i="14" s="1"/>
  <c r="G5" i="14"/>
  <c r="H5" i="14"/>
  <c r="H14" i="14" s="1"/>
  <c r="I5" i="14"/>
  <c r="I14" i="14" s="1"/>
  <c r="J5" i="14"/>
  <c r="J14" i="14" s="1"/>
  <c r="K5" i="14"/>
  <c r="L5" i="14"/>
  <c r="L14" i="14" s="1"/>
  <c r="M5" i="14"/>
  <c r="M14" i="14" s="1"/>
  <c r="N5" i="14"/>
  <c r="N14" i="14" s="1"/>
  <c r="O5" i="14"/>
  <c r="P5" i="14"/>
  <c r="P14" i="14" s="1"/>
  <c r="Q5" i="14"/>
  <c r="Q14" i="14" s="1"/>
  <c r="R5" i="14"/>
  <c r="R14" i="14" s="1"/>
  <c r="S5" i="14"/>
  <c r="T5" i="14"/>
  <c r="T14" i="14" s="1"/>
  <c r="U5" i="14"/>
  <c r="U14" i="14" s="1"/>
  <c r="V5" i="14"/>
  <c r="V14" i="14" s="1"/>
  <c r="W5" i="14"/>
  <c r="X5" i="14"/>
  <c r="X14" i="14" s="1"/>
  <c r="Y5" i="14"/>
  <c r="Y14" i="14" s="1"/>
  <c r="Z5" i="14"/>
  <c r="Z14" i="14" s="1"/>
  <c r="AA5" i="14"/>
  <c r="AB5" i="14"/>
  <c r="AB14" i="14" s="1"/>
  <c r="AC5" i="14"/>
  <c r="AC14" i="14" s="1"/>
  <c r="AD5" i="14"/>
  <c r="AD14" i="14" s="1"/>
  <c r="AE5" i="14"/>
  <c r="AF5" i="14"/>
  <c r="AF14" i="14" s="1"/>
  <c r="AG5" i="14"/>
  <c r="AG14" i="14" s="1"/>
  <c r="AH5" i="14"/>
  <c r="AH14" i="14" s="1"/>
  <c r="AI5" i="14"/>
  <c r="AJ5" i="14"/>
  <c r="AJ14" i="14" s="1"/>
  <c r="AK5" i="14"/>
  <c r="AK14" i="14" s="1"/>
  <c r="B66" i="14"/>
  <c r="B37" i="14"/>
  <c r="B49" i="14" s="1"/>
  <c r="B20" i="14"/>
  <c r="B32" i="14" s="1"/>
  <c r="B5" i="14"/>
  <c r="E10" i="13"/>
  <c r="E22" i="13" s="1"/>
  <c r="D10" i="13"/>
  <c r="D22" i="13" s="1"/>
  <c r="C10" i="13"/>
  <c r="C22" i="13" s="1"/>
  <c r="B10" i="13"/>
  <c r="B12" i="13"/>
  <c r="C3" i="13"/>
  <c r="C2" i="13"/>
  <c r="AC15" i="14" l="1"/>
  <c r="Q15" i="14"/>
  <c r="AK15" i="14"/>
  <c r="V15" i="14"/>
  <c r="M15" i="14"/>
  <c r="AH15" i="14"/>
  <c r="U15" i="14"/>
  <c r="F15" i="14"/>
  <c r="AG15" i="14"/>
  <c r="R15" i="14"/>
  <c r="E15" i="14"/>
  <c r="X15" i="14"/>
  <c r="H15" i="14"/>
  <c r="AI14" i="14"/>
  <c r="AI15" i="14" s="1"/>
  <c r="AE14" i="14"/>
  <c r="AE15" i="14" s="1"/>
  <c r="AA14" i="14"/>
  <c r="AA15" i="14" s="1"/>
  <c r="W14" i="14"/>
  <c r="W15" i="14" s="1"/>
  <c r="S14" i="14"/>
  <c r="S15" i="14" s="1"/>
  <c r="O14" i="14"/>
  <c r="O15" i="14" s="1"/>
  <c r="K14" i="14"/>
  <c r="K15" i="14" s="1"/>
  <c r="G14" i="14"/>
  <c r="G15" i="14" s="1"/>
  <c r="C14" i="14"/>
  <c r="C15" i="14" s="1"/>
  <c r="AB15" i="14"/>
  <c r="L15" i="14"/>
  <c r="AF15" i="14"/>
  <c r="Z15" i="14"/>
  <c r="P15" i="14"/>
  <c r="J15" i="14"/>
  <c r="B14" i="14"/>
  <c r="B15" i="14" s="1"/>
  <c r="AJ15" i="14"/>
  <c r="AD15" i="14"/>
  <c r="Y15" i="14"/>
  <c r="T15" i="14"/>
  <c r="N15" i="14"/>
  <c r="I15" i="14"/>
  <c r="D15" i="14"/>
  <c r="B21" i="13"/>
  <c r="B22" i="13" s="1"/>
  <c r="E8" i="12"/>
  <c r="E7" i="12"/>
  <c r="F8" i="9" l="1"/>
  <c r="E8" i="9"/>
  <c r="D8" i="9"/>
  <c r="C8" i="9"/>
  <c r="E35" i="9"/>
  <c r="D35" i="9"/>
  <c r="C35" i="9"/>
  <c r="B34" i="9"/>
  <c r="F35" i="9" s="1"/>
  <c r="F3" i="9"/>
  <c r="E3" i="9"/>
  <c r="D3" i="9"/>
  <c r="C3" i="9"/>
  <c r="F30" i="9"/>
  <c r="E30" i="9"/>
  <c r="D30" i="9"/>
  <c r="C30" i="9"/>
  <c r="G27" i="3"/>
  <c r="F9" i="9"/>
  <c r="E9" i="9"/>
  <c r="D9" i="9"/>
  <c r="C9" i="9"/>
  <c r="B9" i="9"/>
  <c r="F38" i="9"/>
  <c r="E38" i="9"/>
  <c r="D38" i="9"/>
  <c r="C38" i="9"/>
  <c r="B38" i="9"/>
  <c r="E18" i="6" l="1"/>
  <c r="E17" i="6"/>
  <c r="E4" i="6" l="1"/>
  <c r="E3" i="6"/>
  <c r="E14" i="6"/>
  <c r="E13" i="6"/>
  <c r="F9" i="6" l="1"/>
  <c r="B9" i="6"/>
  <c r="F24" i="6"/>
  <c r="B24" i="6"/>
  <c r="F22" i="6"/>
  <c r="B22" i="6"/>
  <c r="M22" i="3" l="1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D3" i="3" l="1"/>
  <c r="C3" i="3"/>
  <c r="F22" i="3" s="1"/>
  <c r="G19" i="3"/>
  <c r="G20" i="3" s="1"/>
  <c r="G23" i="3" s="1"/>
  <c r="F19" i="3"/>
  <c r="F20" i="3" s="1"/>
  <c r="F23" i="3" s="1"/>
  <c r="E15" i="3"/>
  <c r="E16" i="3" s="1"/>
  <c r="E23" i="3" s="1"/>
  <c r="D15" i="3"/>
  <c r="D16" i="3" s="1"/>
  <c r="D23" i="3" s="1"/>
  <c r="C15" i="3"/>
  <c r="C16" i="3" s="1"/>
  <c r="C23" i="3" s="1"/>
  <c r="C22" i="3" l="1"/>
  <c r="G22" i="3"/>
  <c r="D22" i="3"/>
  <c r="E22" i="3"/>
</calcChain>
</file>

<file path=xl/sharedStrings.xml><?xml version="1.0" encoding="utf-8"?>
<sst xmlns="http://schemas.openxmlformats.org/spreadsheetml/2006/main" count="267" uniqueCount="145">
  <si>
    <t>€/MWh</t>
  </si>
  <si>
    <t>EVP Haushalt Zielszenario 80</t>
  </si>
  <si>
    <t>EVP GHD Zielszenario 80</t>
  </si>
  <si>
    <t>EVP Industrie Zielszenario 80</t>
  </si>
  <si>
    <t>EVP stromintensive Industrie Zielszenario 80</t>
  </si>
  <si>
    <t>(80% THG)</t>
  </si>
  <si>
    <t>(95 % THG)</t>
  </si>
  <si>
    <t>€/GJ</t>
  </si>
  <si>
    <t>€/EUA  €/tCO2 äqiv</t>
  </si>
  <si>
    <t>Tiefengeothermie</t>
  </si>
  <si>
    <t>GW_th</t>
  </si>
  <si>
    <t>PV Module</t>
  </si>
  <si>
    <t>GW</t>
  </si>
  <si>
    <t>Solarthermie</t>
  </si>
  <si>
    <t>Wärmepumpe</t>
  </si>
  <si>
    <t>Mio Anschlüsse</t>
  </si>
  <si>
    <t>Max Capacity nach TF_Energiewende</t>
  </si>
  <si>
    <t>Interpoliert</t>
  </si>
  <si>
    <t>TWh/a</t>
  </si>
  <si>
    <t>Treibhausgas-Emissionszertifikate in 2010-2050 (KSS 2050)</t>
  </si>
  <si>
    <t>Fossile Preise (KSS 2050, ohne Steuern, Kraftwerk, Industrie, Endverbraucher)</t>
  </si>
  <si>
    <t>7,6 €/GJ</t>
  </si>
  <si>
    <t>KSS 2050 Gaspreis 2015</t>
  </si>
  <si>
    <t>Börsenpreis/Großhandelspreis?</t>
  </si>
  <si>
    <t>&lt;20GJ</t>
  </si>
  <si>
    <t>jährlicher Gasverbrauch</t>
  </si>
  <si>
    <t>20 - 200 GJ</t>
  </si>
  <si>
    <t>&gt;200 GJ</t>
  </si>
  <si>
    <t>417,6 GJ (Gewerbe)</t>
  </si>
  <si>
    <t>417.600 GJ (Industrie)</t>
  </si>
  <si>
    <t>Gassteuer</t>
  </si>
  <si>
    <t>Messung, Abrechnung</t>
  </si>
  <si>
    <t>Konzessionsabgabe</t>
  </si>
  <si>
    <t>Gesamtpreis (ohne Umsatzsteuer) in ct/kWh</t>
  </si>
  <si>
    <t>Vorjahre Mittel</t>
  </si>
  <si>
    <t>Umsatzsteuer</t>
  </si>
  <si>
    <t>Gesamtpreis (mit Umsatzsteuer) in ct/kWh</t>
  </si>
  <si>
    <t>Gesamtpreis (mit Umsatzsteuer) in €/GJ</t>
  </si>
  <si>
    <t>Gesamtpreis (ohne Umsatzsteuer) in €/GJ</t>
  </si>
  <si>
    <t>Anteil am Gesamtpreis in % 2015/2016</t>
  </si>
  <si>
    <t>Tagesreferenzpreis betrug 2015 im (ungewichteten) Jahresdurchschnitt für das Marktgebiet von NCG 20,01 Euro/MWh und für GASPOOL 19,91 Euro/MWh</t>
  </si>
  <si>
    <t>Börsenpreis Mittel 2015</t>
  </si>
  <si>
    <t>Energiebeschaffung, Vertrieb, sonstige Kosten und Marge</t>
  </si>
  <si>
    <t>Netzentgeld</t>
  </si>
  <si>
    <t>Quelle: Monitoringbericht 2016, BNA</t>
  </si>
  <si>
    <t>Anteil Handelspreis (5,5€/GJ)</t>
  </si>
  <si>
    <t>Börsenstrompreis (KSS 2050)</t>
  </si>
  <si>
    <t>2500 - 5000 kWh</t>
  </si>
  <si>
    <t>EEG-Umlage</t>
  </si>
  <si>
    <t>Stromsteuer</t>
  </si>
  <si>
    <t>Energiebeschaffung... in €/GJ</t>
  </si>
  <si>
    <t>[€/MWh]</t>
  </si>
  <si>
    <t>[€/GJ]</t>
  </si>
  <si>
    <t>Märkte</t>
  </si>
  <si>
    <t>[kWh/Gebäude)</t>
  </si>
  <si>
    <t>En30*</t>
  </si>
  <si>
    <t>En45*</t>
  </si>
  <si>
    <t>Enm90*</t>
  </si>
  <si>
    <t>Em150*</t>
  </si>
  <si>
    <t>Ea180*</t>
  </si>
  <si>
    <t>Mm90*</t>
  </si>
  <si>
    <t>Gm90*</t>
  </si>
  <si>
    <t>Gm45*</t>
  </si>
  <si>
    <t>Wa150*</t>
  </si>
  <si>
    <t>BGKn90*</t>
  </si>
  <si>
    <t>BGKa90*</t>
  </si>
  <si>
    <t>BGHn90*</t>
  </si>
  <si>
    <t>BGHa180*</t>
  </si>
  <si>
    <t>SKa180*</t>
  </si>
  <si>
    <t>Leitungsgebundene Wärme</t>
  </si>
  <si>
    <t>Industrie&lt;200°C</t>
  </si>
  <si>
    <t>Industrie 200 bis 500°C</t>
  </si>
  <si>
    <t>Industrie&gt;500°C</t>
  </si>
  <si>
    <t>Industrie-Koks</t>
  </si>
  <si>
    <t>Strompreise für Endverbraucher 80% (Prognos)</t>
  </si>
  <si>
    <t>95% KSS</t>
  </si>
  <si>
    <t>80% KSS</t>
  </si>
  <si>
    <t>Strompreis KKS 2050</t>
  </si>
  <si>
    <t>Strompreis Börse Mittel 2015</t>
  </si>
  <si>
    <t>Rohöl</t>
  </si>
  <si>
    <t>Erdgas</t>
  </si>
  <si>
    <t>Steinkohle</t>
  </si>
  <si>
    <t>Fossile Preise (BSW, ohne Steuern, Kraftwerk, Industrie, Endverbraucher)</t>
  </si>
  <si>
    <t>Treibhausgas-Emissionszertifikate in 2010-2050 (BSW)</t>
  </si>
  <si>
    <t>Erdgas Kraftwerk [€/MWh]</t>
  </si>
  <si>
    <t>Erdgas Haushalte [€/MWh]</t>
  </si>
  <si>
    <t>Ageleiteter EEX Preis [€/GJ]</t>
  </si>
  <si>
    <t>Abgeleiteter Eex Preis [€/GJ]</t>
  </si>
  <si>
    <t>Erdgaspreis Herleitung aus Studie</t>
  </si>
  <si>
    <t>Börsenstrompreis (BSW) incl. CO2 Preis</t>
  </si>
  <si>
    <t>Strommix spezifischer Emissionsfaktor [g/t_CO2]</t>
  </si>
  <si>
    <t>Börsenpreis</t>
  </si>
  <si>
    <t>Börsenstrompreis</t>
  </si>
  <si>
    <t>Fossile Preise</t>
  </si>
  <si>
    <t>Treibhausgas-Emissionszertifikate in 2010-2050</t>
  </si>
  <si>
    <t>Strommix spezifischer Emissionsfaktor [gCO2/kWh]</t>
  </si>
  <si>
    <t>Anteil Beschaffung</t>
  </si>
  <si>
    <t>Anteil Handelspreis für Erdgas</t>
  </si>
  <si>
    <t>Anteil Beschaffung für Biomethan</t>
  </si>
  <si>
    <t xml:space="preserve">Börsenstrompreis </t>
  </si>
  <si>
    <t>S. 23 Tabelle 8, Industrie</t>
  </si>
  <si>
    <t>Erhöhung</t>
  </si>
  <si>
    <t>Gas</t>
  </si>
  <si>
    <t>Strom</t>
  </si>
  <si>
    <t>Fossile Preise (ohne Steuern, Börsenpreise)</t>
  </si>
  <si>
    <t>Hackschnitzel 95% [€/GJ]</t>
  </si>
  <si>
    <t>Summe</t>
  </si>
  <si>
    <t>80% BMWi</t>
  </si>
  <si>
    <t>80% BSW</t>
  </si>
  <si>
    <t>95% BSW</t>
  </si>
  <si>
    <t>Low</t>
  </si>
  <si>
    <t>Ambitious</t>
  </si>
  <si>
    <t>Medium</t>
  </si>
  <si>
    <t>Private Haushalte</t>
  </si>
  <si>
    <t>Gewerbe</t>
  </si>
  <si>
    <t>Industrie</t>
  </si>
  <si>
    <t>24GWh</t>
  </si>
  <si>
    <t>50MWh</t>
  </si>
  <si>
    <t>KWK-G Umlage</t>
  </si>
  <si>
    <t>§-19-Umlage</t>
  </si>
  <si>
    <t>Offshore-Haftungsumlage</t>
  </si>
  <si>
    <t>Umlage nach § 18 AbLaV</t>
  </si>
  <si>
    <t>2015 [Cent/kWh]</t>
  </si>
  <si>
    <t>Beschaffung, Vertrieb und Gewinn-Börsenpreis</t>
  </si>
  <si>
    <t>Annahme: konstant bis 2050</t>
  </si>
  <si>
    <t>konstant</t>
  </si>
  <si>
    <t>https://www.netztransparenz.de/KWKG/KWKG-Umlagen-Uebersicht</t>
  </si>
  <si>
    <t>Industrie (Verg.)</t>
  </si>
  <si>
    <t>Private Haushalte in cent/kWh</t>
  </si>
  <si>
    <t>Gewerbe in cent/kWh</t>
  </si>
  <si>
    <t>Industrie in cent/kWh</t>
  </si>
  <si>
    <t>Industrie Nutzung der Verg. in cent/kWh</t>
  </si>
  <si>
    <t>EEG-Umlage Reduzierung</t>
  </si>
  <si>
    <t>EEG-Umlage Reduszierung</t>
  </si>
  <si>
    <r>
      <t xml:space="preserve">konstant: aktuelle Differenz als Gewinn, da keine Daten zu Vetrieb und Gewinn verfügbar, siehe Quelle: </t>
    </r>
    <r>
      <rPr>
        <i/>
        <sz val="11"/>
        <color theme="1"/>
        <rFont val="Calibri"/>
        <family val="2"/>
        <scheme val="minor"/>
      </rPr>
      <t>Zusammenhang von Strombörsenpreisen und Endkundenpreisen, Studie im Auftrag der Agora Energiewende, 2013</t>
    </r>
  </si>
  <si>
    <r>
      <t>Regional variierend. Zukünftige Entwicklung siehe Quelle:</t>
    </r>
    <r>
      <rPr>
        <i/>
        <sz val="11"/>
        <color theme="1"/>
        <rFont val="Calibri"/>
        <family val="2"/>
        <scheme val="minor"/>
      </rPr>
      <t xml:space="preserve"> BMWi-Vorhaben „Netzentgelte“:
Auswertung von Referenzstudien und Szenarioanalysen zur zukünftigen Entwicklung
der Netzentgelte für Elektrizität</t>
    </r>
    <r>
      <rPr>
        <sz val="11"/>
        <color theme="1"/>
        <rFont val="Calibri"/>
        <family val="2"/>
        <scheme val="minor"/>
      </rPr>
      <t>: HH+Gewerbe: +2,15cent/kWh bis 2030; Industie: +51,5% bis 2030, danach linear interpolieren bis 2050</t>
    </r>
  </si>
  <si>
    <t>regional variierend (0,11-2,39). Annahme: konstant, da aktuelle Durchschnittswerte schon nah an gesetzlich festgelegeter Obergrenze liegen</t>
  </si>
  <si>
    <r>
      <t xml:space="preserve">Quelle: </t>
    </r>
    <r>
      <rPr>
        <i/>
        <sz val="11"/>
        <color theme="1"/>
        <rFont val="Calibri"/>
        <family val="2"/>
        <scheme val="minor"/>
      </rPr>
      <t>Die Entwicklung der EEG-Kosten bis 2035, Agora Energiewende, 2015</t>
    </r>
    <r>
      <rPr>
        <sz val="11"/>
        <color theme="1"/>
        <rFont val="Calibri"/>
        <family val="2"/>
        <scheme val="minor"/>
      </rPr>
      <t>: danach konstant gehalten</t>
    </r>
  </si>
  <si>
    <r>
      <rPr>
        <sz val="11"/>
        <rFont val="Calibri"/>
        <family val="2"/>
        <scheme val="minor"/>
      </rPr>
      <t>Laut Klimaschutzprogramm ab 2021 bis 2025 fix. Danach im Modell extrapoliert bis 2050.</t>
    </r>
    <r>
      <rPr>
        <sz val="11"/>
        <color rgb="FFFF0000"/>
        <rFont val="Calibri"/>
        <family val="2"/>
        <scheme val="minor"/>
      </rPr>
      <t xml:space="preserve"> Müsste theoretisch an die CO2 Preis Entwicklung endogen angepasst werden!?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Steigen die Einnahmen aus der CO2-Bepreisung, wird der Strompreis entlang des Bepreisungspfades weiter gesenkt.</t>
    </r>
  </si>
  <si>
    <t>konstant, da keine Literatur zur zukünftigen Entwicklung gefunden</t>
  </si>
  <si>
    <t>Anmerkungen/ Annahmen zur Entwicklung bis 2050 im Modell:</t>
  </si>
  <si>
    <t>Zukünftige Entwicklung entsprechend der Ergebnisse verschiedener Szenarien anpassbar.</t>
  </si>
  <si>
    <r>
      <t xml:space="preserve">Wird jedes Jahr neu berechnet, wie EEG Umlage. Annahme 2035: keine Umlage mehr, da 2030 die Förderung ausläuft. --&gt; linear auf null interpoliert von 2020 an. </t>
    </r>
    <r>
      <rPr>
        <sz val="11"/>
        <color rgb="FFFF0000"/>
        <rFont val="Calibri"/>
        <family val="2"/>
        <scheme val="minor"/>
      </rPr>
      <t>Müsste eigntlich an den Ausbau der Anlagen im Modell angepasst werde. --&gt; Würde aber zu Nichtlinearitäten führen. Annahme Diskutabel!</t>
    </r>
  </si>
  <si>
    <t>konstant 19% für private Haushalte</t>
  </si>
  <si>
    <t>Schätzung UBA 2019, sonst Annahme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</si>
</sst>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3" xfId="0" applyBorder="1"/>
    <xf numFmtId="2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0" fontId="2" fillId="0" borderId="0" xfId="0" applyFont="1"/>
    <xf numFmtId="0" fontId="0" fillId="0" borderId="2" xfId="0" applyBorder="1"/>
    <xf numFmtId="2" fontId="0" fillId="0" borderId="2" xfId="0" applyNumberFormat="1" applyBorder="1"/>
    <xf numFmtId="0" fontId="3" fillId="0" borderId="2" xfId="0" applyFont="1" applyBorder="1"/>
    <xf numFmtId="0" fontId="0" fillId="0" borderId="0" xfId="0" applyFill="1" applyBorder="1"/>
    <xf numFmtId="2" fontId="0" fillId="0" borderId="0" xfId="0" applyNumberFormat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3" fillId="0" borderId="2" xfId="0" applyFont="1" applyFill="1" applyBorder="1"/>
    <xf numFmtId="0" fontId="0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 applyAlignment="1">
      <alignment horizontal="right"/>
    </xf>
    <xf numFmtId="2" fontId="0" fillId="0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49" fontId="0" fillId="0" borderId="0" xfId="0" applyNumberFormat="1"/>
    <xf numFmtId="0" fontId="0" fillId="2" borderId="0" xfId="0" applyFill="1" applyAlignment="1">
      <alignment horizontal="right"/>
    </xf>
    <xf numFmtId="0" fontId="4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0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619125</xdr:colOff>
      <xdr:row>24</xdr:row>
      <xdr:rowOff>142875</xdr:rowOff>
    </xdr:from>
    <xdr:to>
      <xdr:col>14</xdr:col>
      <xdr:colOff>684324</xdr:colOff>
      <xdr:row>44</xdr:row>
      <xdr:rowOff>123351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5876925"/>
          <a:ext cx="11809524" cy="3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5</xdr:col>
      <xdr:colOff>284882</xdr:colOff>
      <xdr:row>42</xdr:row>
      <xdr:rowOff>37701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10275"/>
          <a:ext cx="6942857" cy="3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netztransparenz.de/KWKG/KWKG-Umlagen-Uebersic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F14" sqref="F14"/>
    </sheetView>
  </sheetViews>
  <sheetFormatPr baseColWidth="10" defaultRowHeight="15" x14ac:dyDescent="0.25"/>
  <cols>
    <col min="1" max="1" width="56" customWidth="1"/>
  </cols>
  <sheetData>
    <row r="1" spans="1:11" x14ac:dyDescent="0.25">
      <c r="A1" s="4" t="s">
        <v>46</v>
      </c>
      <c r="B1" s="2"/>
      <c r="C1" s="2"/>
      <c r="D1" s="2"/>
      <c r="E1" s="2"/>
      <c r="F1" s="2"/>
      <c r="G1" s="2"/>
      <c r="H1" s="3"/>
      <c r="I1" s="3"/>
      <c r="J1" s="3"/>
      <c r="K1" s="3"/>
    </row>
    <row r="2" spans="1:11" x14ac:dyDescent="0.25">
      <c r="A2" s="1" t="s">
        <v>0</v>
      </c>
      <c r="B2" s="3">
        <v>2015</v>
      </c>
      <c r="C2" s="15">
        <v>2020</v>
      </c>
      <c r="D2" s="15">
        <v>2030</v>
      </c>
      <c r="E2" s="15">
        <v>2040</v>
      </c>
      <c r="F2" s="15">
        <v>2050</v>
      </c>
      <c r="K2" s="15"/>
    </row>
    <row r="3" spans="1:11" x14ac:dyDescent="0.25">
      <c r="A3" s="1" t="s">
        <v>5</v>
      </c>
      <c r="B3" s="3">
        <v>32</v>
      </c>
      <c r="C3" s="15">
        <v>56</v>
      </c>
      <c r="D3" s="15">
        <v>76</v>
      </c>
      <c r="E3" s="15">
        <v>97</v>
      </c>
      <c r="F3" s="15">
        <v>120</v>
      </c>
      <c r="K3" s="15"/>
    </row>
    <row r="4" spans="1:11" x14ac:dyDescent="0.25">
      <c r="A4" s="1" t="s">
        <v>6</v>
      </c>
      <c r="B4" s="3">
        <v>32</v>
      </c>
      <c r="C4" s="15">
        <v>82</v>
      </c>
      <c r="D4" s="15">
        <v>99</v>
      </c>
      <c r="E4" s="15">
        <v>145</v>
      </c>
      <c r="F4" s="15">
        <v>215</v>
      </c>
      <c r="K4" s="15"/>
    </row>
    <row r="5" spans="1:11" x14ac:dyDescent="0.25">
      <c r="A5" s="4" t="s">
        <v>20</v>
      </c>
      <c r="B5" s="2"/>
      <c r="C5" s="2"/>
      <c r="D5" s="2"/>
      <c r="E5" s="2"/>
      <c r="F5" s="2"/>
      <c r="G5" s="2"/>
    </row>
    <row r="6" spans="1:11" x14ac:dyDescent="0.25">
      <c r="A6" s="1" t="s">
        <v>7</v>
      </c>
      <c r="B6" s="2">
        <v>2015</v>
      </c>
      <c r="C6" s="2">
        <v>2020</v>
      </c>
      <c r="D6" s="2">
        <v>2030</v>
      </c>
      <c r="E6" s="2">
        <v>2040</v>
      </c>
      <c r="F6" s="2">
        <v>2050</v>
      </c>
    </row>
    <row r="7" spans="1:11" x14ac:dyDescent="0.25">
      <c r="A7" s="1" t="s">
        <v>79</v>
      </c>
      <c r="B7" s="2">
        <v>12.1</v>
      </c>
      <c r="C7" s="2">
        <v>13.3</v>
      </c>
      <c r="D7" s="2">
        <v>16.399999999999999</v>
      </c>
      <c r="E7" s="2">
        <v>20.5</v>
      </c>
      <c r="F7" s="2">
        <v>25</v>
      </c>
    </row>
    <row r="8" spans="1:11" x14ac:dyDescent="0.25">
      <c r="A8" s="1" t="s">
        <v>80</v>
      </c>
      <c r="B8" s="2">
        <v>7.6</v>
      </c>
      <c r="C8" s="2">
        <v>8.1</v>
      </c>
      <c r="D8" s="2">
        <v>9.4</v>
      </c>
      <c r="E8" s="2">
        <v>11.4</v>
      </c>
      <c r="F8" s="2">
        <v>13.9</v>
      </c>
    </row>
    <row r="9" spans="1:11" x14ac:dyDescent="0.25">
      <c r="A9" s="1" t="s">
        <v>81</v>
      </c>
      <c r="B9" s="2">
        <v>2.7</v>
      </c>
      <c r="C9" s="2">
        <v>3</v>
      </c>
      <c r="D9" s="2">
        <v>3.3</v>
      </c>
      <c r="E9" s="2">
        <v>3.8</v>
      </c>
      <c r="F9" s="2">
        <v>4.5</v>
      </c>
    </row>
    <row r="10" spans="1:11" x14ac:dyDescent="0.25">
      <c r="A10" s="4" t="s">
        <v>19</v>
      </c>
      <c r="B10" s="2"/>
      <c r="C10" s="2"/>
      <c r="D10" s="2"/>
      <c r="E10" s="2"/>
      <c r="F10" s="2"/>
      <c r="G10" s="2"/>
    </row>
    <row r="11" spans="1:11" x14ac:dyDescent="0.25">
      <c r="A11" s="1" t="s">
        <v>8</v>
      </c>
      <c r="B11" s="2"/>
      <c r="C11" s="2"/>
      <c r="D11" s="2"/>
      <c r="E11" s="2"/>
      <c r="F11" s="2"/>
      <c r="G11" s="2"/>
    </row>
    <row r="12" spans="1:11" x14ac:dyDescent="0.25">
      <c r="A12" s="1"/>
      <c r="B12" s="2">
        <v>2015</v>
      </c>
      <c r="C12" s="2">
        <v>2020</v>
      </c>
      <c r="D12" s="2">
        <v>2030</v>
      </c>
      <c r="E12" s="2">
        <v>2040</v>
      </c>
      <c r="F12" s="2">
        <v>2050</v>
      </c>
      <c r="G12" s="2"/>
    </row>
    <row r="13" spans="1:11" x14ac:dyDescent="0.25">
      <c r="A13" s="1" t="s">
        <v>76</v>
      </c>
      <c r="B13" s="2">
        <v>15</v>
      </c>
      <c r="C13" s="2">
        <v>23</v>
      </c>
      <c r="D13" s="2">
        <v>50</v>
      </c>
      <c r="E13" s="2">
        <v>90</v>
      </c>
      <c r="F13" s="2">
        <v>130</v>
      </c>
      <c r="G13" s="2"/>
    </row>
    <row r="14" spans="1:11" x14ac:dyDescent="0.25">
      <c r="A14" s="1" t="s">
        <v>75</v>
      </c>
      <c r="B14" s="2">
        <v>15</v>
      </c>
      <c r="C14" s="2">
        <v>30</v>
      </c>
      <c r="D14" s="2">
        <v>87</v>
      </c>
      <c r="E14" s="2">
        <v>143</v>
      </c>
      <c r="F14" s="2">
        <v>200</v>
      </c>
      <c r="G14" s="2"/>
    </row>
    <row r="15" spans="1:11" x14ac:dyDescent="0.25">
      <c r="A15" s="25" t="s">
        <v>95</v>
      </c>
    </row>
    <row r="16" spans="1:11" x14ac:dyDescent="0.25">
      <c r="B16" s="2">
        <v>2015</v>
      </c>
      <c r="C16" s="2">
        <v>2020</v>
      </c>
      <c r="D16" s="2">
        <v>2030</v>
      </c>
      <c r="E16" s="2">
        <v>2040</v>
      </c>
      <c r="F16" s="2">
        <v>2050</v>
      </c>
    </row>
    <row r="17" spans="1:6" x14ac:dyDescent="0.25">
      <c r="A17" s="1" t="s">
        <v>76</v>
      </c>
      <c r="B17" s="26">
        <v>577</v>
      </c>
      <c r="C17" s="26">
        <v>442</v>
      </c>
      <c r="D17" s="26">
        <v>347</v>
      </c>
      <c r="E17" s="26">
        <v>215</v>
      </c>
      <c r="F17" s="26">
        <v>78</v>
      </c>
    </row>
    <row r="18" spans="1:6" x14ac:dyDescent="0.25">
      <c r="A18" s="1" t="s">
        <v>75</v>
      </c>
      <c r="B18" s="26">
        <v>577</v>
      </c>
      <c r="C18" s="26">
        <v>411</v>
      </c>
      <c r="D18" s="26">
        <v>233</v>
      </c>
      <c r="E18" s="26">
        <v>127</v>
      </c>
      <c r="F18" s="26">
        <v>17</v>
      </c>
    </row>
    <row r="22" spans="1:6" x14ac:dyDescent="0.25">
      <c r="A22" t="s">
        <v>105</v>
      </c>
      <c r="B22">
        <v>7</v>
      </c>
      <c r="C22">
        <v>8.9339709374999998</v>
      </c>
      <c r="D22">
        <v>14.552497255879601</v>
      </c>
      <c r="E22">
        <v>23.704484586295699</v>
      </c>
      <c r="F22">
        <v>38.612107573145799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"/>
  <sheetViews>
    <sheetView workbookViewId="0">
      <selection activeCell="W7" sqref="W7"/>
    </sheetView>
  </sheetViews>
  <sheetFormatPr baseColWidth="10" defaultRowHeight="15" x14ac:dyDescent="0.25"/>
  <cols>
    <col min="1" max="1" width="43.5703125" bestFit="1" customWidth="1"/>
    <col min="2" max="37" width="5.7109375" customWidth="1"/>
  </cols>
  <sheetData>
    <row r="1" spans="1:37" x14ac:dyDescent="0.25">
      <c r="A1" t="s">
        <v>128</v>
      </c>
      <c r="B1" s="24">
        <v>2015</v>
      </c>
      <c r="C1" s="24">
        <v>2016</v>
      </c>
      <c r="D1" s="24">
        <v>2017</v>
      </c>
      <c r="E1" s="24">
        <v>2018</v>
      </c>
      <c r="F1" s="24">
        <v>2019</v>
      </c>
      <c r="G1" s="24">
        <v>2020</v>
      </c>
      <c r="H1" s="24">
        <v>2021</v>
      </c>
      <c r="I1" s="24">
        <v>2022</v>
      </c>
      <c r="J1" s="24">
        <v>2023</v>
      </c>
      <c r="K1" s="24">
        <v>2024</v>
      </c>
      <c r="L1" s="24">
        <v>2025</v>
      </c>
      <c r="M1" s="24">
        <v>2026</v>
      </c>
      <c r="N1" s="24">
        <v>2027</v>
      </c>
      <c r="O1" s="24">
        <v>2028</v>
      </c>
      <c r="P1" s="24">
        <v>2029</v>
      </c>
      <c r="Q1" s="24">
        <v>2030</v>
      </c>
      <c r="R1" s="24">
        <v>2031</v>
      </c>
      <c r="S1" s="24">
        <v>2032</v>
      </c>
      <c r="T1" s="24">
        <v>2033</v>
      </c>
      <c r="U1" s="24">
        <v>2034</v>
      </c>
      <c r="V1" s="24">
        <v>2035</v>
      </c>
      <c r="W1" s="24">
        <v>2036</v>
      </c>
      <c r="X1" s="24">
        <v>2037</v>
      </c>
      <c r="Y1" s="24">
        <v>2038</v>
      </c>
      <c r="Z1" s="24">
        <v>2039</v>
      </c>
      <c r="AA1" s="24">
        <v>2040</v>
      </c>
      <c r="AB1" s="24">
        <v>2041</v>
      </c>
      <c r="AC1" s="24">
        <v>2042</v>
      </c>
      <c r="AD1" s="24">
        <v>2043</v>
      </c>
      <c r="AE1" s="24">
        <v>2044</v>
      </c>
      <c r="AF1" s="24">
        <v>2045</v>
      </c>
      <c r="AG1" s="24">
        <v>2046</v>
      </c>
      <c r="AH1" s="24">
        <v>2047</v>
      </c>
      <c r="AI1" s="24">
        <v>2048</v>
      </c>
      <c r="AJ1" s="24">
        <v>2049</v>
      </c>
      <c r="AK1" s="24">
        <v>2050</v>
      </c>
    </row>
    <row r="2" spans="1:37" x14ac:dyDescent="0.25">
      <c r="A2" s="30" t="s">
        <v>91</v>
      </c>
      <c r="B2" s="45">
        <v>3.2</v>
      </c>
      <c r="C2" s="45">
        <v>3.2</v>
      </c>
      <c r="D2" s="45">
        <v>3.2</v>
      </c>
      <c r="E2" s="45">
        <v>3.2</v>
      </c>
      <c r="F2" s="45">
        <v>3.2</v>
      </c>
      <c r="G2" s="45">
        <v>3.2</v>
      </c>
      <c r="H2" s="45">
        <v>3.2</v>
      </c>
      <c r="I2" s="45">
        <v>3.2</v>
      </c>
      <c r="J2" s="45">
        <v>3.2</v>
      </c>
      <c r="K2" s="45">
        <v>3.2</v>
      </c>
      <c r="L2" s="45">
        <v>3.2</v>
      </c>
      <c r="M2" s="45">
        <v>3.2</v>
      </c>
      <c r="N2" s="45">
        <v>3.2</v>
      </c>
      <c r="O2" s="45">
        <v>3.2</v>
      </c>
      <c r="P2" s="45">
        <v>3.2</v>
      </c>
      <c r="Q2" s="45">
        <v>3.2</v>
      </c>
      <c r="R2" s="45">
        <v>3.2</v>
      </c>
      <c r="S2" s="45">
        <v>3.2</v>
      </c>
      <c r="T2" s="45">
        <v>3.2</v>
      </c>
      <c r="U2" s="45">
        <v>3.2</v>
      </c>
      <c r="V2" s="45">
        <v>3.2</v>
      </c>
      <c r="W2" s="45">
        <v>3.2</v>
      </c>
      <c r="X2" s="45">
        <v>3.2</v>
      </c>
      <c r="Y2" s="45">
        <v>3.2</v>
      </c>
      <c r="Z2" s="45">
        <v>3.2</v>
      </c>
      <c r="AA2" s="45">
        <v>3.2</v>
      </c>
      <c r="AB2" s="45">
        <v>3.2</v>
      </c>
      <c r="AC2" s="45">
        <v>3.2</v>
      </c>
      <c r="AD2" s="45">
        <v>3.2</v>
      </c>
      <c r="AE2" s="45">
        <v>3.2</v>
      </c>
      <c r="AF2" s="45">
        <v>3.2</v>
      </c>
      <c r="AG2" s="45">
        <v>3.2</v>
      </c>
      <c r="AH2" s="45">
        <v>3.2</v>
      </c>
      <c r="AI2" s="45">
        <v>3.2</v>
      </c>
      <c r="AJ2" s="45">
        <v>3.2</v>
      </c>
      <c r="AK2" s="45">
        <v>3.2</v>
      </c>
    </row>
    <row r="3" spans="1:37" x14ac:dyDescent="0.25">
      <c r="A3" s="30" t="s">
        <v>123</v>
      </c>
      <c r="B3">
        <v>4.37</v>
      </c>
      <c r="C3">
        <v>4.37</v>
      </c>
      <c r="D3">
        <v>4.37</v>
      </c>
      <c r="E3">
        <v>4.37</v>
      </c>
      <c r="F3">
        <v>4.37</v>
      </c>
      <c r="G3">
        <v>4.37</v>
      </c>
      <c r="H3">
        <v>4.37</v>
      </c>
      <c r="I3">
        <v>4.37</v>
      </c>
      <c r="J3">
        <v>4.37</v>
      </c>
      <c r="K3">
        <v>4.37</v>
      </c>
      <c r="L3">
        <v>4.37</v>
      </c>
      <c r="M3">
        <v>4.37</v>
      </c>
      <c r="N3">
        <v>4.37</v>
      </c>
      <c r="O3">
        <v>4.37</v>
      </c>
      <c r="P3">
        <v>4.37</v>
      </c>
      <c r="Q3">
        <v>4.37</v>
      </c>
      <c r="R3">
        <v>4.37</v>
      </c>
      <c r="S3">
        <v>4.37</v>
      </c>
      <c r="T3">
        <v>4.37</v>
      </c>
      <c r="U3">
        <v>4.37</v>
      </c>
      <c r="V3">
        <v>4.37</v>
      </c>
      <c r="W3">
        <v>4.37</v>
      </c>
      <c r="X3">
        <v>4.37</v>
      </c>
      <c r="Y3">
        <v>4.37</v>
      </c>
      <c r="Z3">
        <v>4.37</v>
      </c>
      <c r="AA3">
        <v>4.37</v>
      </c>
      <c r="AB3">
        <v>4.37</v>
      </c>
      <c r="AC3">
        <v>4.37</v>
      </c>
      <c r="AD3">
        <v>4.37</v>
      </c>
      <c r="AE3">
        <v>4.37</v>
      </c>
      <c r="AF3">
        <v>4.37</v>
      </c>
      <c r="AG3">
        <v>4.37</v>
      </c>
      <c r="AH3">
        <v>4.37</v>
      </c>
      <c r="AI3">
        <v>4.37</v>
      </c>
      <c r="AJ3">
        <v>4.37</v>
      </c>
      <c r="AK3">
        <v>4.37</v>
      </c>
    </row>
    <row r="4" spans="1:37" x14ac:dyDescent="0.25">
      <c r="A4" s="30" t="s">
        <v>43</v>
      </c>
      <c r="B4">
        <v>5.94</v>
      </c>
      <c r="C4">
        <v>6.0833333333333339</v>
      </c>
      <c r="D4">
        <v>6.2266666666666675</v>
      </c>
      <c r="E4">
        <v>6.370000000000001</v>
      </c>
      <c r="F4">
        <v>6.5133333333333336</v>
      </c>
      <c r="G4">
        <v>6.6566666666666672</v>
      </c>
      <c r="H4">
        <v>6.8000000000000007</v>
      </c>
      <c r="I4">
        <v>6.9433333333333334</v>
      </c>
      <c r="J4">
        <v>7.0866666666666669</v>
      </c>
      <c r="K4">
        <v>7.23</v>
      </c>
      <c r="L4">
        <v>7.3733333333333331</v>
      </c>
      <c r="M4">
        <v>7.5166666666666666</v>
      </c>
      <c r="N4">
        <v>7.66</v>
      </c>
      <c r="O4">
        <v>7.8033333333333337</v>
      </c>
      <c r="P4">
        <v>7.9466666666666663</v>
      </c>
      <c r="Q4">
        <v>8.09</v>
      </c>
      <c r="R4">
        <v>8.2333333333333325</v>
      </c>
      <c r="S4">
        <v>8.3766666666666669</v>
      </c>
      <c r="T4">
        <v>8.52</v>
      </c>
      <c r="U4">
        <v>8.6633333333333322</v>
      </c>
      <c r="V4">
        <v>8.8066666666666649</v>
      </c>
      <c r="W4">
        <v>8.9499999999999993</v>
      </c>
      <c r="X4">
        <v>9.0933333333333337</v>
      </c>
      <c r="Y4">
        <v>9.2366666666666664</v>
      </c>
      <c r="Z4">
        <v>9.379999999999999</v>
      </c>
      <c r="AA4">
        <v>9.5233333333333334</v>
      </c>
      <c r="AB4">
        <v>9.6666666666666679</v>
      </c>
      <c r="AC4">
        <v>9.8099999999999987</v>
      </c>
      <c r="AD4">
        <v>9.9533333333333331</v>
      </c>
      <c r="AE4">
        <v>10.096666666666666</v>
      </c>
      <c r="AF4">
        <v>10.239999999999998</v>
      </c>
      <c r="AG4">
        <v>10.383333333333333</v>
      </c>
      <c r="AH4">
        <v>10.526666666666667</v>
      </c>
      <c r="AI4">
        <v>10.67</v>
      </c>
      <c r="AJ4">
        <v>10.813333333333333</v>
      </c>
      <c r="AK4">
        <v>10.956666666666667</v>
      </c>
    </row>
    <row r="5" spans="1:37" x14ac:dyDescent="0.25">
      <c r="A5" s="30" t="s">
        <v>31</v>
      </c>
      <c r="B5">
        <f>0.33+0.09+0.23</f>
        <v>0.65</v>
      </c>
      <c r="C5">
        <f t="shared" ref="C5:AK5" si="0">0.33+0.09+0.23</f>
        <v>0.65</v>
      </c>
      <c r="D5">
        <f t="shared" si="0"/>
        <v>0.65</v>
      </c>
      <c r="E5">
        <f t="shared" si="0"/>
        <v>0.65</v>
      </c>
      <c r="F5">
        <f t="shared" si="0"/>
        <v>0.65</v>
      </c>
      <c r="G5">
        <f t="shared" si="0"/>
        <v>0.65</v>
      </c>
      <c r="H5">
        <f t="shared" si="0"/>
        <v>0.65</v>
      </c>
      <c r="I5">
        <f t="shared" si="0"/>
        <v>0.65</v>
      </c>
      <c r="J5">
        <f t="shared" si="0"/>
        <v>0.65</v>
      </c>
      <c r="K5">
        <f t="shared" si="0"/>
        <v>0.65</v>
      </c>
      <c r="L5">
        <f t="shared" si="0"/>
        <v>0.65</v>
      </c>
      <c r="M5">
        <f t="shared" si="0"/>
        <v>0.65</v>
      </c>
      <c r="N5">
        <f t="shared" si="0"/>
        <v>0.65</v>
      </c>
      <c r="O5">
        <f t="shared" si="0"/>
        <v>0.65</v>
      </c>
      <c r="P5">
        <f t="shared" si="0"/>
        <v>0.65</v>
      </c>
      <c r="Q5">
        <f t="shared" si="0"/>
        <v>0.65</v>
      </c>
      <c r="R5">
        <f t="shared" si="0"/>
        <v>0.65</v>
      </c>
      <c r="S5">
        <f t="shared" si="0"/>
        <v>0.65</v>
      </c>
      <c r="T5">
        <f t="shared" si="0"/>
        <v>0.65</v>
      </c>
      <c r="U5">
        <f t="shared" si="0"/>
        <v>0.65</v>
      </c>
      <c r="V5">
        <f t="shared" si="0"/>
        <v>0.65</v>
      </c>
      <c r="W5">
        <f t="shared" si="0"/>
        <v>0.65</v>
      </c>
      <c r="X5">
        <f t="shared" si="0"/>
        <v>0.65</v>
      </c>
      <c r="Y5">
        <f t="shared" si="0"/>
        <v>0.65</v>
      </c>
      <c r="Z5">
        <f t="shared" si="0"/>
        <v>0.65</v>
      </c>
      <c r="AA5">
        <f t="shared" si="0"/>
        <v>0.65</v>
      </c>
      <c r="AB5">
        <f t="shared" si="0"/>
        <v>0.65</v>
      </c>
      <c r="AC5">
        <f t="shared" si="0"/>
        <v>0.65</v>
      </c>
      <c r="AD5">
        <f t="shared" si="0"/>
        <v>0.65</v>
      </c>
      <c r="AE5">
        <f t="shared" si="0"/>
        <v>0.65</v>
      </c>
      <c r="AF5">
        <f t="shared" si="0"/>
        <v>0.65</v>
      </c>
      <c r="AG5">
        <f t="shared" si="0"/>
        <v>0.65</v>
      </c>
      <c r="AH5">
        <f t="shared" si="0"/>
        <v>0.65</v>
      </c>
      <c r="AI5">
        <f t="shared" si="0"/>
        <v>0.65</v>
      </c>
      <c r="AJ5">
        <f t="shared" si="0"/>
        <v>0.65</v>
      </c>
      <c r="AK5">
        <f t="shared" si="0"/>
        <v>0.65</v>
      </c>
    </row>
    <row r="6" spans="1:37" x14ac:dyDescent="0.25">
      <c r="A6" s="30" t="s">
        <v>32</v>
      </c>
      <c r="B6">
        <v>1.63</v>
      </c>
      <c r="C6">
        <v>1.63</v>
      </c>
      <c r="D6">
        <v>1.63</v>
      </c>
      <c r="E6">
        <v>1.63</v>
      </c>
      <c r="F6">
        <v>1.63</v>
      </c>
      <c r="G6">
        <v>1.63</v>
      </c>
      <c r="H6">
        <v>1.63</v>
      </c>
      <c r="I6">
        <v>1.63</v>
      </c>
      <c r="J6">
        <v>1.63</v>
      </c>
      <c r="K6">
        <v>1.63</v>
      </c>
      <c r="L6">
        <v>1.63</v>
      </c>
      <c r="M6">
        <v>1.63</v>
      </c>
      <c r="N6">
        <v>1.63</v>
      </c>
      <c r="O6">
        <v>1.63</v>
      </c>
      <c r="P6">
        <v>1.63</v>
      </c>
      <c r="Q6">
        <v>1.63</v>
      </c>
      <c r="R6">
        <v>1.63</v>
      </c>
      <c r="S6">
        <v>1.63</v>
      </c>
      <c r="T6">
        <v>1.63</v>
      </c>
      <c r="U6">
        <v>1.63</v>
      </c>
      <c r="V6">
        <v>1.63</v>
      </c>
      <c r="W6">
        <v>1.63</v>
      </c>
      <c r="X6">
        <v>1.63</v>
      </c>
      <c r="Y6">
        <v>1.63</v>
      </c>
      <c r="Z6">
        <v>1.63</v>
      </c>
      <c r="AA6">
        <v>1.63</v>
      </c>
      <c r="AB6">
        <v>1.63</v>
      </c>
      <c r="AC6">
        <v>1.63</v>
      </c>
      <c r="AD6">
        <v>1.63</v>
      </c>
      <c r="AE6">
        <v>1.63</v>
      </c>
      <c r="AF6">
        <v>1.63</v>
      </c>
      <c r="AG6">
        <v>1.63</v>
      </c>
      <c r="AH6">
        <v>1.63</v>
      </c>
      <c r="AI6">
        <v>1.63</v>
      </c>
      <c r="AJ6">
        <v>1.63</v>
      </c>
      <c r="AK6">
        <v>1.63</v>
      </c>
    </row>
    <row r="7" spans="1:37" x14ac:dyDescent="0.25">
      <c r="A7" s="42" t="s">
        <v>118</v>
      </c>
      <c r="B7">
        <v>0.254</v>
      </c>
      <c r="C7">
        <v>0.44500000000000001</v>
      </c>
      <c r="D7">
        <v>0.438</v>
      </c>
      <c r="E7">
        <v>0.34499999999999997</v>
      </c>
      <c r="F7">
        <v>0.28000000000000003</v>
      </c>
      <c r="G7">
        <v>0.22600000000000001</v>
      </c>
      <c r="H7">
        <v>0.21093333333333333</v>
      </c>
      <c r="I7">
        <v>0.19586666666666669</v>
      </c>
      <c r="J7">
        <v>0.18080000000000002</v>
      </c>
      <c r="K7">
        <v>0.16573333333333334</v>
      </c>
      <c r="L7">
        <v>0.1506666666666667</v>
      </c>
      <c r="M7">
        <v>0.1356</v>
      </c>
      <c r="N7">
        <v>0.12053333333333334</v>
      </c>
      <c r="O7">
        <v>0.10546666666666667</v>
      </c>
      <c r="P7">
        <v>9.0400000000000008E-2</v>
      </c>
      <c r="Q7">
        <v>7.5333333333333349E-2</v>
      </c>
      <c r="R7">
        <v>6.0266666666666677E-2</v>
      </c>
      <c r="S7">
        <v>4.519999999999999E-2</v>
      </c>
      <c r="T7">
        <v>3.0133333333333328E-2</v>
      </c>
      <c r="U7">
        <v>1.5066666666666664E-2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s="42" t="s">
        <v>119</v>
      </c>
      <c r="B8">
        <v>0.24</v>
      </c>
      <c r="C8">
        <v>0.24</v>
      </c>
      <c r="D8">
        <v>0.24</v>
      </c>
      <c r="E8">
        <v>0.24</v>
      </c>
      <c r="F8">
        <v>0.24</v>
      </c>
      <c r="G8">
        <v>0.24</v>
      </c>
      <c r="H8">
        <v>0.24</v>
      </c>
      <c r="I8">
        <v>0.24</v>
      </c>
      <c r="J8">
        <v>0.24</v>
      </c>
      <c r="K8">
        <v>0.24</v>
      </c>
      <c r="L8">
        <v>0.24</v>
      </c>
      <c r="M8">
        <v>0.24</v>
      </c>
      <c r="N8">
        <v>0.24</v>
      </c>
      <c r="O8">
        <v>0.24</v>
      </c>
      <c r="P8">
        <v>0.24</v>
      </c>
      <c r="Q8">
        <v>0.24</v>
      </c>
      <c r="R8">
        <v>0.24</v>
      </c>
      <c r="S8">
        <v>0.24</v>
      </c>
      <c r="T8">
        <v>0.24</v>
      </c>
      <c r="U8">
        <v>0.24</v>
      </c>
      <c r="V8">
        <v>0.24</v>
      </c>
      <c r="W8">
        <v>0.24</v>
      </c>
      <c r="X8">
        <v>0.24</v>
      </c>
      <c r="Y8">
        <v>0.24</v>
      </c>
      <c r="Z8">
        <v>0.24</v>
      </c>
      <c r="AA8">
        <v>0.24</v>
      </c>
      <c r="AB8">
        <v>0.24</v>
      </c>
      <c r="AC8">
        <v>0.24</v>
      </c>
      <c r="AD8">
        <v>0.24</v>
      </c>
      <c r="AE8">
        <v>0.24</v>
      </c>
      <c r="AF8">
        <v>0.24</v>
      </c>
      <c r="AG8">
        <v>0.24</v>
      </c>
      <c r="AH8">
        <v>0.24</v>
      </c>
      <c r="AI8">
        <v>0.24</v>
      </c>
      <c r="AJ8">
        <v>0.24</v>
      </c>
      <c r="AK8">
        <v>0.24</v>
      </c>
    </row>
    <row r="9" spans="1:37" x14ac:dyDescent="0.25">
      <c r="A9" s="42" t="s">
        <v>121</v>
      </c>
      <c r="B9">
        <v>0.01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  <c r="K9">
        <v>0.01</v>
      </c>
      <c r="L9">
        <v>0.01</v>
      </c>
      <c r="M9">
        <v>0.01</v>
      </c>
      <c r="N9">
        <v>0.01</v>
      </c>
      <c r="O9">
        <v>0.01</v>
      </c>
      <c r="P9">
        <v>0.01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D9">
        <v>0.01</v>
      </c>
      <c r="AE9">
        <v>0.01</v>
      </c>
      <c r="AF9">
        <v>0.01</v>
      </c>
      <c r="AG9">
        <v>0.01</v>
      </c>
      <c r="AH9">
        <v>0.01</v>
      </c>
      <c r="AI9">
        <v>0.01</v>
      </c>
      <c r="AJ9">
        <v>0.01</v>
      </c>
      <c r="AK9">
        <v>0.01</v>
      </c>
    </row>
    <row r="10" spans="1:37" x14ac:dyDescent="0.25">
      <c r="A10" s="42" t="s">
        <v>120</v>
      </c>
      <c r="B10">
        <v>-0.05</v>
      </c>
      <c r="C10">
        <v>-0.05</v>
      </c>
      <c r="D10">
        <v>-0.05</v>
      </c>
      <c r="E10">
        <v>-0.05</v>
      </c>
      <c r="F10">
        <v>-0.05</v>
      </c>
      <c r="G10">
        <v>-0.05</v>
      </c>
      <c r="H10">
        <v>-0.05</v>
      </c>
      <c r="I10">
        <v>-0.05</v>
      </c>
      <c r="J10">
        <v>-0.05</v>
      </c>
      <c r="K10">
        <v>-0.05</v>
      </c>
      <c r="L10">
        <v>-0.05</v>
      </c>
      <c r="M10">
        <v>-0.05</v>
      </c>
      <c r="N10">
        <v>-0.05</v>
      </c>
      <c r="O10">
        <v>-0.05</v>
      </c>
      <c r="P10">
        <v>-0.05</v>
      </c>
      <c r="Q10">
        <v>-0.05</v>
      </c>
      <c r="R10">
        <v>-0.05</v>
      </c>
      <c r="S10">
        <v>-0.05</v>
      </c>
      <c r="T10">
        <v>-0.05</v>
      </c>
      <c r="U10">
        <v>-0.05</v>
      </c>
      <c r="V10">
        <v>-0.05</v>
      </c>
      <c r="W10">
        <v>-0.05</v>
      </c>
      <c r="X10">
        <v>-0.05</v>
      </c>
      <c r="Y10">
        <v>-0.05</v>
      </c>
      <c r="Z10">
        <v>-0.05</v>
      </c>
      <c r="AA10">
        <v>-0.05</v>
      </c>
      <c r="AB10">
        <v>-0.05</v>
      </c>
      <c r="AC10">
        <v>-0.05</v>
      </c>
      <c r="AD10">
        <v>-0.05</v>
      </c>
      <c r="AE10">
        <v>-0.05</v>
      </c>
      <c r="AF10">
        <v>-0.05</v>
      </c>
      <c r="AG10">
        <v>-0.05</v>
      </c>
      <c r="AH10">
        <v>-0.05</v>
      </c>
      <c r="AI10">
        <v>-0.05</v>
      </c>
      <c r="AJ10">
        <v>-0.05</v>
      </c>
      <c r="AK10">
        <v>-0.05</v>
      </c>
    </row>
    <row r="11" spans="1:37" x14ac:dyDescent="0.25">
      <c r="A11" s="42" t="s">
        <v>49</v>
      </c>
      <c r="B11">
        <v>2.0499999999999998</v>
      </c>
      <c r="C11">
        <v>2.0499999999999998</v>
      </c>
      <c r="D11">
        <v>2.0499999999999998</v>
      </c>
      <c r="E11">
        <v>2.0499999999999998</v>
      </c>
      <c r="F11">
        <v>2.0499999999999998</v>
      </c>
      <c r="G11">
        <v>2.0499999999999998</v>
      </c>
      <c r="H11">
        <v>2.0499999999999998</v>
      </c>
      <c r="I11">
        <v>2.0499999999999998</v>
      </c>
      <c r="J11">
        <v>2.0499999999999998</v>
      </c>
      <c r="K11">
        <v>2.0499999999999998</v>
      </c>
      <c r="L11">
        <v>2.0499999999999998</v>
      </c>
      <c r="M11">
        <v>2.0499999999999998</v>
      </c>
      <c r="N11">
        <v>2.0499999999999998</v>
      </c>
      <c r="O11">
        <v>2.0499999999999998</v>
      </c>
      <c r="P11">
        <v>2.0499999999999998</v>
      </c>
      <c r="Q11">
        <v>2.0499999999999998</v>
      </c>
      <c r="R11">
        <v>2.0499999999999998</v>
      </c>
      <c r="S11">
        <v>2.0499999999999998</v>
      </c>
      <c r="T11">
        <v>2.0499999999999998</v>
      </c>
      <c r="U11">
        <v>2.0499999999999998</v>
      </c>
      <c r="V11">
        <v>2.0499999999999998</v>
      </c>
      <c r="W11">
        <v>2.0499999999999998</v>
      </c>
      <c r="X11">
        <v>2.0499999999999998</v>
      </c>
      <c r="Y11">
        <v>2.0499999999999998</v>
      </c>
      <c r="Z11">
        <v>2.0499999999999998</v>
      </c>
      <c r="AA11">
        <v>2.0499999999999998</v>
      </c>
      <c r="AB11">
        <v>2.0499999999999998</v>
      </c>
      <c r="AC11">
        <v>2.0499999999999998</v>
      </c>
      <c r="AD11">
        <v>2.0499999999999998</v>
      </c>
      <c r="AE11">
        <v>2.0499999999999998</v>
      </c>
      <c r="AF11">
        <v>2.0499999999999998</v>
      </c>
      <c r="AG11">
        <v>2.0499999999999998</v>
      </c>
      <c r="AH11">
        <v>2.0499999999999998</v>
      </c>
      <c r="AI11">
        <v>2.0499999999999998</v>
      </c>
      <c r="AJ11">
        <v>2.0499999999999998</v>
      </c>
      <c r="AK11">
        <v>2.0499999999999998</v>
      </c>
    </row>
    <row r="12" spans="1:37" x14ac:dyDescent="0.25">
      <c r="A12" s="42" t="s">
        <v>48</v>
      </c>
      <c r="B12">
        <v>6.17</v>
      </c>
      <c r="C12">
        <v>6.3540000000000001</v>
      </c>
      <c r="D12">
        <v>6.88</v>
      </c>
      <c r="E12">
        <v>6.7919999999999998</v>
      </c>
      <c r="F12">
        <v>6.4050000000000002</v>
      </c>
      <c r="G12">
        <v>6.7560000000000002</v>
      </c>
      <c r="H12">
        <f>(G12+I12)/2</f>
        <v>7.1779999999999999</v>
      </c>
      <c r="I12">
        <v>7.6</v>
      </c>
      <c r="J12">
        <v>7.6</v>
      </c>
      <c r="K12">
        <v>7.4</v>
      </c>
      <c r="L12">
        <v>7.2</v>
      </c>
      <c r="M12">
        <v>6.8</v>
      </c>
      <c r="N12">
        <v>6.7</v>
      </c>
      <c r="O12">
        <v>6.5</v>
      </c>
      <c r="P12">
        <v>6.4</v>
      </c>
      <c r="Q12">
        <v>6</v>
      </c>
      <c r="R12">
        <v>5.5</v>
      </c>
      <c r="S12">
        <v>4.9000000000000004</v>
      </c>
      <c r="T12">
        <v>4.5</v>
      </c>
      <c r="U12">
        <v>4.4000000000000004</v>
      </c>
      <c r="V12">
        <v>4.4000000000000004</v>
      </c>
      <c r="W12">
        <v>4.4000000000000004</v>
      </c>
      <c r="X12">
        <v>4.4000000000000004</v>
      </c>
      <c r="Y12">
        <v>4.4000000000000004</v>
      </c>
      <c r="Z12">
        <v>4.4000000000000004</v>
      </c>
      <c r="AA12">
        <v>4.4000000000000004</v>
      </c>
      <c r="AB12">
        <v>4.4000000000000004</v>
      </c>
      <c r="AC12">
        <v>4.4000000000000004</v>
      </c>
      <c r="AD12">
        <v>4.4000000000000004</v>
      </c>
      <c r="AE12">
        <v>4.4000000000000004</v>
      </c>
      <c r="AF12">
        <v>4.4000000000000004</v>
      </c>
      <c r="AG12">
        <v>4.4000000000000004</v>
      </c>
      <c r="AH12">
        <v>4.4000000000000004</v>
      </c>
      <c r="AI12">
        <v>4.4000000000000004</v>
      </c>
      <c r="AJ12">
        <v>4.4000000000000004</v>
      </c>
      <c r="AK12">
        <v>4.4000000000000004</v>
      </c>
    </row>
    <row r="13" spans="1:37" x14ac:dyDescent="0.25">
      <c r="A13" s="42" t="s">
        <v>132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-0.25</v>
      </c>
      <c r="I13">
        <v>-0.5</v>
      </c>
      <c r="J13">
        <v>-0.625</v>
      </c>
      <c r="K13">
        <v>-0.75</v>
      </c>
      <c r="L13">
        <v>-0.875</v>
      </c>
      <c r="M13">
        <v>-1</v>
      </c>
      <c r="N13">
        <v>-1.125</v>
      </c>
      <c r="O13">
        <v>-1.25</v>
      </c>
      <c r="P13">
        <v>-1.375</v>
      </c>
      <c r="Q13">
        <v>-1.5</v>
      </c>
      <c r="R13">
        <v>-1.625</v>
      </c>
      <c r="S13">
        <v>-1.75</v>
      </c>
      <c r="T13">
        <v>-1.875</v>
      </c>
      <c r="U13">
        <v>-2</v>
      </c>
      <c r="V13">
        <v>-2.125</v>
      </c>
      <c r="W13">
        <v>-2.25</v>
      </c>
      <c r="X13">
        <v>-2.375</v>
      </c>
      <c r="Y13">
        <v>-2.5</v>
      </c>
      <c r="Z13">
        <v>-2.625</v>
      </c>
      <c r="AA13">
        <v>-2.75</v>
      </c>
      <c r="AB13">
        <v>-2.875</v>
      </c>
      <c r="AC13">
        <v>-3</v>
      </c>
      <c r="AD13">
        <v>-3.125</v>
      </c>
      <c r="AE13">
        <v>-3.25</v>
      </c>
      <c r="AF13">
        <v>-3.375</v>
      </c>
      <c r="AG13">
        <v>-3.5</v>
      </c>
      <c r="AH13">
        <v>-3.625</v>
      </c>
      <c r="AI13">
        <v>-3.75</v>
      </c>
      <c r="AJ13">
        <v>-3.875</v>
      </c>
      <c r="AK13">
        <v>-4</v>
      </c>
    </row>
    <row r="14" spans="1:37" x14ac:dyDescent="0.25">
      <c r="A14" s="43" t="s">
        <v>35</v>
      </c>
      <c r="B14" s="6">
        <f>0.19*SUM(B2:B13)</f>
        <v>4.6481600000000007</v>
      </c>
      <c r="C14" s="6">
        <f t="shared" ref="C14:AK14" si="1">0.19*SUM(C2:C13)</f>
        <v>4.7466433333333331</v>
      </c>
      <c r="D14" s="6">
        <f t="shared" si="1"/>
        <v>4.8724866666666662</v>
      </c>
      <c r="E14" s="6">
        <f t="shared" si="1"/>
        <v>4.8653300000000002</v>
      </c>
      <c r="F14" s="6">
        <f t="shared" si="1"/>
        <v>4.8066833333333339</v>
      </c>
      <c r="G14" s="6">
        <f t="shared" si="1"/>
        <v>4.8903466666666668</v>
      </c>
      <c r="H14" s="6">
        <f t="shared" si="1"/>
        <v>4.9473973333333339</v>
      </c>
      <c r="I14" s="6">
        <f t="shared" si="1"/>
        <v>5.004448</v>
      </c>
      <c r="J14" s="6">
        <f t="shared" si="1"/>
        <v>5.0050686666666664</v>
      </c>
      <c r="K14" s="6">
        <f t="shared" si="1"/>
        <v>4.9676893333333334</v>
      </c>
      <c r="L14" s="6">
        <f t="shared" si="1"/>
        <v>4.9303099999999995</v>
      </c>
      <c r="M14" s="6">
        <f t="shared" si="1"/>
        <v>4.8549306666666672</v>
      </c>
      <c r="N14" s="6">
        <f t="shared" si="1"/>
        <v>4.8365513333333334</v>
      </c>
      <c r="O14" s="6">
        <f t="shared" si="1"/>
        <v>4.7991720000000004</v>
      </c>
      <c r="P14" s="6">
        <f t="shared" si="1"/>
        <v>4.7807926666666658</v>
      </c>
      <c r="Q14" s="6">
        <f t="shared" si="1"/>
        <v>4.7054133333333326</v>
      </c>
      <c r="R14" s="6">
        <f t="shared" si="1"/>
        <v>4.6110340000000001</v>
      </c>
      <c r="S14" s="6">
        <f t="shared" si="1"/>
        <v>4.4976546666666666</v>
      </c>
      <c r="T14" s="6">
        <f t="shared" si="1"/>
        <v>4.4222753333333324</v>
      </c>
      <c r="U14" s="6">
        <f t="shared" si="1"/>
        <v>4.4038959999999996</v>
      </c>
      <c r="V14" s="6">
        <f t="shared" si="1"/>
        <v>4.404516666666666</v>
      </c>
      <c r="W14" s="6">
        <f t="shared" si="1"/>
        <v>4.4079999999999995</v>
      </c>
      <c r="X14" s="6">
        <f t="shared" si="1"/>
        <v>4.4114833333333339</v>
      </c>
      <c r="Y14" s="6">
        <f t="shared" si="1"/>
        <v>4.4149666666666665</v>
      </c>
      <c r="Z14" s="6">
        <f t="shared" si="1"/>
        <v>4.4184499999999991</v>
      </c>
      <c r="AA14" s="6">
        <f t="shared" si="1"/>
        <v>4.4219333333333335</v>
      </c>
      <c r="AB14" s="6">
        <f t="shared" si="1"/>
        <v>4.4254166666666661</v>
      </c>
      <c r="AC14" s="6">
        <f t="shared" si="1"/>
        <v>4.4288999999999987</v>
      </c>
      <c r="AD14" s="6">
        <f t="shared" si="1"/>
        <v>4.4323833333333331</v>
      </c>
      <c r="AE14" s="6">
        <f t="shared" si="1"/>
        <v>4.4358666666666666</v>
      </c>
      <c r="AF14" s="6">
        <f t="shared" si="1"/>
        <v>4.4393499999999992</v>
      </c>
      <c r="AG14" s="6">
        <f t="shared" si="1"/>
        <v>4.4428333333333336</v>
      </c>
      <c r="AH14" s="6">
        <f t="shared" si="1"/>
        <v>4.4463166666666663</v>
      </c>
      <c r="AI14" s="6">
        <f t="shared" si="1"/>
        <v>4.4498000000000006</v>
      </c>
      <c r="AJ14" s="6">
        <f t="shared" si="1"/>
        <v>4.4532833333333333</v>
      </c>
      <c r="AK14" s="6">
        <f t="shared" si="1"/>
        <v>4.4567666666666659</v>
      </c>
    </row>
    <row r="15" spans="1:37" x14ac:dyDescent="0.25">
      <c r="A15" s="42" t="s">
        <v>106</v>
      </c>
      <c r="B15">
        <f t="shared" ref="B15:AK15" si="2">SUM(B2:B14)</f>
        <v>29.112160000000006</v>
      </c>
      <c r="C15">
        <f t="shared" si="2"/>
        <v>29.728976666666668</v>
      </c>
      <c r="D15">
        <f t="shared" si="2"/>
        <v>30.517153333333333</v>
      </c>
      <c r="E15">
        <f t="shared" si="2"/>
        <v>30.472329999999999</v>
      </c>
      <c r="F15">
        <f t="shared" si="2"/>
        <v>30.105016666666671</v>
      </c>
      <c r="G15">
        <f t="shared" si="2"/>
        <v>30.629013333333333</v>
      </c>
      <c r="H15">
        <f t="shared" si="2"/>
        <v>30.986330666666671</v>
      </c>
      <c r="I15">
        <f t="shared" si="2"/>
        <v>31.343647999999998</v>
      </c>
      <c r="J15">
        <f t="shared" si="2"/>
        <v>31.347535333333333</v>
      </c>
      <c r="K15">
        <f t="shared" si="2"/>
        <v>31.113422666666665</v>
      </c>
      <c r="L15">
        <f t="shared" si="2"/>
        <v>30.879309999999997</v>
      </c>
      <c r="M15">
        <f t="shared" si="2"/>
        <v>30.407197333333336</v>
      </c>
      <c r="N15">
        <f t="shared" si="2"/>
        <v>30.292084666666668</v>
      </c>
      <c r="O15">
        <f t="shared" si="2"/>
        <v>30.057971999999999</v>
      </c>
      <c r="P15">
        <f t="shared" si="2"/>
        <v>29.942859333333327</v>
      </c>
      <c r="Q15">
        <f t="shared" si="2"/>
        <v>29.470746666666663</v>
      </c>
      <c r="R15">
        <f t="shared" si="2"/>
        <v>28.879633999999999</v>
      </c>
      <c r="S15">
        <f t="shared" si="2"/>
        <v>28.169521333333332</v>
      </c>
      <c r="T15">
        <f t="shared" si="2"/>
        <v>27.697408666666661</v>
      </c>
      <c r="U15">
        <f t="shared" si="2"/>
        <v>27.582295999999996</v>
      </c>
      <c r="V15">
        <f t="shared" si="2"/>
        <v>27.586183333333331</v>
      </c>
      <c r="W15">
        <f t="shared" si="2"/>
        <v>27.607999999999997</v>
      </c>
      <c r="X15">
        <f t="shared" si="2"/>
        <v>27.629816666666667</v>
      </c>
      <c r="Y15">
        <f t="shared" si="2"/>
        <v>27.651633333333329</v>
      </c>
      <c r="Z15">
        <f t="shared" si="2"/>
        <v>27.673449999999995</v>
      </c>
      <c r="AA15">
        <f t="shared" si="2"/>
        <v>27.695266666666669</v>
      </c>
      <c r="AB15">
        <f t="shared" si="2"/>
        <v>27.717083333333331</v>
      </c>
      <c r="AC15">
        <f t="shared" si="2"/>
        <v>27.738899999999994</v>
      </c>
      <c r="AD15">
        <f t="shared" si="2"/>
        <v>27.760716666666667</v>
      </c>
      <c r="AE15">
        <f t="shared" si="2"/>
        <v>27.78253333333333</v>
      </c>
      <c r="AF15">
        <f t="shared" si="2"/>
        <v>27.804349999999992</v>
      </c>
      <c r="AG15">
        <f t="shared" si="2"/>
        <v>27.826166666666666</v>
      </c>
      <c r="AH15">
        <f t="shared" si="2"/>
        <v>27.847983333333332</v>
      </c>
      <c r="AI15">
        <f t="shared" si="2"/>
        <v>27.869800000000001</v>
      </c>
      <c r="AJ15">
        <f t="shared" si="2"/>
        <v>27.891616666666664</v>
      </c>
      <c r="AK15">
        <f t="shared" si="2"/>
        <v>27.91343333333333</v>
      </c>
    </row>
    <row r="18" spans="1:37" x14ac:dyDescent="0.25">
      <c r="A18" t="s">
        <v>129</v>
      </c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s="33" t="s">
        <v>91</v>
      </c>
      <c r="B19" s="16">
        <v>3.2</v>
      </c>
      <c r="C19" s="16">
        <v>3.2</v>
      </c>
      <c r="D19" s="16">
        <v>3.2</v>
      </c>
      <c r="E19" s="16">
        <v>3.2</v>
      </c>
      <c r="F19" s="16">
        <v>3.2</v>
      </c>
      <c r="G19" s="16">
        <v>3.2</v>
      </c>
      <c r="H19" s="16">
        <v>3.2</v>
      </c>
      <c r="I19" s="16">
        <v>3.2</v>
      </c>
      <c r="J19" s="16">
        <v>3.2</v>
      </c>
      <c r="K19" s="16">
        <v>3.2</v>
      </c>
      <c r="L19" s="16">
        <v>3.2</v>
      </c>
      <c r="M19" s="16">
        <v>3.2</v>
      </c>
      <c r="N19" s="16">
        <v>3.2</v>
      </c>
      <c r="O19" s="16">
        <v>3.2</v>
      </c>
      <c r="P19" s="16">
        <v>3.2</v>
      </c>
      <c r="Q19" s="16">
        <v>3.2</v>
      </c>
      <c r="R19" s="16">
        <v>3.2</v>
      </c>
      <c r="S19" s="16">
        <v>3.2</v>
      </c>
      <c r="T19" s="16">
        <v>3.2</v>
      </c>
      <c r="U19" s="16">
        <v>3.2</v>
      </c>
      <c r="V19" s="16">
        <v>3.2</v>
      </c>
      <c r="W19" s="16">
        <v>3.2</v>
      </c>
      <c r="X19" s="16">
        <v>3.2</v>
      </c>
      <c r="Y19" s="16">
        <v>3.2</v>
      </c>
      <c r="Z19" s="16">
        <v>3.2</v>
      </c>
      <c r="AA19" s="16">
        <v>3.2</v>
      </c>
      <c r="AB19" s="16">
        <v>3.2</v>
      </c>
      <c r="AC19" s="16">
        <v>3.2</v>
      </c>
      <c r="AD19" s="16">
        <v>3.2</v>
      </c>
      <c r="AE19" s="16">
        <v>3.2</v>
      </c>
      <c r="AF19" s="16">
        <v>3.2</v>
      </c>
      <c r="AG19" s="16">
        <v>3.2</v>
      </c>
      <c r="AH19" s="16">
        <v>3.2</v>
      </c>
      <c r="AI19" s="16">
        <v>3.2</v>
      </c>
      <c r="AJ19" s="16">
        <v>3.2</v>
      </c>
      <c r="AK19" s="16">
        <v>3.2</v>
      </c>
    </row>
    <row r="20" spans="1:37" x14ac:dyDescent="0.25">
      <c r="A20" s="33" t="s">
        <v>123</v>
      </c>
      <c r="B20">
        <f>6.08-B19</f>
        <v>2.88</v>
      </c>
      <c r="C20">
        <f t="shared" ref="C20:AK20" si="3">6.08-C19</f>
        <v>2.88</v>
      </c>
      <c r="D20">
        <f t="shared" si="3"/>
        <v>2.88</v>
      </c>
      <c r="E20">
        <f t="shared" si="3"/>
        <v>2.88</v>
      </c>
      <c r="F20">
        <f t="shared" si="3"/>
        <v>2.88</v>
      </c>
      <c r="G20">
        <f t="shared" si="3"/>
        <v>2.88</v>
      </c>
      <c r="H20">
        <f t="shared" si="3"/>
        <v>2.88</v>
      </c>
      <c r="I20">
        <f t="shared" si="3"/>
        <v>2.88</v>
      </c>
      <c r="J20">
        <f t="shared" si="3"/>
        <v>2.88</v>
      </c>
      <c r="K20">
        <f t="shared" si="3"/>
        <v>2.88</v>
      </c>
      <c r="L20">
        <f t="shared" si="3"/>
        <v>2.88</v>
      </c>
      <c r="M20">
        <f t="shared" si="3"/>
        <v>2.88</v>
      </c>
      <c r="N20">
        <f t="shared" si="3"/>
        <v>2.88</v>
      </c>
      <c r="O20">
        <f t="shared" si="3"/>
        <v>2.88</v>
      </c>
      <c r="P20">
        <f t="shared" si="3"/>
        <v>2.88</v>
      </c>
      <c r="Q20">
        <f t="shared" si="3"/>
        <v>2.88</v>
      </c>
      <c r="R20">
        <f t="shared" si="3"/>
        <v>2.88</v>
      </c>
      <c r="S20">
        <f t="shared" si="3"/>
        <v>2.88</v>
      </c>
      <c r="T20">
        <f t="shared" si="3"/>
        <v>2.88</v>
      </c>
      <c r="U20">
        <f t="shared" si="3"/>
        <v>2.88</v>
      </c>
      <c r="V20">
        <f t="shared" si="3"/>
        <v>2.88</v>
      </c>
      <c r="W20">
        <f t="shared" si="3"/>
        <v>2.88</v>
      </c>
      <c r="X20">
        <f t="shared" si="3"/>
        <v>2.88</v>
      </c>
      <c r="Y20">
        <f t="shared" si="3"/>
        <v>2.88</v>
      </c>
      <c r="Z20">
        <f t="shared" si="3"/>
        <v>2.88</v>
      </c>
      <c r="AA20">
        <f t="shared" si="3"/>
        <v>2.88</v>
      </c>
      <c r="AB20">
        <f t="shared" si="3"/>
        <v>2.88</v>
      </c>
      <c r="AC20">
        <f t="shared" si="3"/>
        <v>2.88</v>
      </c>
      <c r="AD20">
        <f t="shared" si="3"/>
        <v>2.88</v>
      </c>
      <c r="AE20">
        <f t="shared" si="3"/>
        <v>2.88</v>
      </c>
      <c r="AF20">
        <f t="shared" si="3"/>
        <v>2.88</v>
      </c>
      <c r="AG20">
        <f t="shared" si="3"/>
        <v>2.88</v>
      </c>
      <c r="AH20">
        <f t="shared" si="3"/>
        <v>2.88</v>
      </c>
      <c r="AI20">
        <f t="shared" si="3"/>
        <v>2.88</v>
      </c>
      <c r="AJ20">
        <f t="shared" si="3"/>
        <v>2.88</v>
      </c>
      <c r="AK20">
        <f t="shared" si="3"/>
        <v>2.88</v>
      </c>
    </row>
    <row r="21" spans="1:37" x14ac:dyDescent="0.25">
      <c r="A21" s="39" t="s">
        <v>43</v>
      </c>
      <c r="B21">
        <v>5.44</v>
      </c>
      <c r="C21">
        <v>5.5833333333333339</v>
      </c>
      <c r="D21">
        <v>5.7266666666666666</v>
      </c>
      <c r="E21">
        <v>5.87</v>
      </c>
      <c r="F21">
        <v>6.0133333333333336</v>
      </c>
      <c r="G21">
        <v>6.1566666666666672</v>
      </c>
      <c r="H21">
        <v>6.3000000000000007</v>
      </c>
      <c r="I21">
        <v>6.4433333333333334</v>
      </c>
      <c r="J21">
        <v>6.5866666666666669</v>
      </c>
      <c r="K21">
        <v>6.7299999999999995</v>
      </c>
      <c r="L21">
        <v>6.8733333333333331</v>
      </c>
      <c r="M21">
        <v>7.0166666666666666</v>
      </c>
      <c r="N21">
        <v>7.16</v>
      </c>
      <c r="O21">
        <v>7.3033333333333337</v>
      </c>
      <c r="P21">
        <v>7.4466666666666663</v>
      </c>
      <c r="Q21">
        <v>7.59</v>
      </c>
      <c r="R21">
        <v>7.7333333333333334</v>
      </c>
      <c r="S21">
        <v>7.8766666666666669</v>
      </c>
      <c r="T21">
        <v>8.02</v>
      </c>
      <c r="U21">
        <v>8.1633333333333322</v>
      </c>
      <c r="V21">
        <v>8.3066666666666666</v>
      </c>
      <c r="W21">
        <v>8.4499999999999993</v>
      </c>
      <c r="X21">
        <v>8.5933333333333337</v>
      </c>
      <c r="Y21">
        <v>8.7366666666666664</v>
      </c>
      <c r="Z21">
        <v>8.879999999999999</v>
      </c>
      <c r="AA21">
        <v>9.0233333333333334</v>
      </c>
      <c r="AB21">
        <v>9.1666666666666661</v>
      </c>
      <c r="AC21">
        <v>9.31</v>
      </c>
      <c r="AD21">
        <v>9.4533333333333331</v>
      </c>
      <c r="AE21">
        <v>9.5966666666666658</v>
      </c>
      <c r="AF21">
        <v>9.7399999999999984</v>
      </c>
      <c r="AG21">
        <v>9.8833333333333329</v>
      </c>
      <c r="AH21">
        <v>10.026666666666667</v>
      </c>
      <c r="AI21">
        <v>10.169999999999998</v>
      </c>
      <c r="AJ21">
        <v>10.313333333333333</v>
      </c>
      <c r="AK21">
        <v>10.456666666666667</v>
      </c>
    </row>
    <row r="22" spans="1:37" x14ac:dyDescent="0.25">
      <c r="A22" s="39" t="s">
        <v>31</v>
      </c>
      <c r="B22">
        <v>0.33</v>
      </c>
      <c r="C22">
        <v>0.33</v>
      </c>
      <c r="D22">
        <v>0.33</v>
      </c>
      <c r="E22">
        <v>0.33</v>
      </c>
      <c r="F22">
        <v>0.33</v>
      </c>
      <c r="G22">
        <v>0.33</v>
      </c>
      <c r="H22">
        <v>0.33</v>
      </c>
      <c r="I22">
        <v>0.33</v>
      </c>
      <c r="J22">
        <v>0.33</v>
      </c>
      <c r="K22">
        <v>0.33</v>
      </c>
      <c r="L22">
        <v>0.33</v>
      </c>
      <c r="M22">
        <v>0.33</v>
      </c>
      <c r="N22">
        <v>0.33</v>
      </c>
      <c r="O22">
        <v>0.33</v>
      </c>
      <c r="P22">
        <v>0.33</v>
      </c>
      <c r="Q22">
        <v>0.33</v>
      </c>
      <c r="R22">
        <v>0.33</v>
      </c>
      <c r="S22">
        <v>0.33</v>
      </c>
      <c r="T22">
        <v>0.33</v>
      </c>
      <c r="U22">
        <v>0.33</v>
      </c>
      <c r="V22">
        <v>0.33</v>
      </c>
      <c r="W22">
        <v>0.33</v>
      </c>
      <c r="X22">
        <v>0.33</v>
      </c>
      <c r="Y22">
        <v>0.33</v>
      </c>
      <c r="Z22">
        <v>0.33</v>
      </c>
      <c r="AA22">
        <v>0.33</v>
      </c>
      <c r="AB22">
        <v>0.33</v>
      </c>
      <c r="AC22">
        <v>0.33</v>
      </c>
      <c r="AD22">
        <v>0.33</v>
      </c>
      <c r="AE22">
        <v>0.33</v>
      </c>
      <c r="AF22">
        <v>0.33</v>
      </c>
      <c r="AG22">
        <v>0.33</v>
      </c>
      <c r="AH22">
        <v>0.33</v>
      </c>
      <c r="AI22">
        <v>0.33</v>
      </c>
      <c r="AJ22">
        <v>0.33</v>
      </c>
      <c r="AK22">
        <v>0.33</v>
      </c>
    </row>
    <row r="23" spans="1:37" x14ac:dyDescent="0.25">
      <c r="A23" s="39" t="s">
        <v>32</v>
      </c>
      <c r="B23">
        <v>0.97</v>
      </c>
      <c r="C23">
        <v>0.97</v>
      </c>
      <c r="D23">
        <v>0.97</v>
      </c>
      <c r="E23">
        <v>0.97</v>
      </c>
      <c r="F23">
        <v>0.97</v>
      </c>
      <c r="G23">
        <v>0.97</v>
      </c>
      <c r="H23">
        <v>0.97</v>
      </c>
      <c r="I23">
        <v>0.97</v>
      </c>
      <c r="J23">
        <v>0.97</v>
      </c>
      <c r="K23">
        <v>0.97</v>
      </c>
      <c r="L23">
        <v>0.97</v>
      </c>
      <c r="M23">
        <v>0.97</v>
      </c>
      <c r="N23">
        <v>0.97</v>
      </c>
      <c r="O23">
        <v>0.97</v>
      </c>
      <c r="P23">
        <v>0.97</v>
      </c>
      <c r="Q23">
        <v>0.97</v>
      </c>
      <c r="R23">
        <v>0.97</v>
      </c>
      <c r="S23">
        <v>0.97</v>
      </c>
      <c r="T23">
        <v>0.97</v>
      </c>
      <c r="U23">
        <v>0.97</v>
      </c>
      <c r="V23">
        <v>0.97</v>
      </c>
      <c r="W23">
        <v>0.97</v>
      </c>
      <c r="X23">
        <v>0.97</v>
      </c>
      <c r="Y23">
        <v>0.97</v>
      </c>
      <c r="Z23">
        <v>0.97</v>
      </c>
      <c r="AA23">
        <v>0.97</v>
      </c>
      <c r="AB23">
        <v>0.97</v>
      </c>
      <c r="AC23">
        <v>0.97</v>
      </c>
      <c r="AD23">
        <v>0.97</v>
      </c>
      <c r="AE23">
        <v>0.97</v>
      </c>
      <c r="AF23">
        <v>0.97</v>
      </c>
      <c r="AG23">
        <v>0.97</v>
      </c>
      <c r="AH23">
        <v>0.97</v>
      </c>
      <c r="AI23">
        <v>0.97</v>
      </c>
      <c r="AJ23">
        <v>0.97</v>
      </c>
      <c r="AK23">
        <v>0.97</v>
      </c>
    </row>
    <row r="24" spans="1:37" x14ac:dyDescent="0.25">
      <c r="A24" s="40" t="s">
        <v>118</v>
      </c>
      <c r="B24">
        <v>0.254</v>
      </c>
      <c r="C24">
        <v>0.44500000000000001</v>
      </c>
      <c r="D24">
        <v>0.438</v>
      </c>
      <c r="E24">
        <v>0.34499999999999997</v>
      </c>
      <c r="F24">
        <v>0.28000000000000003</v>
      </c>
      <c r="G24">
        <v>0.22600000000000001</v>
      </c>
      <c r="H24">
        <v>0.21093333333333333</v>
      </c>
      <c r="I24">
        <v>0.19586666666666669</v>
      </c>
      <c r="J24">
        <v>0.18080000000000002</v>
      </c>
      <c r="K24">
        <v>0.16573333333333334</v>
      </c>
      <c r="L24">
        <v>0.1506666666666667</v>
      </c>
      <c r="M24">
        <v>0.1356</v>
      </c>
      <c r="N24">
        <v>0.12053333333333334</v>
      </c>
      <c r="O24">
        <v>0.10546666666666667</v>
      </c>
      <c r="P24">
        <v>9.0400000000000008E-2</v>
      </c>
      <c r="Q24">
        <v>7.5333333333333349E-2</v>
      </c>
      <c r="R24">
        <v>6.0266666666666677E-2</v>
      </c>
      <c r="S24">
        <v>4.519999999999999E-2</v>
      </c>
      <c r="T24">
        <v>3.0133333333333328E-2</v>
      </c>
      <c r="U24">
        <v>1.5066666666666664E-2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0" t="s">
        <v>119</v>
      </c>
      <c r="B25">
        <v>0.23699999999999999</v>
      </c>
      <c r="C25">
        <v>0.23699999999999999</v>
      </c>
      <c r="D25">
        <v>0.23699999999999999</v>
      </c>
      <c r="E25">
        <v>0.23699999999999999</v>
      </c>
      <c r="F25">
        <v>0.23699999999999999</v>
      </c>
      <c r="G25">
        <v>0.23699999999999999</v>
      </c>
      <c r="H25">
        <v>0.23699999999999999</v>
      </c>
      <c r="I25">
        <v>0.23699999999999999</v>
      </c>
      <c r="J25">
        <v>0.23699999999999999</v>
      </c>
      <c r="K25">
        <v>0.23699999999999999</v>
      </c>
      <c r="L25">
        <v>0.23699999999999999</v>
      </c>
      <c r="M25">
        <v>0.23699999999999999</v>
      </c>
      <c r="N25">
        <v>0.23699999999999999</v>
      </c>
      <c r="O25">
        <v>0.23699999999999999</v>
      </c>
      <c r="P25">
        <v>0.23699999999999999</v>
      </c>
      <c r="Q25">
        <v>0.23699999999999999</v>
      </c>
      <c r="R25">
        <v>0.23699999999999999</v>
      </c>
      <c r="S25">
        <v>0.23699999999999999</v>
      </c>
      <c r="T25">
        <v>0.23699999999999999</v>
      </c>
      <c r="U25">
        <v>0.23699999999999999</v>
      </c>
      <c r="V25">
        <v>0.23699999999999999</v>
      </c>
      <c r="W25">
        <v>0.23699999999999999</v>
      </c>
      <c r="X25">
        <v>0.23699999999999999</v>
      </c>
      <c r="Y25">
        <v>0.23699999999999999</v>
      </c>
      <c r="Z25">
        <v>0.23699999999999999</v>
      </c>
      <c r="AA25">
        <v>0.23699999999999999</v>
      </c>
      <c r="AB25">
        <v>0.23699999999999999</v>
      </c>
      <c r="AC25">
        <v>0.23699999999999999</v>
      </c>
      <c r="AD25">
        <v>0.23699999999999999</v>
      </c>
      <c r="AE25">
        <v>0.23699999999999999</v>
      </c>
      <c r="AF25">
        <v>0.23699999999999999</v>
      </c>
      <c r="AG25">
        <v>0.23699999999999999</v>
      </c>
      <c r="AH25">
        <v>0.23699999999999999</v>
      </c>
      <c r="AI25">
        <v>0.23699999999999999</v>
      </c>
      <c r="AJ25">
        <v>0.23699999999999999</v>
      </c>
      <c r="AK25">
        <v>0.23699999999999999</v>
      </c>
    </row>
    <row r="26" spans="1:37" x14ac:dyDescent="0.25">
      <c r="A26" s="40" t="s">
        <v>121</v>
      </c>
      <c r="B26">
        <v>6.0000000000000001E-3</v>
      </c>
      <c r="C26">
        <v>6.0000000000000001E-3</v>
      </c>
      <c r="D26">
        <v>6.0000000000000001E-3</v>
      </c>
      <c r="E26">
        <v>6.0000000000000001E-3</v>
      </c>
      <c r="F26">
        <v>6.0000000000000001E-3</v>
      </c>
      <c r="G26">
        <v>6.0000000000000001E-3</v>
      </c>
      <c r="H26">
        <v>6.0000000000000001E-3</v>
      </c>
      <c r="I26">
        <v>6.0000000000000001E-3</v>
      </c>
      <c r="J26">
        <v>6.0000000000000001E-3</v>
      </c>
      <c r="K26">
        <v>6.0000000000000001E-3</v>
      </c>
      <c r="L26">
        <v>6.0000000000000001E-3</v>
      </c>
      <c r="M26">
        <v>6.0000000000000001E-3</v>
      </c>
      <c r="N26">
        <v>6.0000000000000001E-3</v>
      </c>
      <c r="O26">
        <v>6.0000000000000001E-3</v>
      </c>
      <c r="P26">
        <v>6.0000000000000001E-3</v>
      </c>
      <c r="Q26">
        <v>6.0000000000000001E-3</v>
      </c>
      <c r="R26">
        <v>6.0000000000000001E-3</v>
      </c>
      <c r="S26">
        <v>6.0000000000000001E-3</v>
      </c>
      <c r="T26">
        <v>6.0000000000000001E-3</v>
      </c>
      <c r="U26">
        <v>6.0000000000000001E-3</v>
      </c>
      <c r="V26">
        <v>6.0000000000000001E-3</v>
      </c>
      <c r="W26">
        <v>6.0000000000000001E-3</v>
      </c>
      <c r="X26">
        <v>6.0000000000000001E-3</v>
      </c>
      <c r="Y26">
        <v>6.0000000000000001E-3</v>
      </c>
      <c r="Z26">
        <v>6.0000000000000001E-3</v>
      </c>
      <c r="AA26">
        <v>6.0000000000000001E-3</v>
      </c>
      <c r="AB26">
        <v>6.0000000000000001E-3</v>
      </c>
      <c r="AC26">
        <v>6.0000000000000001E-3</v>
      </c>
      <c r="AD26">
        <v>6.0000000000000001E-3</v>
      </c>
      <c r="AE26">
        <v>6.0000000000000001E-3</v>
      </c>
      <c r="AF26">
        <v>6.0000000000000001E-3</v>
      </c>
      <c r="AG26">
        <v>6.0000000000000001E-3</v>
      </c>
      <c r="AH26">
        <v>6.0000000000000001E-3</v>
      </c>
      <c r="AI26">
        <v>6.0000000000000001E-3</v>
      </c>
      <c r="AJ26">
        <v>6.0000000000000001E-3</v>
      </c>
      <c r="AK26">
        <v>6.0000000000000001E-3</v>
      </c>
    </row>
    <row r="27" spans="1:37" x14ac:dyDescent="0.25">
      <c r="A27" s="40" t="s">
        <v>120</v>
      </c>
      <c r="B27">
        <v>-5.0999999999999997E-2</v>
      </c>
      <c r="C27">
        <v>-5.0999999999999997E-2</v>
      </c>
      <c r="D27">
        <v>-5.0999999999999997E-2</v>
      </c>
      <c r="E27">
        <v>-5.0999999999999997E-2</v>
      </c>
      <c r="F27">
        <v>-5.0999999999999997E-2</v>
      </c>
      <c r="G27">
        <v>-5.0999999999999997E-2</v>
      </c>
      <c r="H27">
        <v>-5.0999999999999997E-2</v>
      </c>
      <c r="I27">
        <v>-5.0999999999999997E-2</v>
      </c>
      <c r="J27">
        <v>-5.0999999999999997E-2</v>
      </c>
      <c r="K27">
        <v>-5.0999999999999997E-2</v>
      </c>
      <c r="L27">
        <v>-5.0999999999999997E-2</v>
      </c>
      <c r="M27">
        <v>-5.0999999999999997E-2</v>
      </c>
      <c r="N27">
        <v>-5.0999999999999997E-2</v>
      </c>
      <c r="O27">
        <v>-5.0999999999999997E-2</v>
      </c>
      <c r="P27">
        <v>-5.0999999999999997E-2</v>
      </c>
      <c r="Q27">
        <v>-5.0999999999999997E-2</v>
      </c>
      <c r="R27">
        <v>-5.0999999999999997E-2</v>
      </c>
      <c r="S27">
        <v>-5.0999999999999997E-2</v>
      </c>
      <c r="T27">
        <v>-5.0999999999999997E-2</v>
      </c>
      <c r="U27">
        <v>-5.0999999999999997E-2</v>
      </c>
      <c r="V27">
        <v>-5.0999999999999997E-2</v>
      </c>
      <c r="W27">
        <v>-5.0999999999999997E-2</v>
      </c>
      <c r="X27">
        <v>-5.0999999999999997E-2</v>
      </c>
      <c r="Y27">
        <v>-5.0999999999999997E-2</v>
      </c>
      <c r="Z27">
        <v>-5.0999999999999997E-2</v>
      </c>
      <c r="AA27">
        <v>-5.0999999999999997E-2</v>
      </c>
      <c r="AB27">
        <v>-5.0999999999999997E-2</v>
      </c>
      <c r="AC27">
        <v>-5.0999999999999997E-2</v>
      </c>
      <c r="AD27">
        <v>-5.0999999999999997E-2</v>
      </c>
      <c r="AE27">
        <v>-5.0999999999999997E-2</v>
      </c>
      <c r="AF27">
        <v>-5.0999999999999997E-2</v>
      </c>
      <c r="AG27">
        <v>-5.0999999999999997E-2</v>
      </c>
      <c r="AH27">
        <v>-5.0999999999999997E-2</v>
      </c>
      <c r="AI27">
        <v>-5.0999999999999997E-2</v>
      </c>
      <c r="AJ27">
        <v>-5.0999999999999997E-2</v>
      </c>
      <c r="AK27">
        <v>-5.0999999999999997E-2</v>
      </c>
    </row>
    <row r="28" spans="1:37" x14ac:dyDescent="0.25">
      <c r="A28" s="40" t="s">
        <v>49</v>
      </c>
      <c r="B28">
        <v>2.0499999999999998</v>
      </c>
      <c r="C28">
        <v>2.0499999999999998</v>
      </c>
      <c r="D28">
        <v>2.0499999999999998</v>
      </c>
      <c r="E28">
        <v>2.0499999999999998</v>
      </c>
      <c r="F28">
        <v>2.0499999999999998</v>
      </c>
      <c r="G28">
        <v>2.0499999999999998</v>
      </c>
      <c r="H28">
        <v>2.0499999999999998</v>
      </c>
      <c r="I28">
        <v>2.0499999999999998</v>
      </c>
      <c r="J28">
        <v>2.0499999999999998</v>
      </c>
      <c r="K28">
        <v>2.0499999999999998</v>
      </c>
      <c r="L28">
        <v>2.0499999999999998</v>
      </c>
      <c r="M28">
        <v>2.0499999999999998</v>
      </c>
      <c r="N28">
        <v>2.0499999999999998</v>
      </c>
      <c r="O28">
        <v>2.0499999999999998</v>
      </c>
      <c r="P28">
        <v>2.0499999999999998</v>
      </c>
      <c r="Q28">
        <v>2.0499999999999998</v>
      </c>
      <c r="R28">
        <v>2.0499999999999998</v>
      </c>
      <c r="S28">
        <v>2.0499999999999998</v>
      </c>
      <c r="T28">
        <v>2.0499999999999998</v>
      </c>
      <c r="U28">
        <v>2.0499999999999998</v>
      </c>
      <c r="V28">
        <v>2.0499999999999998</v>
      </c>
      <c r="W28">
        <v>2.0499999999999998</v>
      </c>
      <c r="X28">
        <v>2.0499999999999998</v>
      </c>
      <c r="Y28">
        <v>2.0499999999999998</v>
      </c>
      <c r="Z28">
        <v>2.0499999999999998</v>
      </c>
      <c r="AA28">
        <v>2.0499999999999998</v>
      </c>
      <c r="AB28">
        <v>2.0499999999999998</v>
      </c>
      <c r="AC28">
        <v>2.0499999999999998</v>
      </c>
      <c r="AD28">
        <v>2.0499999999999998</v>
      </c>
      <c r="AE28">
        <v>2.0499999999999998</v>
      </c>
      <c r="AF28">
        <v>2.0499999999999998</v>
      </c>
      <c r="AG28">
        <v>2.0499999999999998</v>
      </c>
      <c r="AH28">
        <v>2.0499999999999998</v>
      </c>
      <c r="AI28">
        <v>2.0499999999999998</v>
      </c>
      <c r="AJ28">
        <v>2.0499999999999998</v>
      </c>
      <c r="AK28">
        <v>2.0499999999999998</v>
      </c>
    </row>
    <row r="29" spans="1:37" x14ac:dyDescent="0.25">
      <c r="A29" s="40" t="s">
        <v>48</v>
      </c>
      <c r="B29">
        <v>6.17</v>
      </c>
      <c r="C29">
        <v>6.3540000000000001</v>
      </c>
      <c r="D29">
        <v>6.88</v>
      </c>
      <c r="E29">
        <v>6.7919999999999998</v>
      </c>
      <c r="F29">
        <v>6.4050000000000002</v>
      </c>
      <c r="G29">
        <v>6.7560000000000002</v>
      </c>
      <c r="H29">
        <f>(G29+I29)/2</f>
        <v>7.1779999999999999</v>
      </c>
      <c r="I29">
        <v>7.6</v>
      </c>
      <c r="J29">
        <v>7.6</v>
      </c>
      <c r="K29">
        <v>7.4</v>
      </c>
      <c r="L29">
        <v>7.2</v>
      </c>
      <c r="M29">
        <v>6.8</v>
      </c>
      <c r="N29">
        <v>6.7</v>
      </c>
      <c r="O29">
        <v>6.5</v>
      </c>
      <c r="P29">
        <v>6.4</v>
      </c>
      <c r="Q29">
        <v>6</v>
      </c>
      <c r="R29">
        <v>5.5</v>
      </c>
      <c r="S29">
        <v>4.9000000000000004</v>
      </c>
      <c r="T29">
        <v>4.5</v>
      </c>
      <c r="U29">
        <v>4.4000000000000004</v>
      </c>
      <c r="V29">
        <v>4.4000000000000004</v>
      </c>
      <c r="W29">
        <v>4.4000000000000004</v>
      </c>
      <c r="X29">
        <v>4.4000000000000004</v>
      </c>
      <c r="Y29">
        <v>4.4000000000000004</v>
      </c>
      <c r="Z29">
        <v>4.4000000000000004</v>
      </c>
      <c r="AA29">
        <v>4.4000000000000004</v>
      </c>
      <c r="AB29">
        <v>4.4000000000000004</v>
      </c>
      <c r="AC29">
        <v>4.4000000000000004</v>
      </c>
      <c r="AD29">
        <v>4.4000000000000004</v>
      </c>
      <c r="AE29">
        <v>4.4000000000000004</v>
      </c>
      <c r="AF29">
        <v>4.4000000000000004</v>
      </c>
      <c r="AG29">
        <v>4.4000000000000004</v>
      </c>
      <c r="AH29">
        <v>4.4000000000000004</v>
      </c>
      <c r="AI29">
        <v>4.4000000000000004</v>
      </c>
      <c r="AJ29">
        <v>4.4000000000000004</v>
      </c>
      <c r="AK29">
        <v>4.4000000000000004</v>
      </c>
    </row>
    <row r="30" spans="1:37" x14ac:dyDescent="0.25">
      <c r="A30" s="40" t="s">
        <v>132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-0.25</v>
      </c>
      <c r="I30">
        <v>-0.5</v>
      </c>
      <c r="J30">
        <v>-0.625</v>
      </c>
      <c r="K30">
        <v>-0.75</v>
      </c>
      <c r="L30">
        <v>-0.875</v>
      </c>
      <c r="M30">
        <v>-1</v>
      </c>
      <c r="N30">
        <v>-1.125</v>
      </c>
      <c r="O30">
        <v>-1.25</v>
      </c>
      <c r="P30">
        <v>-1.375</v>
      </c>
      <c r="Q30">
        <v>-1.5</v>
      </c>
      <c r="R30">
        <v>-1.625</v>
      </c>
      <c r="S30">
        <v>-1.75</v>
      </c>
      <c r="T30">
        <v>-1.875</v>
      </c>
      <c r="U30">
        <v>-2</v>
      </c>
      <c r="V30">
        <v>-2.125</v>
      </c>
      <c r="W30">
        <v>-2.25</v>
      </c>
      <c r="X30">
        <v>-2.375</v>
      </c>
      <c r="Y30">
        <v>-2.5</v>
      </c>
      <c r="Z30">
        <v>-2.625</v>
      </c>
      <c r="AA30">
        <v>-2.75</v>
      </c>
      <c r="AB30">
        <v>-2.875</v>
      </c>
      <c r="AC30">
        <v>-3</v>
      </c>
      <c r="AD30">
        <v>-3.125</v>
      </c>
      <c r="AE30">
        <v>-3.25</v>
      </c>
      <c r="AF30">
        <v>-3.375</v>
      </c>
      <c r="AG30">
        <v>-3.5</v>
      </c>
      <c r="AH30">
        <v>-3.625</v>
      </c>
      <c r="AI30">
        <v>-3.75</v>
      </c>
      <c r="AJ30">
        <v>-3.875</v>
      </c>
      <c r="AK30">
        <v>-4</v>
      </c>
    </row>
    <row r="31" spans="1:37" x14ac:dyDescent="0.25">
      <c r="A31" s="41" t="s">
        <v>35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</row>
    <row r="32" spans="1:37" x14ac:dyDescent="0.25">
      <c r="A32" s="40" t="s">
        <v>106</v>
      </c>
      <c r="B32">
        <f t="shared" ref="B32:AK32" si="4">SUM(B19:B31)</f>
        <v>21.485999999999997</v>
      </c>
      <c r="C32">
        <f t="shared" si="4"/>
        <v>22.004333333333335</v>
      </c>
      <c r="D32">
        <f t="shared" si="4"/>
        <v>22.666666666666668</v>
      </c>
      <c r="E32">
        <f t="shared" si="4"/>
        <v>22.628999999999998</v>
      </c>
      <c r="F32">
        <f t="shared" si="4"/>
        <v>22.320333333333334</v>
      </c>
      <c r="G32">
        <f t="shared" si="4"/>
        <v>22.760666666666669</v>
      </c>
      <c r="H32">
        <f t="shared" si="4"/>
        <v>23.060933333333335</v>
      </c>
      <c r="I32">
        <f t="shared" si="4"/>
        <v>23.361200000000004</v>
      </c>
      <c r="J32">
        <f t="shared" si="4"/>
        <v>23.364466666666665</v>
      </c>
      <c r="K32">
        <f t="shared" si="4"/>
        <v>23.167733333333331</v>
      </c>
      <c r="L32">
        <f t="shared" si="4"/>
        <v>22.971</v>
      </c>
      <c r="M32">
        <f t="shared" si="4"/>
        <v>22.57426666666667</v>
      </c>
      <c r="N32">
        <f t="shared" si="4"/>
        <v>22.477533333333334</v>
      </c>
      <c r="O32">
        <f t="shared" si="4"/>
        <v>22.280799999999999</v>
      </c>
      <c r="P32">
        <f t="shared" si="4"/>
        <v>22.184066666666666</v>
      </c>
      <c r="Q32">
        <f t="shared" si="4"/>
        <v>21.787333333333333</v>
      </c>
      <c r="R32">
        <f t="shared" si="4"/>
        <v>21.290600000000001</v>
      </c>
      <c r="S32">
        <f t="shared" si="4"/>
        <v>20.693866666666665</v>
      </c>
      <c r="T32">
        <f t="shared" si="4"/>
        <v>20.297133333333335</v>
      </c>
      <c r="U32">
        <f t="shared" si="4"/>
        <v>20.200400000000002</v>
      </c>
      <c r="V32">
        <f t="shared" si="4"/>
        <v>20.20366666666667</v>
      </c>
      <c r="W32">
        <f t="shared" si="4"/>
        <v>20.222000000000001</v>
      </c>
      <c r="X32">
        <f t="shared" si="4"/>
        <v>20.240333333333339</v>
      </c>
      <c r="Y32">
        <f t="shared" si="4"/>
        <v>20.25866666666667</v>
      </c>
      <c r="Z32">
        <f t="shared" si="4"/>
        <v>20.277000000000001</v>
      </c>
      <c r="AA32">
        <f t="shared" si="4"/>
        <v>20.295333333333332</v>
      </c>
      <c r="AB32">
        <f t="shared" si="4"/>
        <v>20.31366666666667</v>
      </c>
      <c r="AC32">
        <f t="shared" si="4"/>
        <v>20.332000000000001</v>
      </c>
      <c r="AD32">
        <f t="shared" si="4"/>
        <v>20.350333333333332</v>
      </c>
      <c r="AE32">
        <f t="shared" si="4"/>
        <v>20.368666666666662</v>
      </c>
      <c r="AF32">
        <f t="shared" si="4"/>
        <v>20.387</v>
      </c>
      <c r="AG32">
        <f t="shared" si="4"/>
        <v>20.405333333333331</v>
      </c>
      <c r="AH32">
        <f t="shared" si="4"/>
        <v>20.423666666666669</v>
      </c>
      <c r="AI32">
        <f t="shared" si="4"/>
        <v>20.442</v>
      </c>
      <c r="AJ32">
        <f t="shared" si="4"/>
        <v>20.460333333333331</v>
      </c>
      <c r="AK32">
        <f t="shared" si="4"/>
        <v>20.478666666666669</v>
      </c>
    </row>
    <row r="35" spans="1:37" x14ac:dyDescent="0.25">
      <c r="A35" t="s">
        <v>130</v>
      </c>
      <c r="B35">
        <v>2015</v>
      </c>
      <c r="C35">
        <v>2016</v>
      </c>
      <c r="D35">
        <v>2017</v>
      </c>
      <c r="E35">
        <v>2018</v>
      </c>
      <c r="F35">
        <v>2019</v>
      </c>
      <c r="G35">
        <v>2020</v>
      </c>
      <c r="H35">
        <v>2021</v>
      </c>
      <c r="I35">
        <v>2022</v>
      </c>
      <c r="J35">
        <v>2023</v>
      </c>
      <c r="K35">
        <v>2024</v>
      </c>
      <c r="L35">
        <v>2025</v>
      </c>
      <c r="M35">
        <v>2026</v>
      </c>
      <c r="N35">
        <v>2027</v>
      </c>
      <c r="O35">
        <v>2028</v>
      </c>
      <c r="P35">
        <v>2029</v>
      </c>
      <c r="Q35">
        <v>2030</v>
      </c>
      <c r="R35">
        <v>2031</v>
      </c>
      <c r="S35">
        <v>2032</v>
      </c>
      <c r="T35">
        <v>2033</v>
      </c>
      <c r="U35">
        <v>2034</v>
      </c>
      <c r="V35">
        <v>2035</v>
      </c>
      <c r="W35">
        <v>2036</v>
      </c>
      <c r="X35">
        <v>2037</v>
      </c>
      <c r="Y35">
        <v>2038</v>
      </c>
      <c r="Z35">
        <v>2039</v>
      </c>
      <c r="AA35">
        <v>2040</v>
      </c>
      <c r="AB35">
        <v>2041</v>
      </c>
      <c r="AC35">
        <v>2042</v>
      </c>
      <c r="AD35">
        <v>2043</v>
      </c>
      <c r="AE35">
        <v>2044</v>
      </c>
      <c r="AF35">
        <v>2045</v>
      </c>
      <c r="AG35">
        <v>2046</v>
      </c>
      <c r="AH35">
        <v>2047</v>
      </c>
      <c r="AI35">
        <v>2048</v>
      </c>
      <c r="AJ35">
        <v>2049</v>
      </c>
      <c r="AK35">
        <v>2050</v>
      </c>
    </row>
    <row r="36" spans="1:37" x14ac:dyDescent="0.25">
      <c r="A36" s="33" t="s">
        <v>91</v>
      </c>
      <c r="B36" s="16">
        <v>3.2</v>
      </c>
      <c r="C36" s="16">
        <v>3.2</v>
      </c>
      <c r="D36" s="16">
        <v>3.2</v>
      </c>
      <c r="E36" s="16">
        <v>3.2</v>
      </c>
      <c r="F36" s="16">
        <v>3.2</v>
      </c>
      <c r="G36" s="16">
        <v>3.2</v>
      </c>
      <c r="H36" s="16">
        <v>3.2</v>
      </c>
      <c r="I36" s="16">
        <v>3.2</v>
      </c>
      <c r="J36" s="16">
        <v>3.2</v>
      </c>
      <c r="K36" s="16">
        <v>3.2</v>
      </c>
      <c r="L36" s="16">
        <v>3.2</v>
      </c>
      <c r="M36" s="16">
        <v>3.2</v>
      </c>
      <c r="N36" s="16">
        <v>3.2</v>
      </c>
      <c r="O36" s="16">
        <v>3.2</v>
      </c>
      <c r="P36" s="16">
        <v>3.2</v>
      </c>
      <c r="Q36" s="16">
        <v>3.2</v>
      </c>
      <c r="R36" s="16">
        <v>3.2</v>
      </c>
      <c r="S36" s="16">
        <v>3.2</v>
      </c>
      <c r="T36" s="16">
        <v>3.2</v>
      </c>
      <c r="U36" s="16">
        <v>3.2</v>
      </c>
      <c r="V36" s="16">
        <v>3.2</v>
      </c>
      <c r="W36" s="16">
        <v>3.2</v>
      </c>
      <c r="X36" s="16">
        <v>3.2</v>
      </c>
      <c r="Y36" s="16">
        <v>3.2</v>
      </c>
      <c r="Z36" s="16">
        <v>3.2</v>
      </c>
      <c r="AA36" s="16">
        <v>3.2</v>
      </c>
      <c r="AB36" s="16">
        <v>3.2</v>
      </c>
      <c r="AC36" s="16">
        <v>3.2</v>
      </c>
      <c r="AD36" s="16">
        <v>3.2</v>
      </c>
      <c r="AE36" s="16">
        <v>3.2</v>
      </c>
      <c r="AF36" s="16">
        <v>3.2</v>
      </c>
      <c r="AG36" s="16">
        <v>3.2</v>
      </c>
      <c r="AH36" s="16">
        <v>3.2</v>
      </c>
      <c r="AI36" s="16">
        <v>3.2</v>
      </c>
      <c r="AJ36" s="16">
        <v>3.2</v>
      </c>
      <c r="AK36" s="16">
        <v>3.2</v>
      </c>
    </row>
    <row r="37" spans="1:37" x14ac:dyDescent="0.25">
      <c r="A37" s="33" t="s">
        <v>123</v>
      </c>
      <c r="B37">
        <f>4.19-B36</f>
        <v>0.99000000000000021</v>
      </c>
      <c r="C37">
        <f t="shared" ref="C37:AK37" si="5">4.19-C36</f>
        <v>0.99000000000000021</v>
      </c>
      <c r="D37">
        <f t="shared" si="5"/>
        <v>0.99000000000000021</v>
      </c>
      <c r="E37">
        <f t="shared" si="5"/>
        <v>0.99000000000000021</v>
      </c>
      <c r="F37">
        <f t="shared" si="5"/>
        <v>0.99000000000000021</v>
      </c>
      <c r="G37">
        <f t="shared" si="5"/>
        <v>0.99000000000000021</v>
      </c>
      <c r="H37">
        <f t="shared" si="5"/>
        <v>0.99000000000000021</v>
      </c>
      <c r="I37">
        <f t="shared" si="5"/>
        <v>0.99000000000000021</v>
      </c>
      <c r="J37">
        <f t="shared" si="5"/>
        <v>0.99000000000000021</v>
      </c>
      <c r="K37">
        <f t="shared" si="5"/>
        <v>0.99000000000000021</v>
      </c>
      <c r="L37">
        <f t="shared" si="5"/>
        <v>0.99000000000000021</v>
      </c>
      <c r="M37">
        <f t="shared" si="5"/>
        <v>0.99000000000000021</v>
      </c>
      <c r="N37">
        <f t="shared" si="5"/>
        <v>0.99000000000000021</v>
      </c>
      <c r="O37">
        <f t="shared" si="5"/>
        <v>0.99000000000000021</v>
      </c>
      <c r="P37">
        <f t="shared" si="5"/>
        <v>0.99000000000000021</v>
      </c>
      <c r="Q37">
        <f t="shared" si="5"/>
        <v>0.99000000000000021</v>
      </c>
      <c r="R37">
        <f t="shared" si="5"/>
        <v>0.99000000000000021</v>
      </c>
      <c r="S37">
        <f t="shared" si="5"/>
        <v>0.99000000000000021</v>
      </c>
      <c r="T37">
        <f t="shared" si="5"/>
        <v>0.99000000000000021</v>
      </c>
      <c r="U37">
        <f t="shared" si="5"/>
        <v>0.99000000000000021</v>
      </c>
      <c r="V37">
        <f t="shared" si="5"/>
        <v>0.99000000000000021</v>
      </c>
      <c r="W37">
        <f t="shared" si="5"/>
        <v>0.99000000000000021</v>
      </c>
      <c r="X37">
        <f t="shared" si="5"/>
        <v>0.99000000000000021</v>
      </c>
      <c r="Y37">
        <f t="shared" si="5"/>
        <v>0.99000000000000021</v>
      </c>
      <c r="Z37">
        <f t="shared" si="5"/>
        <v>0.99000000000000021</v>
      </c>
      <c r="AA37">
        <f t="shared" si="5"/>
        <v>0.99000000000000021</v>
      </c>
      <c r="AB37">
        <f t="shared" si="5"/>
        <v>0.99000000000000021</v>
      </c>
      <c r="AC37">
        <f t="shared" si="5"/>
        <v>0.99000000000000021</v>
      </c>
      <c r="AD37">
        <f t="shared" si="5"/>
        <v>0.99000000000000021</v>
      </c>
      <c r="AE37">
        <f t="shared" si="5"/>
        <v>0.99000000000000021</v>
      </c>
      <c r="AF37">
        <f t="shared" si="5"/>
        <v>0.99000000000000021</v>
      </c>
      <c r="AG37">
        <f t="shared" si="5"/>
        <v>0.99000000000000021</v>
      </c>
      <c r="AH37">
        <f t="shared" si="5"/>
        <v>0.99000000000000021</v>
      </c>
      <c r="AI37">
        <f t="shared" si="5"/>
        <v>0.99000000000000021</v>
      </c>
      <c r="AJ37">
        <f t="shared" si="5"/>
        <v>0.99000000000000021</v>
      </c>
      <c r="AK37">
        <f t="shared" si="5"/>
        <v>0.99000000000000021</v>
      </c>
    </row>
    <row r="38" spans="1:37" x14ac:dyDescent="0.25">
      <c r="A38" s="39" t="s">
        <v>43</v>
      </c>
      <c r="B38">
        <v>2.06</v>
      </c>
      <c r="C38">
        <v>2.1307333333333336</v>
      </c>
      <c r="D38">
        <v>2.2014666666666667</v>
      </c>
      <c r="E38">
        <v>2.2722000000000002</v>
      </c>
      <c r="F38">
        <v>2.3429333333333333</v>
      </c>
      <c r="G38">
        <v>2.4136666666666668</v>
      </c>
      <c r="H38">
        <v>2.4843999999999999</v>
      </c>
      <c r="I38">
        <v>2.5551333333333335</v>
      </c>
      <c r="J38">
        <v>2.6258666666666666</v>
      </c>
      <c r="K38">
        <v>2.6966000000000001</v>
      </c>
      <c r="L38">
        <v>2.7673333333333332</v>
      </c>
      <c r="M38">
        <v>2.8380666666666663</v>
      </c>
      <c r="N38">
        <v>2.9088000000000003</v>
      </c>
      <c r="O38">
        <v>2.9795333333333334</v>
      </c>
      <c r="P38">
        <v>3.0502666666666669</v>
      </c>
      <c r="Q38">
        <v>3.121</v>
      </c>
      <c r="R38">
        <v>3.1917333333333331</v>
      </c>
      <c r="S38">
        <v>3.2624666666666666</v>
      </c>
      <c r="T38">
        <v>3.3331999999999997</v>
      </c>
      <c r="U38">
        <v>3.4039333333333333</v>
      </c>
      <c r="V38">
        <v>3.4746666666666668</v>
      </c>
      <c r="W38">
        <v>3.5453999999999999</v>
      </c>
      <c r="X38">
        <v>3.616133333333333</v>
      </c>
      <c r="Y38">
        <v>3.6868666666666665</v>
      </c>
      <c r="Z38">
        <v>3.7576000000000005</v>
      </c>
      <c r="AA38">
        <v>3.8283333333333336</v>
      </c>
      <c r="AB38">
        <v>3.8990666666666667</v>
      </c>
      <c r="AC38">
        <v>3.9697999999999998</v>
      </c>
      <c r="AD38">
        <v>4.0405333333333342</v>
      </c>
      <c r="AE38">
        <v>4.1112666666666673</v>
      </c>
      <c r="AF38">
        <v>4.1820000000000004</v>
      </c>
      <c r="AG38">
        <v>4.2527333333333335</v>
      </c>
      <c r="AH38">
        <v>4.3234666666666666</v>
      </c>
      <c r="AI38">
        <v>4.3942000000000005</v>
      </c>
      <c r="AJ38">
        <v>4.4649333333333328</v>
      </c>
      <c r="AK38">
        <v>4.5356666666666667</v>
      </c>
    </row>
    <row r="39" spans="1:37" x14ac:dyDescent="0.25">
      <c r="A39" s="39" t="s">
        <v>31</v>
      </c>
      <c r="B39">
        <v>0.06</v>
      </c>
      <c r="C39">
        <v>0.06</v>
      </c>
      <c r="D39">
        <v>0.06</v>
      </c>
      <c r="E39">
        <v>0.06</v>
      </c>
      <c r="F39">
        <v>0.06</v>
      </c>
      <c r="G39">
        <v>0.06</v>
      </c>
      <c r="H39">
        <v>0.06</v>
      </c>
      <c r="I39">
        <v>0.06</v>
      </c>
      <c r="J39">
        <v>0.06</v>
      </c>
      <c r="K39">
        <v>0.06</v>
      </c>
      <c r="L39">
        <v>0.06</v>
      </c>
      <c r="M39">
        <v>0.06</v>
      </c>
      <c r="N39">
        <v>0.06</v>
      </c>
      <c r="O39">
        <v>0.06</v>
      </c>
      <c r="P39">
        <v>0.06</v>
      </c>
      <c r="Q39">
        <v>0.06</v>
      </c>
      <c r="R39">
        <v>0.06</v>
      </c>
      <c r="S39">
        <v>0.06</v>
      </c>
      <c r="T39">
        <v>0.06</v>
      </c>
      <c r="U39">
        <v>0.06</v>
      </c>
      <c r="V39">
        <v>0.06</v>
      </c>
      <c r="W39">
        <v>0.06</v>
      </c>
      <c r="X39">
        <v>0.06</v>
      </c>
      <c r="Y39">
        <v>0.06</v>
      </c>
      <c r="Z39">
        <v>0.06</v>
      </c>
      <c r="AA39">
        <v>0.06</v>
      </c>
      <c r="AB39">
        <v>0.06</v>
      </c>
      <c r="AC39">
        <v>0.06</v>
      </c>
      <c r="AD39">
        <v>0.06</v>
      </c>
      <c r="AE39">
        <v>0.06</v>
      </c>
      <c r="AF39">
        <v>0.06</v>
      </c>
      <c r="AG39">
        <v>0.06</v>
      </c>
      <c r="AH39">
        <v>0.06</v>
      </c>
      <c r="AI39">
        <v>0.06</v>
      </c>
      <c r="AJ39">
        <v>0.06</v>
      </c>
      <c r="AK39">
        <v>0.06</v>
      </c>
    </row>
    <row r="40" spans="1:37" x14ac:dyDescent="0.25">
      <c r="A40" s="39" t="s">
        <v>32</v>
      </c>
      <c r="B40">
        <v>0.12</v>
      </c>
      <c r="C40">
        <v>0.12</v>
      </c>
      <c r="D40">
        <v>0.12</v>
      </c>
      <c r="E40">
        <v>0.12</v>
      </c>
      <c r="F40">
        <v>0.12</v>
      </c>
      <c r="G40">
        <v>0.12</v>
      </c>
      <c r="H40">
        <v>0.12</v>
      </c>
      <c r="I40">
        <v>0.12</v>
      </c>
      <c r="J40">
        <v>0.12</v>
      </c>
      <c r="K40">
        <v>0.12</v>
      </c>
      <c r="L40">
        <v>0.12</v>
      </c>
      <c r="M40">
        <v>0.12</v>
      </c>
      <c r="N40">
        <v>0.12</v>
      </c>
      <c r="O40">
        <v>0.12</v>
      </c>
      <c r="P40">
        <v>0.12</v>
      </c>
      <c r="Q40">
        <v>0.12</v>
      </c>
      <c r="R40">
        <v>0.12</v>
      </c>
      <c r="S40">
        <v>0.12</v>
      </c>
      <c r="T40">
        <v>0.12</v>
      </c>
      <c r="U40">
        <v>0.12</v>
      </c>
      <c r="V40">
        <v>0.12</v>
      </c>
      <c r="W40">
        <v>0.12</v>
      </c>
      <c r="X40">
        <v>0.12</v>
      </c>
      <c r="Y40">
        <v>0.12</v>
      </c>
      <c r="Z40">
        <v>0.12</v>
      </c>
      <c r="AA40">
        <v>0.12</v>
      </c>
      <c r="AB40">
        <v>0.12</v>
      </c>
      <c r="AC40">
        <v>0.12</v>
      </c>
      <c r="AD40">
        <v>0.12</v>
      </c>
      <c r="AE40">
        <v>0.12</v>
      </c>
      <c r="AF40">
        <v>0.12</v>
      </c>
      <c r="AG40">
        <v>0.12</v>
      </c>
      <c r="AH40">
        <v>0.12</v>
      </c>
      <c r="AI40">
        <v>0.12</v>
      </c>
      <c r="AJ40">
        <v>0.12</v>
      </c>
      <c r="AK40">
        <v>0.12</v>
      </c>
    </row>
    <row r="41" spans="1:37" x14ac:dyDescent="0.25">
      <c r="A41" s="40" t="s">
        <v>118</v>
      </c>
      <c r="B41">
        <v>5.0999999999999997E-2</v>
      </c>
      <c r="C41">
        <v>0.04</v>
      </c>
      <c r="D41">
        <v>0.438</v>
      </c>
      <c r="E41">
        <v>0.34499999999999997</v>
      </c>
      <c r="F41">
        <v>0.28000000000000003</v>
      </c>
      <c r="G41">
        <v>0.22600000000000001</v>
      </c>
      <c r="H41">
        <v>0.21093333333333333</v>
      </c>
      <c r="I41">
        <v>0.19586666666666669</v>
      </c>
      <c r="J41">
        <v>0.18080000000000002</v>
      </c>
      <c r="K41">
        <v>0.16573333333333334</v>
      </c>
      <c r="L41">
        <v>0.1506666666666667</v>
      </c>
      <c r="M41">
        <v>0.1356</v>
      </c>
      <c r="N41">
        <v>0.12053333333333334</v>
      </c>
      <c r="O41">
        <v>0.10546666666666667</v>
      </c>
      <c r="P41">
        <v>9.0400000000000008E-2</v>
      </c>
      <c r="Q41">
        <v>7.5333333333333349E-2</v>
      </c>
      <c r="R41">
        <v>6.0266666666666677E-2</v>
      </c>
      <c r="S41">
        <v>4.519999999999999E-2</v>
      </c>
      <c r="T41">
        <v>3.0133333333333328E-2</v>
      </c>
      <c r="U41">
        <v>1.5066666666666664E-2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 s="40" t="s">
        <v>119</v>
      </c>
      <c r="B42">
        <v>5.7000000000000002E-2</v>
      </c>
      <c r="C42">
        <v>5.7000000000000002E-2</v>
      </c>
      <c r="D42">
        <v>5.7000000000000002E-2</v>
      </c>
      <c r="E42">
        <v>5.7000000000000002E-2</v>
      </c>
      <c r="F42">
        <v>5.7000000000000002E-2</v>
      </c>
      <c r="G42">
        <v>5.7000000000000002E-2</v>
      </c>
      <c r="H42">
        <v>5.7000000000000002E-2</v>
      </c>
      <c r="I42">
        <v>5.7000000000000002E-2</v>
      </c>
      <c r="J42">
        <v>5.7000000000000002E-2</v>
      </c>
      <c r="K42">
        <v>5.7000000000000002E-2</v>
      </c>
      <c r="L42">
        <v>5.7000000000000002E-2</v>
      </c>
      <c r="M42">
        <v>5.7000000000000002E-2</v>
      </c>
      <c r="N42">
        <v>5.7000000000000002E-2</v>
      </c>
      <c r="O42">
        <v>5.7000000000000002E-2</v>
      </c>
      <c r="P42">
        <v>5.7000000000000002E-2</v>
      </c>
      <c r="Q42">
        <v>5.7000000000000002E-2</v>
      </c>
      <c r="R42">
        <v>5.7000000000000002E-2</v>
      </c>
      <c r="S42">
        <v>5.7000000000000002E-2</v>
      </c>
      <c r="T42">
        <v>5.7000000000000002E-2</v>
      </c>
      <c r="U42">
        <v>5.7000000000000002E-2</v>
      </c>
      <c r="V42">
        <v>5.7000000000000002E-2</v>
      </c>
      <c r="W42">
        <v>5.7000000000000002E-2</v>
      </c>
      <c r="X42">
        <v>5.7000000000000002E-2</v>
      </c>
      <c r="Y42">
        <v>5.7000000000000002E-2</v>
      </c>
      <c r="Z42">
        <v>5.7000000000000002E-2</v>
      </c>
      <c r="AA42">
        <v>5.7000000000000002E-2</v>
      </c>
      <c r="AB42">
        <v>5.7000000000000002E-2</v>
      </c>
      <c r="AC42">
        <v>5.7000000000000002E-2</v>
      </c>
      <c r="AD42">
        <v>5.7000000000000002E-2</v>
      </c>
      <c r="AE42">
        <v>5.7000000000000002E-2</v>
      </c>
      <c r="AF42">
        <v>5.7000000000000002E-2</v>
      </c>
      <c r="AG42">
        <v>5.7000000000000002E-2</v>
      </c>
      <c r="AH42">
        <v>5.7000000000000002E-2</v>
      </c>
      <c r="AI42">
        <v>5.7000000000000002E-2</v>
      </c>
      <c r="AJ42">
        <v>5.7000000000000002E-2</v>
      </c>
      <c r="AK42">
        <v>5.7000000000000002E-2</v>
      </c>
    </row>
    <row r="43" spans="1:37" x14ac:dyDescent="0.25">
      <c r="A43" s="40" t="s">
        <v>121</v>
      </c>
      <c r="B43">
        <v>6.0000000000000001E-3</v>
      </c>
      <c r="C43">
        <v>6.0000000000000001E-3</v>
      </c>
      <c r="D43">
        <v>6.0000000000000001E-3</v>
      </c>
      <c r="E43">
        <v>6.0000000000000001E-3</v>
      </c>
      <c r="F43">
        <v>6.0000000000000001E-3</v>
      </c>
      <c r="G43">
        <v>6.0000000000000001E-3</v>
      </c>
      <c r="H43">
        <v>6.0000000000000001E-3</v>
      </c>
      <c r="I43">
        <v>6.0000000000000001E-3</v>
      </c>
      <c r="J43">
        <v>6.0000000000000001E-3</v>
      </c>
      <c r="K43">
        <v>6.0000000000000001E-3</v>
      </c>
      <c r="L43">
        <v>6.0000000000000001E-3</v>
      </c>
      <c r="M43">
        <v>6.0000000000000001E-3</v>
      </c>
      <c r="N43">
        <v>6.0000000000000001E-3</v>
      </c>
      <c r="O43">
        <v>6.0000000000000001E-3</v>
      </c>
      <c r="P43">
        <v>6.0000000000000001E-3</v>
      </c>
      <c r="Q43">
        <v>6.0000000000000001E-3</v>
      </c>
      <c r="R43">
        <v>6.0000000000000001E-3</v>
      </c>
      <c r="S43">
        <v>6.0000000000000001E-3</v>
      </c>
      <c r="T43">
        <v>6.0000000000000001E-3</v>
      </c>
      <c r="U43">
        <v>6.0000000000000001E-3</v>
      </c>
      <c r="V43">
        <v>6.0000000000000001E-3</v>
      </c>
      <c r="W43">
        <v>6.0000000000000001E-3</v>
      </c>
      <c r="X43">
        <v>6.0000000000000001E-3</v>
      </c>
      <c r="Y43">
        <v>6.0000000000000001E-3</v>
      </c>
      <c r="Z43">
        <v>6.0000000000000001E-3</v>
      </c>
      <c r="AA43">
        <v>6.0000000000000001E-3</v>
      </c>
      <c r="AB43">
        <v>6.0000000000000001E-3</v>
      </c>
      <c r="AC43">
        <v>6.0000000000000001E-3</v>
      </c>
      <c r="AD43">
        <v>6.0000000000000001E-3</v>
      </c>
      <c r="AE43">
        <v>6.0000000000000001E-3</v>
      </c>
      <c r="AF43">
        <v>6.0000000000000001E-3</v>
      </c>
      <c r="AG43">
        <v>6.0000000000000001E-3</v>
      </c>
      <c r="AH43">
        <v>6.0000000000000001E-3</v>
      </c>
      <c r="AI43">
        <v>6.0000000000000001E-3</v>
      </c>
      <c r="AJ43">
        <v>6.0000000000000001E-3</v>
      </c>
      <c r="AK43">
        <v>6.0000000000000001E-3</v>
      </c>
    </row>
    <row r="44" spans="1:37" x14ac:dyDescent="0.25">
      <c r="A44" s="40" t="s">
        <v>120</v>
      </c>
      <c r="B44">
        <v>4.5999999999999999E-2</v>
      </c>
      <c r="C44">
        <v>4.5999999999999999E-2</v>
      </c>
      <c r="D44">
        <v>4.5999999999999999E-2</v>
      </c>
      <c r="E44">
        <v>4.5999999999999999E-2</v>
      </c>
      <c r="F44">
        <v>4.5999999999999999E-2</v>
      </c>
      <c r="G44">
        <v>4.5999999999999999E-2</v>
      </c>
      <c r="H44">
        <v>4.5999999999999999E-2</v>
      </c>
      <c r="I44">
        <v>4.5999999999999999E-2</v>
      </c>
      <c r="J44">
        <v>4.5999999999999999E-2</v>
      </c>
      <c r="K44">
        <v>4.5999999999999999E-2</v>
      </c>
      <c r="L44">
        <v>4.5999999999999999E-2</v>
      </c>
      <c r="M44">
        <v>4.5999999999999999E-2</v>
      </c>
      <c r="N44">
        <v>4.5999999999999999E-2</v>
      </c>
      <c r="O44">
        <v>4.5999999999999999E-2</v>
      </c>
      <c r="P44">
        <v>4.5999999999999999E-2</v>
      </c>
      <c r="Q44">
        <v>4.5999999999999999E-2</v>
      </c>
      <c r="R44">
        <v>4.5999999999999999E-2</v>
      </c>
      <c r="S44">
        <v>4.5999999999999999E-2</v>
      </c>
      <c r="T44">
        <v>4.5999999999999999E-2</v>
      </c>
      <c r="U44">
        <v>4.5999999999999999E-2</v>
      </c>
      <c r="V44">
        <v>4.5999999999999999E-2</v>
      </c>
      <c r="W44">
        <v>4.5999999999999999E-2</v>
      </c>
      <c r="X44">
        <v>4.5999999999999999E-2</v>
      </c>
      <c r="Y44">
        <v>4.5999999999999999E-2</v>
      </c>
      <c r="Z44">
        <v>4.5999999999999999E-2</v>
      </c>
      <c r="AA44">
        <v>4.5999999999999999E-2</v>
      </c>
      <c r="AB44">
        <v>4.5999999999999999E-2</v>
      </c>
      <c r="AC44">
        <v>4.5999999999999999E-2</v>
      </c>
      <c r="AD44">
        <v>4.5999999999999999E-2</v>
      </c>
      <c r="AE44">
        <v>4.5999999999999999E-2</v>
      </c>
      <c r="AF44">
        <v>4.5999999999999999E-2</v>
      </c>
      <c r="AG44">
        <v>4.5999999999999999E-2</v>
      </c>
      <c r="AH44">
        <v>4.5999999999999999E-2</v>
      </c>
      <c r="AI44">
        <v>4.5999999999999999E-2</v>
      </c>
      <c r="AJ44">
        <v>4.5999999999999999E-2</v>
      </c>
      <c r="AK44">
        <v>4.5999999999999999E-2</v>
      </c>
    </row>
    <row r="45" spans="1:37" x14ac:dyDescent="0.25">
      <c r="A45" s="40" t="s">
        <v>49</v>
      </c>
      <c r="B45">
        <v>2.0499999999999998</v>
      </c>
      <c r="C45">
        <v>2.0499999999999998</v>
      </c>
      <c r="D45">
        <v>2.0499999999999998</v>
      </c>
      <c r="E45">
        <v>2.0499999999999998</v>
      </c>
      <c r="F45">
        <v>2.0499999999999998</v>
      </c>
      <c r="G45">
        <v>2.0499999999999998</v>
      </c>
      <c r="H45">
        <v>2.0499999999999998</v>
      </c>
      <c r="I45">
        <v>2.0499999999999998</v>
      </c>
      <c r="J45">
        <v>2.0499999999999998</v>
      </c>
      <c r="K45">
        <v>2.0499999999999998</v>
      </c>
      <c r="L45">
        <v>2.0499999999999998</v>
      </c>
      <c r="M45">
        <v>2.0499999999999998</v>
      </c>
      <c r="N45">
        <v>2.0499999999999998</v>
      </c>
      <c r="O45">
        <v>2.0499999999999998</v>
      </c>
      <c r="P45">
        <v>2.0499999999999998</v>
      </c>
      <c r="Q45">
        <v>2.0499999999999998</v>
      </c>
      <c r="R45">
        <v>2.0499999999999998</v>
      </c>
      <c r="S45">
        <v>2.0499999999999998</v>
      </c>
      <c r="T45">
        <v>2.0499999999999998</v>
      </c>
      <c r="U45">
        <v>2.0499999999999998</v>
      </c>
      <c r="V45">
        <v>2.0499999999999998</v>
      </c>
      <c r="W45">
        <v>2.0499999999999998</v>
      </c>
      <c r="X45">
        <v>2.0499999999999998</v>
      </c>
      <c r="Y45">
        <v>2.0499999999999998</v>
      </c>
      <c r="Z45">
        <v>2.0499999999999998</v>
      </c>
      <c r="AA45">
        <v>2.0499999999999998</v>
      </c>
      <c r="AB45">
        <v>2.0499999999999998</v>
      </c>
      <c r="AC45">
        <v>2.0499999999999998</v>
      </c>
      <c r="AD45">
        <v>2.0499999999999998</v>
      </c>
      <c r="AE45">
        <v>2.0499999999999998</v>
      </c>
      <c r="AF45">
        <v>2.0499999999999998</v>
      </c>
      <c r="AG45">
        <v>2.0499999999999998</v>
      </c>
      <c r="AH45">
        <v>2.0499999999999998</v>
      </c>
      <c r="AI45">
        <v>2.0499999999999998</v>
      </c>
      <c r="AJ45">
        <v>2.0499999999999998</v>
      </c>
      <c r="AK45">
        <v>2.0499999999999998</v>
      </c>
    </row>
    <row r="46" spans="1:37" x14ac:dyDescent="0.25">
      <c r="A46" s="40" t="s">
        <v>48</v>
      </c>
      <c r="B46">
        <v>6.17</v>
      </c>
      <c r="C46">
        <v>6.3540000000000001</v>
      </c>
      <c r="D46">
        <v>6.88</v>
      </c>
      <c r="E46">
        <v>6.7919999999999998</v>
      </c>
      <c r="F46">
        <v>6.4050000000000002</v>
      </c>
      <c r="G46">
        <v>6.7560000000000002</v>
      </c>
      <c r="H46">
        <f>(G46+I46)/2</f>
        <v>7.1779999999999999</v>
      </c>
      <c r="I46">
        <v>7.6</v>
      </c>
      <c r="J46">
        <v>7.6</v>
      </c>
      <c r="K46">
        <v>7.4</v>
      </c>
      <c r="L46">
        <v>7.2</v>
      </c>
      <c r="M46">
        <v>6.8</v>
      </c>
      <c r="N46">
        <v>6.7</v>
      </c>
      <c r="O46">
        <v>6.5</v>
      </c>
      <c r="P46">
        <v>6.4</v>
      </c>
      <c r="Q46">
        <v>6</v>
      </c>
      <c r="R46">
        <v>5.5</v>
      </c>
      <c r="S46">
        <v>4.9000000000000004</v>
      </c>
      <c r="T46">
        <v>4.5</v>
      </c>
      <c r="U46">
        <v>4.4000000000000004</v>
      </c>
      <c r="V46">
        <v>4.4000000000000004</v>
      </c>
      <c r="W46">
        <v>4.4000000000000004</v>
      </c>
      <c r="X46">
        <v>4.4000000000000004</v>
      </c>
      <c r="Y46">
        <v>4.4000000000000004</v>
      </c>
      <c r="Z46">
        <v>4.4000000000000004</v>
      </c>
      <c r="AA46">
        <v>4.4000000000000004</v>
      </c>
      <c r="AB46">
        <v>4.4000000000000004</v>
      </c>
      <c r="AC46">
        <v>4.4000000000000004</v>
      </c>
      <c r="AD46">
        <v>4.4000000000000004</v>
      </c>
      <c r="AE46">
        <v>4.4000000000000004</v>
      </c>
      <c r="AF46">
        <v>4.4000000000000004</v>
      </c>
      <c r="AG46">
        <v>4.4000000000000004</v>
      </c>
      <c r="AH46">
        <v>4.4000000000000004</v>
      </c>
      <c r="AI46">
        <v>4.4000000000000004</v>
      </c>
      <c r="AJ46">
        <v>4.4000000000000004</v>
      </c>
      <c r="AK46">
        <v>4.4000000000000004</v>
      </c>
    </row>
    <row r="47" spans="1:37" x14ac:dyDescent="0.25">
      <c r="A47" s="40" t="s">
        <v>133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-0.25</v>
      </c>
      <c r="I47">
        <v>-0.5</v>
      </c>
      <c r="J47">
        <v>-0.625</v>
      </c>
      <c r="K47">
        <v>-0.75</v>
      </c>
      <c r="L47">
        <v>-0.875</v>
      </c>
      <c r="M47">
        <v>-1</v>
      </c>
      <c r="N47">
        <v>-1.125</v>
      </c>
      <c r="O47">
        <v>-1.25</v>
      </c>
      <c r="P47">
        <v>-1.375</v>
      </c>
      <c r="Q47">
        <v>-1.5</v>
      </c>
      <c r="R47">
        <v>-1.625</v>
      </c>
      <c r="S47">
        <v>-1.75</v>
      </c>
      <c r="T47">
        <v>-1.875</v>
      </c>
      <c r="U47">
        <v>-2</v>
      </c>
      <c r="V47">
        <v>-2.125</v>
      </c>
      <c r="W47">
        <v>-2.25</v>
      </c>
      <c r="X47">
        <v>-2.375</v>
      </c>
      <c r="Y47">
        <v>-2.5</v>
      </c>
      <c r="Z47">
        <v>-2.625</v>
      </c>
      <c r="AA47">
        <v>-2.75</v>
      </c>
      <c r="AB47">
        <v>-2.875</v>
      </c>
      <c r="AC47">
        <v>-3</v>
      </c>
      <c r="AD47">
        <v>-3.125</v>
      </c>
      <c r="AE47">
        <v>-3.25</v>
      </c>
      <c r="AF47">
        <v>-3.375</v>
      </c>
      <c r="AG47">
        <v>-3.5</v>
      </c>
      <c r="AH47">
        <v>-3.625</v>
      </c>
      <c r="AI47">
        <v>-3.75</v>
      </c>
      <c r="AJ47">
        <v>-3.875</v>
      </c>
      <c r="AK47">
        <v>-4</v>
      </c>
    </row>
    <row r="48" spans="1:37" x14ac:dyDescent="0.25">
      <c r="A48" s="41" t="s">
        <v>35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</row>
    <row r="49" spans="1:37" x14ac:dyDescent="0.25">
      <c r="A49" s="40" t="s">
        <v>106</v>
      </c>
      <c r="B49">
        <f t="shared" ref="B49:AK49" si="6">SUM(B36:B48)</f>
        <v>14.81</v>
      </c>
      <c r="C49">
        <f t="shared" si="6"/>
        <v>15.053733333333334</v>
      </c>
      <c r="D49">
        <f t="shared" si="6"/>
        <v>16.048466666666666</v>
      </c>
      <c r="E49">
        <f t="shared" si="6"/>
        <v>15.9382</v>
      </c>
      <c r="F49">
        <f t="shared" si="6"/>
        <v>15.556933333333337</v>
      </c>
      <c r="G49">
        <f t="shared" si="6"/>
        <v>15.924666666666667</v>
      </c>
      <c r="H49">
        <f t="shared" si="6"/>
        <v>16.152333333333335</v>
      </c>
      <c r="I49">
        <f t="shared" si="6"/>
        <v>16.380000000000003</v>
      </c>
      <c r="J49">
        <f t="shared" si="6"/>
        <v>16.310666666666666</v>
      </c>
      <c r="K49">
        <f t="shared" si="6"/>
        <v>16.041333333333334</v>
      </c>
      <c r="L49">
        <f t="shared" si="6"/>
        <v>15.772000000000002</v>
      </c>
      <c r="M49">
        <f t="shared" si="6"/>
        <v>15.302666666666667</v>
      </c>
      <c r="N49">
        <f t="shared" si="6"/>
        <v>15.133333333333333</v>
      </c>
      <c r="O49">
        <f t="shared" si="6"/>
        <v>14.864000000000001</v>
      </c>
      <c r="P49">
        <f t="shared" si="6"/>
        <v>14.69466666666667</v>
      </c>
      <c r="Q49">
        <f t="shared" si="6"/>
        <v>14.225333333333333</v>
      </c>
      <c r="R49">
        <f t="shared" si="6"/>
        <v>13.655999999999999</v>
      </c>
      <c r="S49">
        <f t="shared" si="6"/>
        <v>12.986666666666668</v>
      </c>
      <c r="T49">
        <f t="shared" si="6"/>
        <v>12.517333333333333</v>
      </c>
      <c r="U49">
        <f t="shared" si="6"/>
        <v>12.348000000000001</v>
      </c>
      <c r="V49">
        <f t="shared" si="6"/>
        <v>12.278666666666668</v>
      </c>
      <c r="W49">
        <f t="shared" si="6"/>
        <v>12.224400000000001</v>
      </c>
      <c r="X49">
        <f t="shared" si="6"/>
        <v>12.170133333333334</v>
      </c>
      <c r="Y49">
        <f t="shared" si="6"/>
        <v>12.115866666666667</v>
      </c>
      <c r="Z49">
        <f t="shared" si="6"/>
        <v>12.0616</v>
      </c>
      <c r="AA49">
        <f t="shared" si="6"/>
        <v>12.007333333333333</v>
      </c>
      <c r="AB49">
        <f t="shared" si="6"/>
        <v>11.953066666666667</v>
      </c>
      <c r="AC49">
        <f t="shared" si="6"/>
        <v>11.8988</v>
      </c>
      <c r="AD49">
        <f t="shared" si="6"/>
        <v>11.844533333333333</v>
      </c>
      <c r="AE49">
        <f t="shared" si="6"/>
        <v>11.790266666666666</v>
      </c>
      <c r="AF49">
        <f t="shared" si="6"/>
        <v>11.735999999999999</v>
      </c>
      <c r="AG49">
        <f t="shared" si="6"/>
        <v>11.681733333333332</v>
      </c>
      <c r="AH49">
        <f t="shared" si="6"/>
        <v>11.627466666666665</v>
      </c>
      <c r="AI49">
        <f t="shared" si="6"/>
        <v>11.573200000000002</v>
      </c>
      <c r="AJ49">
        <f t="shared" si="6"/>
        <v>11.518933333333331</v>
      </c>
      <c r="AK49">
        <f t="shared" si="6"/>
        <v>11.464666666666668</v>
      </c>
    </row>
    <row r="52" spans="1:37" x14ac:dyDescent="0.25">
      <c r="A52" t="s">
        <v>131</v>
      </c>
      <c r="B52">
        <v>2015</v>
      </c>
      <c r="C52">
        <v>2016</v>
      </c>
      <c r="D52">
        <v>2017</v>
      </c>
      <c r="E52">
        <v>2018</v>
      </c>
      <c r="F52">
        <v>2019</v>
      </c>
      <c r="G52">
        <v>2020</v>
      </c>
      <c r="H52">
        <v>2021</v>
      </c>
      <c r="I52">
        <v>2022</v>
      </c>
      <c r="J52">
        <v>2023</v>
      </c>
      <c r="K52">
        <v>2024</v>
      </c>
      <c r="L52">
        <v>2025</v>
      </c>
      <c r="M52">
        <v>2026</v>
      </c>
      <c r="N52">
        <v>2027</v>
      </c>
      <c r="O52">
        <v>2028</v>
      </c>
      <c r="P52">
        <v>2029</v>
      </c>
      <c r="Q52">
        <v>2030</v>
      </c>
      <c r="R52">
        <v>2031</v>
      </c>
      <c r="S52">
        <v>2032</v>
      </c>
      <c r="T52">
        <v>2033</v>
      </c>
      <c r="U52">
        <v>2034</v>
      </c>
      <c r="V52">
        <v>2035</v>
      </c>
      <c r="W52">
        <v>2036</v>
      </c>
      <c r="X52">
        <v>2037</v>
      </c>
      <c r="Y52">
        <v>2038</v>
      </c>
      <c r="Z52">
        <v>2039</v>
      </c>
      <c r="AA52">
        <v>2040</v>
      </c>
      <c r="AB52">
        <v>2041</v>
      </c>
      <c r="AC52">
        <v>2042</v>
      </c>
      <c r="AD52">
        <v>2043</v>
      </c>
      <c r="AE52">
        <v>2044</v>
      </c>
      <c r="AF52">
        <v>2045</v>
      </c>
      <c r="AG52">
        <v>2046</v>
      </c>
      <c r="AH52">
        <v>2047</v>
      </c>
      <c r="AI52">
        <v>2048</v>
      </c>
      <c r="AJ52">
        <v>2049</v>
      </c>
      <c r="AK52">
        <v>2050</v>
      </c>
    </row>
    <row r="53" spans="1:37" x14ac:dyDescent="0.25">
      <c r="A53" s="33" t="s">
        <v>91</v>
      </c>
      <c r="B53" s="16">
        <v>3.2</v>
      </c>
      <c r="C53" s="16">
        <v>3.2</v>
      </c>
      <c r="D53" s="16">
        <v>3.2</v>
      </c>
      <c r="E53" s="16">
        <v>3.2</v>
      </c>
      <c r="F53" s="16">
        <v>3.2</v>
      </c>
      <c r="G53" s="16">
        <v>3.2</v>
      </c>
      <c r="H53" s="16">
        <v>3.2</v>
      </c>
      <c r="I53" s="16">
        <v>3.2</v>
      </c>
      <c r="J53" s="16">
        <v>3.2</v>
      </c>
      <c r="K53" s="16">
        <v>3.2</v>
      </c>
      <c r="L53" s="16">
        <v>3.2</v>
      </c>
      <c r="M53" s="16">
        <v>3.2</v>
      </c>
      <c r="N53" s="16">
        <v>3.2</v>
      </c>
      <c r="O53" s="16">
        <v>3.2</v>
      </c>
      <c r="P53" s="16">
        <v>3.2</v>
      </c>
      <c r="Q53" s="16">
        <v>3.2</v>
      </c>
      <c r="R53" s="16">
        <v>3.2</v>
      </c>
      <c r="S53" s="16">
        <v>3.2</v>
      </c>
      <c r="T53" s="16">
        <v>3.2</v>
      </c>
      <c r="U53" s="16">
        <v>3.2</v>
      </c>
      <c r="V53" s="16">
        <v>3.2</v>
      </c>
      <c r="W53" s="16">
        <v>3.2</v>
      </c>
      <c r="X53" s="16">
        <v>3.2</v>
      </c>
      <c r="Y53" s="16">
        <v>3.2</v>
      </c>
      <c r="Z53" s="16">
        <v>3.2</v>
      </c>
      <c r="AA53" s="16">
        <v>3.2</v>
      </c>
      <c r="AB53" s="16">
        <v>3.2</v>
      </c>
      <c r="AC53" s="16">
        <v>3.2</v>
      </c>
      <c r="AD53" s="16">
        <v>3.2</v>
      </c>
      <c r="AE53" s="16">
        <v>3.2</v>
      </c>
      <c r="AF53" s="16">
        <v>3.2</v>
      </c>
      <c r="AG53" s="16">
        <v>3.2</v>
      </c>
      <c r="AH53" s="16">
        <v>3.2</v>
      </c>
      <c r="AI53" s="16">
        <v>3.2</v>
      </c>
      <c r="AJ53" s="16">
        <v>3.2</v>
      </c>
      <c r="AK53" s="16">
        <v>3.2</v>
      </c>
    </row>
    <row r="54" spans="1:37" x14ac:dyDescent="0.25">
      <c r="A54" s="33" t="s">
        <v>123</v>
      </c>
      <c r="B54">
        <v>0.99</v>
      </c>
      <c r="C54">
        <v>0.99</v>
      </c>
      <c r="D54">
        <v>0.99</v>
      </c>
      <c r="E54">
        <v>0.99</v>
      </c>
      <c r="F54">
        <v>0.99</v>
      </c>
      <c r="G54">
        <v>0.99</v>
      </c>
      <c r="H54">
        <v>0.99</v>
      </c>
      <c r="I54">
        <v>0.99</v>
      </c>
      <c r="J54">
        <v>0.99</v>
      </c>
      <c r="K54">
        <v>0.99</v>
      </c>
      <c r="L54">
        <v>0.99</v>
      </c>
      <c r="M54">
        <v>0.99</v>
      </c>
      <c r="N54">
        <v>0.99</v>
      </c>
      <c r="O54">
        <v>0.99</v>
      </c>
      <c r="P54">
        <v>0.99</v>
      </c>
      <c r="Q54">
        <v>0.99</v>
      </c>
      <c r="R54">
        <v>0.99</v>
      </c>
      <c r="S54">
        <v>0.99</v>
      </c>
      <c r="T54">
        <v>0.99</v>
      </c>
      <c r="U54">
        <v>0.99</v>
      </c>
      <c r="V54">
        <v>0.99</v>
      </c>
      <c r="W54">
        <v>0.99</v>
      </c>
      <c r="X54">
        <v>0.99</v>
      </c>
      <c r="Y54">
        <v>0.99</v>
      </c>
      <c r="Z54">
        <v>0.99</v>
      </c>
      <c r="AA54">
        <v>0.99</v>
      </c>
      <c r="AB54">
        <v>0.99</v>
      </c>
      <c r="AC54">
        <v>0.99</v>
      </c>
      <c r="AD54">
        <v>0.99</v>
      </c>
      <c r="AE54">
        <v>0.99</v>
      </c>
      <c r="AF54">
        <v>0.99</v>
      </c>
      <c r="AG54">
        <v>0.99</v>
      </c>
      <c r="AH54">
        <v>0.99</v>
      </c>
      <c r="AI54">
        <v>0.99</v>
      </c>
      <c r="AJ54">
        <v>0.99</v>
      </c>
      <c r="AK54">
        <v>0.99</v>
      </c>
    </row>
    <row r="55" spans="1:37" x14ac:dyDescent="0.25">
      <c r="A55" s="39" t="s">
        <v>43</v>
      </c>
      <c r="B55">
        <v>0.41</v>
      </c>
      <c r="C55">
        <v>0.42406666666666665</v>
      </c>
      <c r="D55">
        <v>0.43813333333333332</v>
      </c>
      <c r="E55">
        <v>0.45220000000000005</v>
      </c>
      <c r="F55">
        <v>0.46626666666666672</v>
      </c>
      <c r="G55">
        <v>0.48033333333333339</v>
      </c>
      <c r="H55">
        <v>0.49439999999999995</v>
      </c>
      <c r="I55">
        <v>0.50846666666666662</v>
      </c>
      <c r="J55">
        <v>0.52253333333333329</v>
      </c>
      <c r="K55">
        <v>0.53659999999999997</v>
      </c>
      <c r="L55">
        <v>0.55066666666666664</v>
      </c>
      <c r="M55">
        <v>0.56473333333333331</v>
      </c>
      <c r="N55">
        <v>0.57879999999999998</v>
      </c>
      <c r="O55">
        <v>0.59286666666666665</v>
      </c>
      <c r="P55">
        <v>0.60693333333333332</v>
      </c>
      <c r="Q55">
        <v>0.621</v>
      </c>
      <c r="R55">
        <v>0.63506666666666667</v>
      </c>
      <c r="S55">
        <v>0.64913333333333334</v>
      </c>
      <c r="T55">
        <v>0.66320000000000001</v>
      </c>
      <c r="U55">
        <v>0.67726666666666668</v>
      </c>
      <c r="V55">
        <v>0.69133333333333336</v>
      </c>
      <c r="W55">
        <v>0.70540000000000003</v>
      </c>
      <c r="X55">
        <v>0.7194666666666667</v>
      </c>
      <c r="Y55">
        <v>0.73353333333333337</v>
      </c>
      <c r="Z55">
        <v>0.74760000000000004</v>
      </c>
      <c r="AA55">
        <v>0.76166666666666671</v>
      </c>
      <c r="AB55">
        <v>0.77573333333333339</v>
      </c>
      <c r="AC55">
        <v>0.78980000000000006</v>
      </c>
      <c r="AD55">
        <v>0.80386666666666673</v>
      </c>
      <c r="AE55">
        <v>0.8179333333333334</v>
      </c>
      <c r="AF55">
        <v>0.83200000000000007</v>
      </c>
      <c r="AG55">
        <v>0.84606666666666674</v>
      </c>
      <c r="AH55">
        <v>0.86013333333333342</v>
      </c>
      <c r="AI55">
        <v>0.87420000000000009</v>
      </c>
      <c r="AJ55">
        <v>0.88826666666666665</v>
      </c>
      <c r="AK55">
        <v>0.90233333333333332</v>
      </c>
    </row>
    <row r="56" spans="1:37" x14ac:dyDescent="0.25">
      <c r="A56" s="39" t="s">
        <v>31</v>
      </c>
      <c r="B56">
        <v>0.06</v>
      </c>
      <c r="C56">
        <v>0.06</v>
      </c>
      <c r="D56">
        <v>0.06</v>
      </c>
      <c r="E56">
        <v>0.06</v>
      </c>
      <c r="F56">
        <v>0.06</v>
      </c>
      <c r="G56">
        <v>0.06</v>
      </c>
      <c r="H56">
        <v>0.06</v>
      </c>
      <c r="I56">
        <v>0.06</v>
      </c>
      <c r="J56">
        <v>0.06</v>
      </c>
      <c r="K56">
        <v>0.06</v>
      </c>
      <c r="L56">
        <v>0.06</v>
      </c>
      <c r="M56">
        <v>0.06</v>
      </c>
      <c r="N56">
        <v>0.06</v>
      </c>
      <c r="O56">
        <v>0.06</v>
      </c>
      <c r="P56">
        <v>0.06</v>
      </c>
      <c r="Q56">
        <v>0.06</v>
      </c>
      <c r="R56">
        <v>0.06</v>
      </c>
      <c r="S56">
        <v>0.06</v>
      </c>
      <c r="T56">
        <v>0.06</v>
      </c>
      <c r="U56">
        <v>0.06</v>
      </c>
      <c r="V56">
        <v>0.06</v>
      </c>
      <c r="W56">
        <v>0.06</v>
      </c>
      <c r="X56">
        <v>0.06</v>
      </c>
      <c r="Y56">
        <v>0.06</v>
      </c>
      <c r="Z56">
        <v>0.06</v>
      </c>
      <c r="AA56">
        <v>0.06</v>
      </c>
      <c r="AB56">
        <v>0.06</v>
      </c>
      <c r="AC56">
        <v>0.06</v>
      </c>
      <c r="AD56">
        <v>0.06</v>
      </c>
      <c r="AE56">
        <v>0.06</v>
      </c>
      <c r="AF56">
        <v>0.06</v>
      </c>
      <c r="AG56">
        <v>0.06</v>
      </c>
      <c r="AH56">
        <v>0.06</v>
      </c>
      <c r="AI56">
        <v>0.06</v>
      </c>
      <c r="AJ56">
        <v>0.06</v>
      </c>
      <c r="AK56">
        <v>0.06</v>
      </c>
    </row>
    <row r="57" spans="1:37" x14ac:dyDescent="0.25">
      <c r="A57" s="39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5">
      <c r="A58" s="40" t="s">
        <v>118</v>
      </c>
      <c r="B58">
        <v>0.09</v>
      </c>
      <c r="C58">
        <v>0.09</v>
      </c>
      <c r="D58">
        <v>0.09</v>
      </c>
      <c r="E58">
        <v>0.09</v>
      </c>
      <c r="F58">
        <v>0.09</v>
      </c>
      <c r="G58">
        <v>0.09</v>
      </c>
      <c r="H58">
        <v>0.09</v>
      </c>
      <c r="I58">
        <v>0.09</v>
      </c>
      <c r="J58">
        <v>0.09</v>
      </c>
      <c r="K58">
        <v>0.09</v>
      </c>
      <c r="L58">
        <v>0.09</v>
      </c>
      <c r="M58">
        <v>0.09</v>
      </c>
      <c r="N58">
        <v>0.09</v>
      </c>
      <c r="O58">
        <v>0.09</v>
      </c>
      <c r="P58">
        <v>0.09</v>
      </c>
      <c r="Q58">
        <v>0.09</v>
      </c>
      <c r="R58">
        <v>0.09</v>
      </c>
      <c r="S58">
        <v>0.09</v>
      </c>
      <c r="T58">
        <v>0.09</v>
      </c>
      <c r="U58">
        <v>0.09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25">
      <c r="A59" s="40" t="s">
        <v>119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5">
      <c r="A60" s="40" t="s">
        <v>121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25">
      <c r="A61" s="40" t="s">
        <v>120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25">
      <c r="A62" s="40" t="s">
        <v>49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5">
      <c r="A63" s="40" t="s">
        <v>48</v>
      </c>
      <c r="B63">
        <v>0.31</v>
      </c>
      <c r="C63">
        <v>0.31</v>
      </c>
      <c r="D63">
        <v>0.31</v>
      </c>
      <c r="E63">
        <v>0.31</v>
      </c>
      <c r="F63">
        <v>0.31</v>
      </c>
      <c r="G63">
        <v>0.31</v>
      </c>
      <c r="H63">
        <v>0.31</v>
      </c>
      <c r="I63">
        <v>0.31</v>
      </c>
      <c r="J63">
        <v>0.31</v>
      </c>
      <c r="K63">
        <v>0.31</v>
      </c>
      <c r="L63">
        <v>0.31</v>
      </c>
      <c r="M63">
        <v>0.31</v>
      </c>
      <c r="N63">
        <v>0.31</v>
      </c>
      <c r="O63">
        <v>0.31</v>
      </c>
      <c r="P63">
        <v>0.31</v>
      </c>
      <c r="Q63">
        <v>0.31</v>
      </c>
      <c r="R63">
        <v>0.31</v>
      </c>
      <c r="S63">
        <v>0.31</v>
      </c>
      <c r="T63">
        <v>0.31</v>
      </c>
      <c r="U63">
        <v>0.31</v>
      </c>
      <c r="V63">
        <v>0.31</v>
      </c>
      <c r="W63">
        <v>0.31</v>
      </c>
      <c r="X63">
        <v>0.31</v>
      </c>
      <c r="Y63">
        <v>0.31</v>
      </c>
      <c r="Z63">
        <v>0.31</v>
      </c>
      <c r="AA63">
        <v>0.31</v>
      </c>
      <c r="AB63">
        <v>0.31</v>
      </c>
      <c r="AC63">
        <v>0.31</v>
      </c>
      <c r="AD63">
        <v>0.31</v>
      </c>
      <c r="AE63">
        <v>0.31</v>
      </c>
      <c r="AF63">
        <v>0.31</v>
      </c>
      <c r="AG63">
        <v>0.31</v>
      </c>
      <c r="AH63">
        <v>0.31</v>
      </c>
      <c r="AI63">
        <v>0.31</v>
      </c>
      <c r="AJ63">
        <v>0.31</v>
      </c>
      <c r="AK63">
        <v>0.31</v>
      </c>
    </row>
    <row r="64" spans="1:37" x14ac:dyDescent="0.25">
      <c r="A64" s="40" t="s">
        <v>132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25">
      <c r="A65" s="41" t="s">
        <v>35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</row>
    <row r="66" spans="1:37" x14ac:dyDescent="0.25">
      <c r="A66" s="40" t="s">
        <v>106</v>
      </c>
      <c r="B66">
        <f>SUM(B53:B65)</f>
        <v>5.0599999999999996</v>
      </c>
      <c r="C66">
        <f t="shared" ref="C66:AK66" si="7">SUM(C53:C65)</f>
        <v>5.0740666666666661</v>
      </c>
      <c r="D66">
        <f t="shared" si="7"/>
        <v>5.0881333333333325</v>
      </c>
      <c r="E66">
        <f t="shared" si="7"/>
        <v>5.1021999999999998</v>
      </c>
      <c r="F66">
        <f t="shared" si="7"/>
        <v>5.1162666666666663</v>
      </c>
      <c r="G66">
        <f t="shared" si="7"/>
        <v>5.1303333333333327</v>
      </c>
      <c r="H66">
        <f t="shared" si="7"/>
        <v>5.1443999999999992</v>
      </c>
      <c r="I66">
        <f t="shared" si="7"/>
        <v>5.1584666666666656</v>
      </c>
      <c r="J66">
        <f t="shared" si="7"/>
        <v>5.172533333333333</v>
      </c>
      <c r="K66">
        <f t="shared" si="7"/>
        <v>5.1865999999999994</v>
      </c>
      <c r="L66">
        <f t="shared" si="7"/>
        <v>5.2006666666666659</v>
      </c>
      <c r="M66">
        <f t="shared" si="7"/>
        <v>5.2147333333333332</v>
      </c>
      <c r="N66">
        <f t="shared" si="7"/>
        <v>5.2287999999999997</v>
      </c>
      <c r="O66">
        <f t="shared" si="7"/>
        <v>5.2428666666666661</v>
      </c>
      <c r="P66">
        <f t="shared" si="7"/>
        <v>5.2569333333333326</v>
      </c>
      <c r="Q66">
        <f t="shared" si="7"/>
        <v>5.270999999999999</v>
      </c>
      <c r="R66">
        <f t="shared" si="7"/>
        <v>5.2850666666666664</v>
      </c>
      <c r="S66">
        <f t="shared" si="7"/>
        <v>5.2991333333333328</v>
      </c>
      <c r="T66">
        <f t="shared" si="7"/>
        <v>5.3131999999999993</v>
      </c>
      <c r="U66">
        <f t="shared" si="7"/>
        <v>5.3272666666666666</v>
      </c>
      <c r="V66">
        <f t="shared" si="7"/>
        <v>5.2513333333333332</v>
      </c>
      <c r="W66">
        <f t="shared" si="7"/>
        <v>5.2653999999999996</v>
      </c>
      <c r="X66">
        <f t="shared" si="7"/>
        <v>5.2794666666666661</v>
      </c>
      <c r="Y66">
        <f t="shared" si="7"/>
        <v>5.2935333333333325</v>
      </c>
      <c r="Z66">
        <f t="shared" si="7"/>
        <v>5.3075999999999999</v>
      </c>
      <c r="AA66">
        <f t="shared" si="7"/>
        <v>5.3216666666666663</v>
      </c>
      <c r="AB66">
        <f t="shared" si="7"/>
        <v>5.3357333333333328</v>
      </c>
      <c r="AC66">
        <f t="shared" si="7"/>
        <v>5.3498000000000001</v>
      </c>
      <c r="AD66">
        <f t="shared" si="7"/>
        <v>5.3638666666666666</v>
      </c>
      <c r="AE66">
        <f t="shared" si="7"/>
        <v>5.377933333333333</v>
      </c>
      <c r="AF66">
        <f t="shared" si="7"/>
        <v>5.3919999999999995</v>
      </c>
      <c r="AG66">
        <f t="shared" si="7"/>
        <v>5.4060666666666659</v>
      </c>
      <c r="AH66">
        <f t="shared" si="7"/>
        <v>5.4201333333333332</v>
      </c>
      <c r="AI66">
        <f t="shared" si="7"/>
        <v>5.4341999999999997</v>
      </c>
      <c r="AJ66">
        <f t="shared" si="7"/>
        <v>5.4482666666666661</v>
      </c>
      <c r="AK66">
        <f t="shared" si="7"/>
        <v>5.4623333333333326</v>
      </c>
    </row>
    <row r="72" spans="1:37" x14ac:dyDescent="0.25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topLeftCell="B1" workbookViewId="0">
      <selection activeCell="C15" sqref="C15"/>
    </sheetView>
  </sheetViews>
  <sheetFormatPr baseColWidth="10" defaultRowHeight="15" x14ac:dyDescent="0.25"/>
  <cols>
    <col min="2" max="2" width="29.140625" style="5" customWidth="1"/>
    <col min="6" max="6" width="18.140625" bestFit="1" customWidth="1"/>
    <col min="7" max="9" width="20" customWidth="1"/>
    <col min="11" max="11" width="3" bestFit="1" customWidth="1"/>
    <col min="12" max="12" width="25.7109375" bestFit="1" customWidth="1"/>
    <col min="13" max="13" width="16.85546875" bestFit="1" customWidth="1"/>
    <col min="14" max="14" width="30.7109375" bestFit="1" customWidth="1"/>
    <col min="15" max="15" width="34.5703125" bestFit="1" customWidth="1"/>
  </cols>
  <sheetData>
    <row r="2" spans="2:15" x14ac:dyDescent="0.25">
      <c r="B2" s="5" t="s">
        <v>22</v>
      </c>
      <c r="C2" t="s">
        <v>21</v>
      </c>
      <c r="D2" t="s">
        <v>23</v>
      </c>
    </row>
    <row r="3" spans="2:15" x14ac:dyDescent="0.25">
      <c r="B3" s="5" t="s">
        <v>41</v>
      </c>
      <c r="C3" s="16">
        <f>20.01/3.6</f>
        <v>5.5583333333333336</v>
      </c>
      <c r="D3" s="16">
        <f>19.91/3.6</f>
        <v>5.5305555555555559</v>
      </c>
      <c r="F3" t="s">
        <v>40</v>
      </c>
    </row>
    <row r="6" spans="2:15" x14ac:dyDescent="0.25">
      <c r="C6" s="58" t="s">
        <v>25</v>
      </c>
      <c r="D6" s="58"/>
      <c r="E6" s="58"/>
      <c r="F6" s="58"/>
      <c r="G6" s="58"/>
      <c r="H6" s="35"/>
      <c r="I6" s="35"/>
    </row>
    <row r="7" spans="2:15" ht="30" x14ac:dyDescent="0.25">
      <c r="B7" s="8" t="s">
        <v>39</v>
      </c>
      <c r="C7" s="5" t="s">
        <v>24</v>
      </c>
      <c r="D7" s="5" t="s">
        <v>26</v>
      </c>
      <c r="E7" s="5" t="s">
        <v>27</v>
      </c>
      <c r="F7" s="5" t="s">
        <v>28</v>
      </c>
      <c r="G7" s="5" t="s">
        <v>29</v>
      </c>
      <c r="H7" s="34"/>
      <c r="I7" s="34"/>
    </row>
    <row r="8" spans="2:15" ht="30.75" x14ac:dyDescent="0.3">
      <c r="B8" s="11" t="s">
        <v>42</v>
      </c>
      <c r="C8">
        <v>46.5</v>
      </c>
      <c r="D8">
        <v>50.5</v>
      </c>
      <c r="E8">
        <v>52.1</v>
      </c>
      <c r="F8">
        <v>61</v>
      </c>
      <c r="G8">
        <v>70</v>
      </c>
      <c r="K8" s="18"/>
      <c r="L8" s="21" t="s">
        <v>53</v>
      </c>
      <c r="M8" s="21" t="s">
        <v>54</v>
      </c>
      <c r="N8" s="27" t="s">
        <v>97</v>
      </c>
      <c r="O8" s="27" t="s">
        <v>98</v>
      </c>
    </row>
    <row r="9" spans="2:15" x14ac:dyDescent="0.25">
      <c r="B9" s="9" t="s">
        <v>43</v>
      </c>
      <c r="C9">
        <v>21.8</v>
      </c>
      <c r="D9">
        <v>21.8</v>
      </c>
      <c r="E9">
        <v>21.1</v>
      </c>
      <c r="F9">
        <v>25</v>
      </c>
      <c r="G9">
        <v>11</v>
      </c>
      <c r="K9" s="3">
        <v>1</v>
      </c>
      <c r="L9" s="19" t="s">
        <v>55</v>
      </c>
      <c r="M9" s="20">
        <f>7.38565942382813*1000</f>
        <v>7385.6594238281305</v>
      </c>
      <c r="N9" s="19">
        <v>0.22</v>
      </c>
      <c r="O9" s="19">
        <v>0.46</v>
      </c>
    </row>
    <row r="10" spans="2:15" x14ac:dyDescent="0.25">
      <c r="B10" s="9" t="s">
        <v>31</v>
      </c>
      <c r="C10">
        <v>9.1999999999999993</v>
      </c>
      <c r="D10">
        <v>2</v>
      </c>
      <c r="E10">
        <v>0.8</v>
      </c>
      <c r="F10">
        <v>1</v>
      </c>
      <c r="G10">
        <v>0</v>
      </c>
      <c r="K10" s="3">
        <v>2</v>
      </c>
      <c r="L10" s="19" t="s">
        <v>56</v>
      </c>
      <c r="M10" s="20">
        <f>11.1326844277772*1000</f>
        <v>11132.6844277772</v>
      </c>
      <c r="N10" s="19">
        <v>0.31</v>
      </c>
      <c r="O10" s="19">
        <v>0.5</v>
      </c>
    </row>
    <row r="11" spans="2:15" x14ac:dyDescent="0.25">
      <c r="B11" s="9" t="s">
        <v>32</v>
      </c>
      <c r="C11">
        <v>0.4</v>
      </c>
      <c r="D11">
        <v>1.2</v>
      </c>
      <c r="E11">
        <v>0.6</v>
      </c>
      <c r="F11">
        <v>1</v>
      </c>
      <c r="G11">
        <v>0</v>
      </c>
      <c r="K11" s="3">
        <v>3</v>
      </c>
      <c r="L11" s="19" t="s">
        <v>57</v>
      </c>
      <c r="M11" s="20">
        <f>16.6765899005221*1000</f>
        <v>16676.5899005221</v>
      </c>
      <c r="N11" s="19">
        <v>0.31</v>
      </c>
      <c r="O11" s="19">
        <v>0.5</v>
      </c>
    </row>
    <row r="12" spans="2:15" x14ac:dyDescent="0.25">
      <c r="B12" s="9" t="s">
        <v>30</v>
      </c>
      <c r="C12">
        <v>6.1</v>
      </c>
      <c r="D12">
        <v>8.4</v>
      </c>
      <c r="E12">
        <v>9.5</v>
      </c>
      <c r="F12">
        <v>12</v>
      </c>
      <c r="G12">
        <v>20</v>
      </c>
      <c r="K12" s="3">
        <v>4</v>
      </c>
      <c r="L12" s="19" t="s">
        <v>58</v>
      </c>
      <c r="M12" s="20">
        <f>21.5297980398026*1000</f>
        <v>21529.798039802601</v>
      </c>
      <c r="N12" s="19">
        <v>0.31</v>
      </c>
      <c r="O12" s="19">
        <v>0.5</v>
      </c>
    </row>
    <row r="13" spans="2:15" x14ac:dyDescent="0.25">
      <c r="B13" s="10" t="s">
        <v>35</v>
      </c>
      <c r="C13" s="6">
        <v>16</v>
      </c>
      <c r="D13" s="6">
        <v>16</v>
      </c>
      <c r="E13" s="6">
        <v>16</v>
      </c>
      <c r="F13" s="6"/>
      <c r="G13" s="6"/>
      <c r="H13" s="1"/>
      <c r="I13" s="1"/>
      <c r="K13" s="3">
        <v>5</v>
      </c>
      <c r="L13" s="19" t="s">
        <v>59</v>
      </c>
      <c r="M13" s="20">
        <f>25.3492240146736*1000</f>
        <v>25349.2240146736</v>
      </c>
      <c r="N13" s="19">
        <v>0.31</v>
      </c>
      <c r="O13" s="19">
        <v>0.5</v>
      </c>
    </row>
    <row r="14" spans="2:15" ht="30" x14ac:dyDescent="0.25">
      <c r="B14" s="11" t="s">
        <v>36</v>
      </c>
      <c r="C14" s="14">
        <v>9.0500000000000007</v>
      </c>
      <c r="D14" s="14">
        <v>6.54</v>
      </c>
      <c r="E14" s="14">
        <v>5.79</v>
      </c>
      <c r="F14" s="14"/>
      <c r="G14" s="14"/>
      <c r="H14" s="14"/>
      <c r="I14" s="14"/>
      <c r="K14" s="3">
        <v>6</v>
      </c>
      <c r="L14" s="19" t="s">
        <v>60</v>
      </c>
      <c r="M14" s="20">
        <f>46.7992557793203*1000</f>
        <v>46799.255779320294</v>
      </c>
      <c r="N14" s="19">
        <v>0.31</v>
      </c>
      <c r="O14" s="19">
        <v>0.5</v>
      </c>
    </row>
    <row r="15" spans="2:15" ht="30" x14ac:dyDescent="0.25">
      <c r="B15" s="11" t="s">
        <v>37</v>
      </c>
      <c r="C15" s="14">
        <f>C14/0.36</f>
        <v>25.138888888888893</v>
      </c>
      <c r="D15" s="14">
        <f>D14/0.36</f>
        <v>18.166666666666668</v>
      </c>
      <c r="E15" s="14">
        <f>E14/0.36</f>
        <v>16.083333333333336</v>
      </c>
      <c r="F15" s="14"/>
      <c r="G15" s="14"/>
      <c r="H15" s="14"/>
      <c r="I15" s="14"/>
      <c r="K15" s="3">
        <v>7</v>
      </c>
      <c r="L15" s="19" t="s">
        <v>61</v>
      </c>
      <c r="M15" s="20">
        <f>201.899372948639*1000</f>
        <v>201899.37294863901</v>
      </c>
      <c r="N15" s="19">
        <v>0.35</v>
      </c>
      <c r="O15" s="19">
        <v>0.52</v>
      </c>
    </row>
    <row r="16" spans="2:15" x14ac:dyDescent="0.25">
      <c r="B16" s="11" t="s">
        <v>50</v>
      </c>
      <c r="C16" s="17">
        <f>C15*C8/100</f>
        <v>11.689583333333335</v>
      </c>
      <c r="D16" s="17">
        <f>D15*D8/100</f>
        <v>9.1741666666666681</v>
      </c>
      <c r="E16" s="17">
        <f>E15*E8/100</f>
        <v>8.3794166666666676</v>
      </c>
      <c r="F16" s="14"/>
      <c r="G16" s="14"/>
      <c r="H16" s="14"/>
      <c r="I16" s="14"/>
      <c r="K16" s="3">
        <v>8</v>
      </c>
      <c r="L16" s="19" t="s">
        <v>62</v>
      </c>
      <c r="M16" s="20">
        <f>94.4907709321064*1000</f>
        <v>94490.770932106403</v>
      </c>
      <c r="N16" s="19">
        <v>0.35</v>
      </c>
      <c r="O16" s="19">
        <v>0.52</v>
      </c>
    </row>
    <row r="17" spans="2:15" ht="30" x14ac:dyDescent="0.25">
      <c r="B17" s="11" t="s">
        <v>33</v>
      </c>
      <c r="C17" s="14"/>
      <c r="D17" s="14"/>
      <c r="E17" s="14"/>
      <c r="F17" s="14">
        <v>4.72</v>
      </c>
      <c r="G17" s="14">
        <v>2.77</v>
      </c>
      <c r="H17" s="14"/>
      <c r="I17" s="14"/>
      <c r="K17" s="3">
        <v>9</v>
      </c>
      <c r="L17" s="19" t="s">
        <v>63</v>
      </c>
      <c r="M17" s="20">
        <f>47.9968046854947*1000</f>
        <v>47996.804685494702</v>
      </c>
      <c r="N17" s="19">
        <v>0.42</v>
      </c>
      <c r="O17" s="19">
        <v>0.61</v>
      </c>
    </row>
    <row r="18" spans="2:15" x14ac:dyDescent="0.25">
      <c r="B18" s="9" t="s">
        <v>34</v>
      </c>
      <c r="C18" s="14"/>
      <c r="D18" s="14"/>
      <c r="E18" s="14"/>
      <c r="F18" s="14">
        <v>5.0999999999999996</v>
      </c>
      <c r="G18" s="14">
        <v>3.8</v>
      </c>
      <c r="H18" s="14"/>
      <c r="I18" s="14"/>
      <c r="K18" s="3">
        <v>10</v>
      </c>
      <c r="L18" s="19" t="s">
        <v>64</v>
      </c>
      <c r="M18" s="20">
        <f>101.765674246052*1000</f>
        <v>101765.674246052</v>
      </c>
      <c r="N18" s="19">
        <v>0.42</v>
      </c>
      <c r="O18" s="19">
        <v>0.61</v>
      </c>
    </row>
    <row r="19" spans="2:15" ht="30" x14ac:dyDescent="0.25">
      <c r="B19" s="11" t="s">
        <v>38</v>
      </c>
      <c r="C19" s="14"/>
      <c r="D19" s="14"/>
      <c r="E19" s="14"/>
      <c r="F19" s="14">
        <f>F17/0.36</f>
        <v>13.111111111111111</v>
      </c>
      <c r="G19" s="14">
        <f>G17/0.36</f>
        <v>7.6944444444444446</v>
      </c>
      <c r="H19" s="14"/>
      <c r="I19" s="14"/>
      <c r="K19" s="3">
        <v>11</v>
      </c>
      <c r="L19" s="19" t="s">
        <v>65</v>
      </c>
      <c r="M19" s="20">
        <f>163.319149240709*1000</f>
        <v>163319.149240709</v>
      </c>
      <c r="N19" s="19">
        <v>0.42</v>
      </c>
      <c r="O19" s="19">
        <v>0.61</v>
      </c>
    </row>
    <row r="20" spans="2:15" x14ac:dyDescent="0.25">
      <c r="B20" s="11" t="s">
        <v>50</v>
      </c>
      <c r="C20" s="14"/>
      <c r="D20" s="14"/>
      <c r="E20" s="14"/>
      <c r="F20" s="17">
        <f>F19*F8/100</f>
        <v>7.9977777777777774</v>
      </c>
      <c r="G20" s="17">
        <f>G19*G8/100</f>
        <v>5.3861111111111111</v>
      </c>
      <c r="H20" s="17"/>
      <c r="I20" s="17"/>
      <c r="K20" s="3">
        <v>12</v>
      </c>
      <c r="L20" s="19" t="s">
        <v>66</v>
      </c>
      <c r="M20" s="20">
        <f>91.2314393098077*1000</f>
        <v>91231.439309807698</v>
      </c>
      <c r="N20" s="19">
        <v>0.42</v>
      </c>
      <c r="O20" s="19">
        <v>0.61</v>
      </c>
    </row>
    <row r="21" spans="2:15" ht="15.75" thickBot="1" x14ac:dyDescent="0.3">
      <c r="B21" s="12"/>
      <c r="C21" s="13"/>
      <c r="D21" s="13"/>
      <c r="E21" s="13"/>
      <c r="F21" s="13"/>
      <c r="G21" s="13"/>
      <c r="H21" s="1"/>
      <c r="I21" s="1"/>
      <c r="K21" s="3">
        <v>13</v>
      </c>
      <c r="L21" s="19" t="s">
        <v>67</v>
      </c>
      <c r="M21" s="20">
        <f>57.0019986967645*1000</f>
        <v>57001.998696764502</v>
      </c>
      <c r="N21" s="19">
        <v>0.42</v>
      </c>
      <c r="O21" s="19">
        <v>0.61</v>
      </c>
    </row>
    <row r="22" spans="2:15" x14ac:dyDescent="0.25">
      <c r="B22" s="7" t="s">
        <v>45</v>
      </c>
      <c r="C22" s="14">
        <f>C3/(C14/0.36)</f>
        <v>0.22110497237569057</v>
      </c>
      <c r="D22" s="14">
        <f>C3/(D14/0.36)</f>
        <v>0.30596330275229355</v>
      </c>
      <c r="E22" s="14">
        <f>C3/(E14/0.36)</f>
        <v>0.34559585492227973</v>
      </c>
      <c r="F22" s="14">
        <f>C3/(F17/0.36)</f>
        <v>0.42394067796610174</v>
      </c>
      <c r="G22" s="14">
        <f>C3/(G17/0.36)</f>
        <v>0.72238267148014446</v>
      </c>
      <c r="H22" s="14"/>
      <c r="I22" s="14"/>
      <c r="K22" s="3">
        <v>14</v>
      </c>
      <c r="L22" s="19" t="s">
        <v>68</v>
      </c>
      <c r="M22" s="20">
        <f>90.9524564063199*1000</f>
        <v>90952.456406319892</v>
      </c>
      <c r="N22" s="19">
        <v>0.42</v>
      </c>
      <c r="O22" s="19">
        <v>0.61</v>
      </c>
    </row>
    <row r="23" spans="2:15" x14ac:dyDescent="0.25">
      <c r="B23" s="32" t="s">
        <v>96</v>
      </c>
      <c r="C23">
        <f>C16/C15</f>
        <v>0.46499999999999997</v>
      </c>
      <c r="D23">
        <f>D16/D15</f>
        <v>0.505</v>
      </c>
      <c r="E23">
        <f>E16/E15</f>
        <v>0.52100000000000002</v>
      </c>
      <c r="F23">
        <f>F20/F19</f>
        <v>0.61</v>
      </c>
      <c r="G23">
        <f>G20/G19</f>
        <v>0.7</v>
      </c>
      <c r="K23" s="3">
        <v>15</v>
      </c>
      <c r="L23" s="19" t="s">
        <v>69</v>
      </c>
      <c r="M23" s="19">
        <v>18000000</v>
      </c>
      <c r="N23" s="19">
        <v>0.72</v>
      </c>
      <c r="O23" s="19">
        <v>0.7</v>
      </c>
    </row>
    <row r="24" spans="2:15" x14ac:dyDescent="0.25">
      <c r="K24" s="3">
        <v>16</v>
      </c>
      <c r="L24" s="19" t="s">
        <v>70</v>
      </c>
      <c r="M24" s="19">
        <v>17500000</v>
      </c>
      <c r="N24" s="19">
        <v>0.72</v>
      </c>
      <c r="O24" s="19">
        <v>0.7</v>
      </c>
    </row>
    <row r="25" spans="2:15" x14ac:dyDescent="0.25">
      <c r="K25" s="3">
        <v>17</v>
      </c>
      <c r="L25" s="19" t="s">
        <v>71</v>
      </c>
      <c r="M25" s="19">
        <v>17500000</v>
      </c>
      <c r="N25" s="19">
        <v>0.72</v>
      </c>
      <c r="O25" s="19">
        <v>0.7</v>
      </c>
    </row>
    <row r="26" spans="2:15" x14ac:dyDescent="0.25">
      <c r="B26" s="5" t="s">
        <v>44</v>
      </c>
      <c r="K26" s="3">
        <v>18</v>
      </c>
      <c r="L26" s="19" t="s">
        <v>72</v>
      </c>
      <c r="M26" s="19">
        <v>17500000</v>
      </c>
      <c r="N26" s="19">
        <v>0.72</v>
      </c>
      <c r="O26" s="19">
        <v>0.7</v>
      </c>
    </row>
    <row r="27" spans="2:15" x14ac:dyDescent="0.25">
      <c r="G27">
        <f>4.6*0.72/0.36</f>
        <v>9.1999999999999993</v>
      </c>
      <c r="K27" s="3">
        <v>19</v>
      </c>
      <c r="L27" s="19" t="s">
        <v>73</v>
      </c>
      <c r="M27" s="19">
        <v>17500000</v>
      </c>
      <c r="N27" s="19">
        <v>0.72</v>
      </c>
      <c r="O27" s="19">
        <v>0.7</v>
      </c>
    </row>
  </sheetData>
  <mergeCells count="1">
    <mergeCell ref="C6:G6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3" sqref="A3:F3"/>
    </sheetView>
  </sheetViews>
  <sheetFormatPr baseColWidth="10" defaultRowHeight="15" x14ac:dyDescent="0.25"/>
  <cols>
    <col min="1" max="1" width="29.28515625" customWidth="1"/>
  </cols>
  <sheetData>
    <row r="1" spans="1:6" x14ac:dyDescent="0.25">
      <c r="A1" s="4" t="s">
        <v>99</v>
      </c>
      <c r="B1" s="2"/>
      <c r="C1" s="2"/>
      <c r="D1" s="2"/>
      <c r="E1" s="2"/>
      <c r="F1" s="2"/>
    </row>
    <row r="2" spans="1:6" x14ac:dyDescent="0.25">
      <c r="A2" s="1" t="s">
        <v>0</v>
      </c>
      <c r="B2" s="3">
        <v>2015</v>
      </c>
      <c r="C2" s="15">
        <v>2020</v>
      </c>
      <c r="D2" s="15">
        <v>2030</v>
      </c>
      <c r="E2" s="15">
        <v>2040</v>
      </c>
      <c r="F2" s="15">
        <v>2050</v>
      </c>
    </row>
    <row r="3" spans="1:6" x14ac:dyDescent="0.25">
      <c r="A3" s="1" t="s">
        <v>5</v>
      </c>
      <c r="B3" s="3">
        <v>32</v>
      </c>
      <c r="C3" s="15">
        <f>B3*1.17</f>
        <v>37.44</v>
      </c>
      <c r="D3" s="15">
        <f>B3*1.22</f>
        <v>39.04</v>
      </c>
      <c r="E3" s="15">
        <f>B3*1.188</f>
        <v>38.015999999999998</v>
      </c>
      <c r="F3" s="15">
        <f>B3*1.059</f>
        <v>33.887999999999998</v>
      </c>
    </row>
    <row r="4" spans="1:6" x14ac:dyDescent="0.25">
      <c r="A4" s="1" t="s">
        <v>6</v>
      </c>
      <c r="B4" s="3"/>
      <c r="C4" s="15"/>
      <c r="D4" s="15"/>
      <c r="E4" s="15"/>
      <c r="F4" s="15"/>
    </row>
    <row r="5" spans="1:6" x14ac:dyDescent="0.25">
      <c r="A5" s="4" t="s">
        <v>104</v>
      </c>
      <c r="B5" s="2"/>
      <c r="C5" s="2"/>
      <c r="D5" s="2"/>
      <c r="E5" s="2"/>
      <c r="F5" s="2"/>
    </row>
    <row r="6" spans="1:6" x14ac:dyDescent="0.25">
      <c r="A6" s="1" t="s">
        <v>7</v>
      </c>
      <c r="B6" s="2">
        <v>2015</v>
      </c>
      <c r="C6" s="2">
        <v>2020</v>
      </c>
      <c r="D6" s="2">
        <v>2030</v>
      </c>
      <c r="E6" s="2">
        <v>2040</v>
      </c>
      <c r="F6" s="2">
        <v>2050</v>
      </c>
    </row>
    <row r="7" spans="1:6" x14ac:dyDescent="0.25">
      <c r="A7" s="1" t="s">
        <v>79</v>
      </c>
      <c r="B7" s="2"/>
      <c r="C7" s="2"/>
      <c r="D7" s="2"/>
      <c r="E7" s="2"/>
      <c r="F7" s="2"/>
    </row>
    <row r="8" spans="1:6" x14ac:dyDescent="0.25">
      <c r="A8" s="1" t="s">
        <v>80</v>
      </c>
      <c r="B8" s="3">
        <v>5.5</v>
      </c>
      <c r="C8" s="3">
        <f>B8*1.23</f>
        <v>6.7649999999999997</v>
      </c>
      <c r="D8" s="3">
        <f>B8*1.26</f>
        <v>6.93</v>
      </c>
      <c r="E8" s="3">
        <f>B8*1.287</f>
        <v>7.0785</v>
      </c>
      <c r="F8" s="3">
        <f>B8*1.26</f>
        <v>6.93</v>
      </c>
    </row>
    <row r="9" spans="1:6" x14ac:dyDescent="0.25">
      <c r="A9" s="1" t="s">
        <v>81</v>
      </c>
      <c r="B9" s="29">
        <f>13/3.6</f>
        <v>3.6111111111111112</v>
      </c>
      <c r="C9" s="29">
        <f>14/3.6</f>
        <v>3.8888888888888888</v>
      </c>
      <c r="D9" s="29">
        <f>15/3.6</f>
        <v>4.166666666666667</v>
      </c>
      <c r="E9" s="29">
        <f>16/3.6</f>
        <v>4.4444444444444446</v>
      </c>
      <c r="F9" s="29">
        <f>19.5/3.6</f>
        <v>5.416666666666667</v>
      </c>
    </row>
    <row r="10" spans="1:6" x14ac:dyDescent="0.25">
      <c r="A10" s="4" t="s">
        <v>94</v>
      </c>
      <c r="B10" s="2"/>
      <c r="C10" s="2"/>
      <c r="D10" s="2"/>
      <c r="E10" s="2"/>
      <c r="F10" s="2"/>
    </row>
    <row r="11" spans="1:6" x14ac:dyDescent="0.25">
      <c r="A11" s="1" t="s">
        <v>8</v>
      </c>
      <c r="B11" s="2"/>
      <c r="C11" s="2"/>
      <c r="D11" s="2"/>
      <c r="E11" s="2"/>
      <c r="F11" s="2"/>
    </row>
    <row r="12" spans="1:6" x14ac:dyDescent="0.25">
      <c r="A12" s="1"/>
      <c r="B12" s="2">
        <v>2015</v>
      </c>
      <c r="C12" s="2">
        <v>2020</v>
      </c>
      <c r="D12" s="2">
        <v>2030</v>
      </c>
      <c r="E12" s="2">
        <v>2040</v>
      </c>
      <c r="F12" s="2">
        <v>2050</v>
      </c>
    </row>
    <row r="13" spans="1:6" x14ac:dyDescent="0.25">
      <c r="A13" s="1" t="s">
        <v>76</v>
      </c>
      <c r="B13" s="2">
        <v>15</v>
      </c>
      <c r="C13" s="2">
        <v>10</v>
      </c>
      <c r="D13" s="2">
        <v>35</v>
      </c>
      <c r="E13" s="2">
        <v>65</v>
      </c>
      <c r="F13" s="2">
        <v>100</v>
      </c>
    </row>
    <row r="14" spans="1:6" x14ac:dyDescent="0.25">
      <c r="A14" s="1" t="s">
        <v>75</v>
      </c>
      <c r="B14" s="2"/>
      <c r="C14" s="2"/>
      <c r="D14" s="2"/>
      <c r="E14" s="2"/>
      <c r="F14" s="2"/>
    </row>
    <row r="15" spans="1:6" x14ac:dyDescent="0.25">
      <c r="A15" s="25" t="s">
        <v>95</v>
      </c>
    </row>
    <row r="16" spans="1:6" x14ac:dyDescent="0.25">
      <c r="B16" s="2">
        <v>2015</v>
      </c>
      <c r="C16" s="2">
        <v>2020</v>
      </c>
      <c r="D16" s="2">
        <v>2030</v>
      </c>
      <c r="E16" s="2">
        <v>2040</v>
      </c>
      <c r="F16" s="2">
        <v>2050</v>
      </c>
    </row>
    <row r="17" spans="1:6" x14ac:dyDescent="0.25">
      <c r="A17" s="1" t="s">
        <v>76</v>
      </c>
      <c r="B17" s="26">
        <v>577</v>
      </c>
      <c r="C17" s="26">
        <v>571</v>
      </c>
      <c r="D17" s="26">
        <v>380</v>
      </c>
      <c r="E17" s="26">
        <v>166</v>
      </c>
      <c r="F17" s="26">
        <v>55</v>
      </c>
    </row>
    <row r="18" spans="1:6" x14ac:dyDescent="0.25">
      <c r="A18" s="1" t="s">
        <v>75</v>
      </c>
      <c r="B18" s="26"/>
      <c r="C18" s="26"/>
      <c r="D18" s="26"/>
      <c r="E18" s="26"/>
      <c r="F18" s="26"/>
    </row>
    <row r="26" spans="1:6" x14ac:dyDescent="0.25">
      <c r="A26" t="s">
        <v>100</v>
      </c>
    </row>
    <row r="28" spans="1:6" x14ac:dyDescent="0.25">
      <c r="B28">
        <v>2015</v>
      </c>
      <c r="C28">
        <v>2020</v>
      </c>
      <c r="D28">
        <v>2030</v>
      </c>
      <c r="E28">
        <v>2040</v>
      </c>
      <c r="F28">
        <v>2050</v>
      </c>
    </row>
    <row r="29" spans="1:6" x14ac:dyDescent="0.25">
      <c r="A29" t="s">
        <v>103</v>
      </c>
      <c r="B29" s="3">
        <v>11.7</v>
      </c>
      <c r="C29" s="15">
        <v>13.7</v>
      </c>
      <c r="D29" s="15">
        <v>14.3</v>
      </c>
      <c r="E29" s="15">
        <v>13.9</v>
      </c>
      <c r="F29" s="15">
        <v>12.4</v>
      </c>
    </row>
    <row r="30" spans="1:6" x14ac:dyDescent="0.25">
      <c r="A30" t="s">
        <v>101</v>
      </c>
      <c r="C30">
        <f>(C29-$B$29)/$B$29</f>
        <v>0.17094017094017094</v>
      </c>
      <c r="D30">
        <f>(D29-$B$29)/$B$29</f>
        <v>0.22222222222222235</v>
      </c>
      <c r="E30">
        <f>(E29-$B$29)/$B$29</f>
        <v>0.18803418803418814</v>
      </c>
      <c r="F30">
        <f>(F29-$B$29)/$B$29</f>
        <v>5.9829059829059922E-2</v>
      </c>
    </row>
    <row r="34" spans="1:6" x14ac:dyDescent="0.25">
      <c r="A34" t="s">
        <v>102</v>
      </c>
      <c r="B34">
        <f>(2.8+4.5)/2</f>
        <v>3.65</v>
      </c>
      <c r="C34">
        <v>4.5</v>
      </c>
      <c r="D34">
        <v>4.5999999999999996</v>
      </c>
      <c r="E34">
        <v>4.7</v>
      </c>
      <c r="F34">
        <v>4.5999999999999996</v>
      </c>
    </row>
    <row r="35" spans="1:6" x14ac:dyDescent="0.25">
      <c r="A35" t="s">
        <v>101</v>
      </c>
      <c r="C35">
        <f>(C34-$B$34)/$B$34</f>
        <v>0.23287671232876717</v>
      </c>
      <c r="D35">
        <f>(D34-$B$34)/$B$34</f>
        <v>0.26027397260273966</v>
      </c>
      <c r="E35">
        <f>(E34-$B$34)/$B$34</f>
        <v>0.28767123287671242</v>
      </c>
      <c r="F35">
        <f>(F34-$B$34)/$B$34</f>
        <v>0.26027397260273966</v>
      </c>
    </row>
    <row r="38" spans="1:6" x14ac:dyDescent="0.25">
      <c r="B38" s="37">
        <f>33/3.6</f>
        <v>9.1666666666666661</v>
      </c>
      <c r="C38" s="37">
        <f>38/3.6</f>
        <v>10.555555555555555</v>
      </c>
      <c r="D38" s="37">
        <f>39/3.6</f>
        <v>10.833333333333334</v>
      </c>
      <c r="E38" s="37">
        <f>40/3.6</f>
        <v>11.111111111111111</v>
      </c>
      <c r="F38" s="37">
        <f>38.5/3.6</f>
        <v>10.694444444444445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3" sqref="A3:F4"/>
    </sheetView>
  </sheetViews>
  <sheetFormatPr baseColWidth="10" defaultRowHeight="15" x14ac:dyDescent="0.25"/>
  <cols>
    <col min="1" max="1" width="48.5703125" customWidth="1"/>
  </cols>
  <sheetData>
    <row r="1" spans="1:10" x14ac:dyDescent="0.25">
      <c r="A1" s="4" t="s">
        <v>89</v>
      </c>
      <c r="B1" s="2"/>
      <c r="C1" s="2"/>
      <c r="D1" s="2"/>
      <c r="E1" s="2"/>
      <c r="F1" s="2"/>
      <c r="G1" s="2"/>
      <c r="H1" s="3"/>
      <c r="I1" s="3"/>
      <c r="J1" s="3"/>
    </row>
    <row r="2" spans="1:10" x14ac:dyDescent="0.25">
      <c r="A2" s="1" t="s">
        <v>0</v>
      </c>
      <c r="B2" s="3">
        <v>2015</v>
      </c>
      <c r="C2" s="28">
        <v>2020</v>
      </c>
      <c r="D2" s="28">
        <v>2030</v>
      </c>
      <c r="E2" s="28">
        <v>2040</v>
      </c>
      <c r="F2" s="28">
        <v>2050</v>
      </c>
    </row>
    <row r="3" spans="1:10" x14ac:dyDescent="0.25">
      <c r="A3" s="1" t="s">
        <v>5</v>
      </c>
      <c r="B3" s="3">
        <v>32</v>
      </c>
      <c r="C3" s="28">
        <v>98.1</v>
      </c>
      <c r="D3" s="28">
        <v>115.9</v>
      </c>
      <c r="E3" s="28">
        <f>(F3+D3)/2</f>
        <v>136.9</v>
      </c>
      <c r="F3" s="28">
        <v>157.9</v>
      </c>
    </row>
    <row r="4" spans="1:10" x14ac:dyDescent="0.25">
      <c r="A4" s="1" t="s">
        <v>6</v>
      </c>
      <c r="B4" s="3">
        <v>32</v>
      </c>
      <c r="C4" s="28">
        <v>91.9</v>
      </c>
      <c r="D4" s="28">
        <v>191.5</v>
      </c>
      <c r="E4" s="28">
        <f>(F4+D4)/2</f>
        <v>209.55</v>
      </c>
      <c r="F4" s="28">
        <v>227.6</v>
      </c>
    </row>
    <row r="5" spans="1:10" x14ac:dyDescent="0.25">
      <c r="A5" s="4" t="s">
        <v>82</v>
      </c>
      <c r="B5" s="2"/>
      <c r="C5" s="2"/>
      <c r="D5" s="2"/>
      <c r="E5" s="2"/>
      <c r="F5" s="2"/>
      <c r="G5" s="2"/>
    </row>
    <row r="6" spans="1:10" x14ac:dyDescent="0.25">
      <c r="A6" s="1" t="s">
        <v>7</v>
      </c>
      <c r="B6" s="2">
        <v>2015</v>
      </c>
      <c r="C6" s="2">
        <v>2020</v>
      </c>
      <c r="D6" s="2">
        <v>2030</v>
      </c>
      <c r="E6" s="2">
        <v>2040</v>
      </c>
      <c r="F6" s="2">
        <v>2050</v>
      </c>
    </row>
    <row r="7" spans="1:10" x14ac:dyDescent="0.25">
      <c r="A7" s="1" t="s">
        <v>79</v>
      </c>
      <c r="B7" s="2"/>
      <c r="C7" s="2"/>
      <c r="D7" s="2"/>
      <c r="E7" s="2"/>
      <c r="F7" s="2"/>
    </row>
    <row r="8" spans="1:10" x14ac:dyDescent="0.25">
      <c r="A8" s="1" t="s">
        <v>80</v>
      </c>
      <c r="B8" s="2">
        <v>4.9000000000000004</v>
      </c>
      <c r="C8" s="2"/>
      <c r="D8" s="2"/>
      <c r="E8" s="2"/>
      <c r="F8" s="2">
        <v>10</v>
      </c>
    </row>
    <row r="9" spans="1:10" x14ac:dyDescent="0.25">
      <c r="A9" s="1" t="s">
        <v>81</v>
      </c>
      <c r="B9" s="29">
        <f>11.5/3.6</f>
        <v>3.1944444444444442</v>
      </c>
      <c r="C9" s="2"/>
      <c r="D9" s="2"/>
      <c r="E9" s="2"/>
      <c r="F9" s="29">
        <f>18.5/3.6</f>
        <v>5.1388888888888884</v>
      </c>
    </row>
    <row r="10" spans="1:10" x14ac:dyDescent="0.25">
      <c r="A10" s="4" t="s">
        <v>83</v>
      </c>
      <c r="B10" s="2"/>
      <c r="C10" s="2"/>
      <c r="D10" s="2"/>
      <c r="E10" s="2"/>
      <c r="F10" s="2"/>
      <c r="G10" s="2"/>
    </row>
    <row r="11" spans="1:10" x14ac:dyDescent="0.25">
      <c r="A11" s="1" t="s">
        <v>8</v>
      </c>
      <c r="B11" s="2"/>
      <c r="C11" s="2"/>
      <c r="D11" s="2"/>
      <c r="E11" s="2"/>
      <c r="F11" s="2"/>
      <c r="G11" s="2"/>
    </row>
    <row r="12" spans="1:10" x14ac:dyDescent="0.25">
      <c r="A12" s="1"/>
      <c r="B12" s="2">
        <v>2015</v>
      </c>
      <c r="C12" s="2">
        <v>2020</v>
      </c>
      <c r="D12" s="2">
        <v>2030</v>
      </c>
      <c r="E12" s="2">
        <v>2040</v>
      </c>
      <c r="F12" s="2">
        <v>2050</v>
      </c>
      <c r="G12" s="2"/>
    </row>
    <row r="13" spans="1:10" x14ac:dyDescent="0.25">
      <c r="A13" s="1" t="s">
        <v>76</v>
      </c>
      <c r="B13" s="2">
        <v>15</v>
      </c>
      <c r="C13" s="2">
        <v>66.900000000000006</v>
      </c>
      <c r="D13" s="2">
        <v>99.6</v>
      </c>
      <c r="E13" s="2">
        <f>(F13+D13)/2</f>
        <v>147.5</v>
      </c>
      <c r="F13" s="2">
        <v>195.4</v>
      </c>
      <c r="G13" s="2"/>
    </row>
    <row r="14" spans="1:10" x14ac:dyDescent="0.25">
      <c r="A14" s="1" t="s">
        <v>75</v>
      </c>
      <c r="B14" s="2">
        <v>15</v>
      </c>
      <c r="C14" s="2">
        <v>74.3</v>
      </c>
      <c r="D14" s="2">
        <v>253.6</v>
      </c>
      <c r="E14" s="2">
        <f>(F14+D14)/2</f>
        <v>452.25</v>
      </c>
      <c r="F14" s="2">
        <v>650.9</v>
      </c>
      <c r="G14" s="2"/>
    </row>
    <row r="15" spans="1:10" x14ac:dyDescent="0.25">
      <c r="A15" s="25" t="s">
        <v>90</v>
      </c>
    </row>
    <row r="16" spans="1:10" x14ac:dyDescent="0.25">
      <c r="B16" s="2">
        <v>2015</v>
      </c>
      <c r="C16" s="2">
        <v>2020</v>
      </c>
      <c r="D16" s="2">
        <v>2030</v>
      </c>
      <c r="E16" s="2">
        <v>2040</v>
      </c>
      <c r="F16" s="2">
        <v>2050</v>
      </c>
    </row>
    <row r="17" spans="1:6" x14ac:dyDescent="0.25">
      <c r="A17" s="1" t="s">
        <v>76</v>
      </c>
      <c r="B17" s="26">
        <v>577</v>
      </c>
      <c r="C17" s="26">
        <v>363.9</v>
      </c>
      <c r="D17" s="26">
        <v>280.3</v>
      </c>
      <c r="E17" s="2">
        <f>(F17+D17)/2</f>
        <v>165.65</v>
      </c>
      <c r="F17" s="26">
        <v>51</v>
      </c>
    </row>
    <row r="18" spans="1:6" x14ac:dyDescent="0.25">
      <c r="A18" s="1" t="s">
        <v>75</v>
      </c>
      <c r="B18" s="26">
        <v>577</v>
      </c>
      <c r="C18" s="26">
        <v>305.3</v>
      </c>
      <c r="D18" s="26">
        <v>150.30000000000001</v>
      </c>
      <c r="E18" s="2">
        <f>(F18+D18)/2</f>
        <v>82.850000000000009</v>
      </c>
      <c r="F18" s="26">
        <v>15.4</v>
      </c>
    </row>
    <row r="20" spans="1:6" x14ac:dyDescent="0.25">
      <c r="A20" s="24" t="s">
        <v>88</v>
      </c>
      <c r="B20" s="26">
        <v>2015</v>
      </c>
      <c r="F20" s="26">
        <v>2050</v>
      </c>
    </row>
    <row r="21" spans="1:6" x14ac:dyDescent="0.25">
      <c r="A21" s="22" t="s">
        <v>84</v>
      </c>
      <c r="B21" s="2">
        <v>24</v>
      </c>
      <c r="C21" s="2"/>
      <c r="D21" s="2"/>
      <c r="E21" s="2"/>
      <c r="F21" s="2">
        <v>50</v>
      </c>
    </row>
    <row r="22" spans="1:6" x14ac:dyDescent="0.25">
      <c r="A22" s="22" t="s">
        <v>86</v>
      </c>
      <c r="B22" s="2">
        <f>(B21/3.6)*0.72</f>
        <v>4.8</v>
      </c>
      <c r="C22" s="2"/>
      <c r="D22" s="2"/>
      <c r="E22" s="2"/>
      <c r="F22" s="2">
        <f>(F21/3.6)*0.72</f>
        <v>10</v>
      </c>
    </row>
    <row r="23" spans="1:6" x14ac:dyDescent="0.25">
      <c r="A23" s="22" t="s">
        <v>85</v>
      </c>
      <c r="B23" s="2">
        <v>58</v>
      </c>
      <c r="C23" s="2"/>
      <c r="D23" s="2"/>
      <c r="E23" s="2"/>
      <c r="F23" s="2">
        <v>115</v>
      </c>
    </row>
    <row r="24" spans="1:6" x14ac:dyDescent="0.25">
      <c r="A24" s="22" t="s">
        <v>87</v>
      </c>
      <c r="B24" s="23">
        <f>(B23/3.6)*0.31</f>
        <v>4.9944444444444445</v>
      </c>
      <c r="C24" s="2"/>
      <c r="D24" s="2"/>
      <c r="E24" s="2"/>
      <c r="F24" s="23">
        <f>(F23/3.6)*0.31</f>
        <v>9.9027777777777768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G25" sqref="G25"/>
    </sheetView>
  </sheetViews>
  <sheetFormatPr baseColWidth="10" defaultRowHeight="15" x14ac:dyDescent="0.25"/>
  <cols>
    <col min="1" max="1" width="44.85546875" bestFit="1" customWidth="1"/>
  </cols>
  <sheetData>
    <row r="1" spans="1:6" x14ac:dyDescent="0.25">
      <c r="A1" s="4" t="s">
        <v>92</v>
      </c>
      <c r="B1" s="2"/>
      <c r="C1" s="2"/>
      <c r="D1" s="2"/>
      <c r="E1" s="2"/>
      <c r="F1" s="2"/>
    </row>
    <row r="2" spans="1:6" x14ac:dyDescent="0.25">
      <c r="A2" s="1" t="s">
        <v>0</v>
      </c>
      <c r="B2" s="3">
        <v>2015</v>
      </c>
      <c r="C2" s="15">
        <v>2020</v>
      </c>
      <c r="D2" s="15">
        <v>2030</v>
      </c>
      <c r="E2" s="15">
        <v>2040</v>
      </c>
      <c r="F2" s="15">
        <v>2050</v>
      </c>
    </row>
    <row r="3" spans="1:6" x14ac:dyDescent="0.25">
      <c r="A3" s="1" t="s">
        <v>5</v>
      </c>
      <c r="B3" s="3">
        <v>32</v>
      </c>
      <c r="C3" s="3">
        <v>32</v>
      </c>
      <c r="D3" s="3">
        <v>32</v>
      </c>
      <c r="E3" s="3">
        <v>32</v>
      </c>
      <c r="F3" s="3">
        <v>32</v>
      </c>
    </row>
    <row r="4" spans="1:6" x14ac:dyDescent="0.25">
      <c r="A4" s="1" t="s">
        <v>6</v>
      </c>
      <c r="B4" s="3">
        <v>32</v>
      </c>
      <c r="C4" s="3">
        <v>32</v>
      </c>
      <c r="D4" s="3">
        <v>32</v>
      </c>
      <c r="E4" s="3">
        <v>32</v>
      </c>
      <c r="F4" s="3">
        <v>32</v>
      </c>
    </row>
    <row r="5" spans="1:6" x14ac:dyDescent="0.25">
      <c r="A5" s="4" t="s">
        <v>93</v>
      </c>
      <c r="B5" s="2"/>
      <c r="C5" s="2"/>
      <c r="D5" s="2"/>
      <c r="E5" s="2"/>
      <c r="F5" s="2"/>
    </row>
    <row r="6" spans="1:6" x14ac:dyDescent="0.25">
      <c r="A6" s="1" t="s">
        <v>7</v>
      </c>
      <c r="B6" s="2">
        <v>2015</v>
      </c>
      <c r="C6" s="2">
        <v>2020</v>
      </c>
      <c r="D6" s="2">
        <v>2030</v>
      </c>
      <c r="E6" s="2">
        <v>2040</v>
      </c>
      <c r="F6" s="2">
        <v>2050</v>
      </c>
    </row>
    <row r="7" spans="1:6" x14ac:dyDescent="0.25">
      <c r="A7" s="1" t="s">
        <v>79</v>
      </c>
      <c r="B7" s="2">
        <v>12.1</v>
      </c>
      <c r="C7" s="2">
        <v>12.1</v>
      </c>
      <c r="D7" s="2">
        <v>12.1</v>
      </c>
      <c r="E7" s="2">
        <v>12.1</v>
      </c>
      <c r="F7" s="2">
        <v>12.1</v>
      </c>
    </row>
    <row r="8" spans="1:6" x14ac:dyDescent="0.25">
      <c r="A8" s="1" t="s">
        <v>80</v>
      </c>
      <c r="B8" s="2">
        <v>5.5</v>
      </c>
      <c r="C8" s="2">
        <v>5.5</v>
      </c>
      <c r="D8" s="2">
        <v>5.5</v>
      </c>
      <c r="E8" s="2">
        <v>5.5</v>
      </c>
      <c r="F8" s="2">
        <v>5.5</v>
      </c>
    </row>
    <row r="9" spans="1:6" x14ac:dyDescent="0.25">
      <c r="A9" s="1" t="s">
        <v>81</v>
      </c>
      <c r="B9" s="2">
        <v>2.7</v>
      </c>
      <c r="C9" s="2">
        <v>2.7</v>
      </c>
      <c r="D9" s="2">
        <v>2.7</v>
      </c>
      <c r="E9" s="2">
        <v>2.7</v>
      </c>
      <c r="F9" s="2">
        <v>2.7</v>
      </c>
    </row>
    <row r="10" spans="1:6" x14ac:dyDescent="0.25">
      <c r="A10" s="4" t="s">
        <v>94</v>
      </c>
      <c r="B10" s="2"/>
      <c r="C10" s="2"/>
      <c r="D10" s="2"/>
      <c r="E10" s="2"/>
      <c r="F10" s="2"/>
    </row>
    <row r="11" spans="1:6" x14ac:dyDescent="0.25">
      <c r="A11" s="1" t="s">
        <v>8</v>
      </c>
      <c r="B11" s="2"/>
      <c r="C11" s="2"/>
      <c r="D11" s="2"/>
      <c r="E11" s="2"/>
      <c r="F11" s="2"/>
    </row>
    <row r="12" spans="1:6" x14ac:dyDescent="0.25">
      <c r="A12" s="1"/>
      <c r="B12" s="2">
        <v>2015</v>
      </c>
      <c r="C12" s="2">
        <v>2020</v>
      </c>
      <c r="D12" s="2">
        <v>2030</v>
      </c>
      <c r="E12" s="2">
        <v>2040</v>
      </c>
      <c r="F12" s="2">
        <v>2050</v>
      </c>
    </row>
    <row r="13" spans="1:6" x14ac:dyDescent="0.25">
      <c r="A13" s="1" t="s">
        <v>76</v>
      </c>
      <c r="B13" s="2">
        <v>15</v>
      </c>
      <c r="C13" s="2">
        <v>15</v>
      </c>
      <c r="D13" s="2">
        <v>15</v>
      </c>
      <c r="E13" s="2">
        <v>15</v>
      </c>
      <c r="F13" s="2">
        <v>15</v>
      </c>
    </row>
    <row r="14" spans="1:6" x14ac:dyDescent="0.25">
      <c r="A14" s="1" t="s">
        <v>75</v>
      </c>
      <c r="B14" s="2">
        <v>15</v>
      </c>
      <c r="C14" s="2">
        <v>30</v>
      </c>
      <c r="D14" s="2">
        <v>87</v>
      </c>
      <c r="E14" s="2">
        <v>143</v>
      </c>
      <c r="F14" s="2">
        <v>200</v>
      </c>
    </row>
    <row r="15" spans="1:6" x14ac:dyDescent="0.25">
      <c r="A15" s="25" t="s">
        <v>90</v>
      </c>
    </row>
    <row r="16" spans="1:6" x14ac:dyDescent="0.25">
      <c r="B16" s="2">
        <v>2015</v>
      </c>
      <c r="C16" s="2">
        <v>2020</v>
      </c>
      <c r="D16" s="2">
        <v>2030</v>
      </c>
      <c r="E16" s="2">
        <v>2040</v>
      </c>
      <c r="F16" s="2">
        <v>2050</v>
      </c>
    </row>
    <row r="17" spans="1:6" x14ac:dyDescent="0.25">
      <c r="A17" s="1" t="s">
        <v>144</v>
      </c>
      <c r="B17" s="26">
        <v>577</v>
      </c>
      <c r="C17" s="26">
        <v>401</v>
      </c>
      <c r="D17" s="59">
        <v>200</v>
      </c>
      <c r="E17" s="59">
        <v>0</v>
      </c>
      <c r="F17" s="59">
        <v>0</v>
      </c>
    </row>
    <row r="18" spans="1:6" x14ac:dyDescent="0.25">
      <c r="A18" s="1" t="s">
        <v>144</v>
      </c>
      <c r="B18" s="26">
        <v>577</v>
      </c>
      <c r="C18" s="26">
        <v>401</v>
      </c>
      <c r="D18" s="59">
        <v>200</v>
      </c>
      <c r="E18" s="59">
        <v>0</v>
      </c>
      <c r="F18" s="59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17" sqref="G17"/>
    </sheetView>
  </sheetViews>
  <sheetFormatPr baseColWidth="10" defaultRowHeight="15" x14ac:dyDescent="0.25"/>
  <sheetData>
    <row r="1" spans="1:6" x14ac:dyDescent="0.25">
      <c r="A1" s="4" t="s">
        <v>19</v>
      </c>
      <c r="B1" s="2"/>
      <c r="C1" s="2"/>
      <c r="D1" s="2"/>
      <c r="E1" s="2"/>
      <c r="F1" s="2"/>
    </row>
    <row r="2" spans="1:6" x14ac:dyDescent="0.25">
      <c r="A2" s="1" t="s">
        <v>8</v>
      </c>
      <c r="B2" s="2"/>
      <c r="C2" s="2"/>
      <c r="D2" s="2"/>
      <c r="E2" s="2"/>
      <c r="F2" s="2"/>
    </row>
    <row r="3" spans="1:6" x14ac:dyDescent="0.25">
      <c r="A3" s="1"/>
      <c r="B3" s="2">
        <v>2015</v>
      </c>
      <c r="C3" s="2">
        <v>2020</v>
      </c>
      <c r="D3" s="2">
        <v>2030</v>
      </c>
      <c r="E3" s="2">
        <v>2040</v>
      </c>
      <c r="F3" s="2">
        <v>2050</v>
      </c>
    </row>
    <row r="4" spans="1:6" x14ac:dyDescent="0.25">
      <c r="A4" s="1" t="s">
        <v>110</v>
      </c>
      <c r="B4" s="2">
        <v>10</v>
      </c>
      <c r="C4" s="2">
        <v>25</v>
      </c>
      <c r="D4" s="2">
        <v>33</v>
      </c>
      <c r="E4" s="2">
        <v>41</v>
      </c>
      <c r="F4" s="2">
        <v>50</v>
      </c>
    </row>
    <row r="5" spans="1:6" x14ac:dyDescent="0.25">
      <c r="A5" s="1" t="s">
        <v>107</v>
      </c>
      <c r="B5" s="2">
        <v>10</v>
      </c>
      <c r="C5" s="2">
        <v>25</v>
      </c>
      <c r="D5" s="2">
        <v>35</v>
      </c>
      <c r="E5" s="2">
        <v>65</v>
      </c>
      <c r="F5" s="2">
        <v>100</v>
      </c>
    </row>
    <row r="6" spans="1:6" x14ac:dyDescent="0.25">
      <c r="A6" s="1" t="s">
        <v>76</v>
      </c>
      <c r="B6" s="2">
        <v>10</v>
      </c>
      <c r="C6" s="2">
        <v>25</v>
      </c>
      <c r="D6" s="2">
        <v>50</v>
      </c>
      <c r="E6" s="2">
        <v>90</v>
      </c>
      <c r="F6" s="2">
        <v>130</v>
      </c>
    </row>
    <row r="7" spans="1:6" x14ac:dyDescent="0.25">
      <c r="A7" s="1" t="s">
        <v>75</v>
      </c>
      <c r="B7" s="2">
        <v>10</v>
      </c>
      <c r="C7" s="2">
        <v>25</v>
      </c>
      <c r="D7" s="2">
        <v>87</v>
      </c>
      <c r="E7" s="2">
        <v>143</v>
      </c>
      <c r="F7" s="2">
        <v>200</v>
      </c>
    </row>
    <row r="8" spans="1:6" x14ac:dyDescent="0.25">
      <c r="A8" s="22" t="s">
        <v>111</v>
      </c>
      <c r="B8" s="2">
        <v>10</v>
      </c>
      <c r="C8" s="2">
        <v>25</v>
      </c>
      <c r="D8" s="26">
        <v>117</v>
      </c>
      <c r="E8" s="26">
        <v>208</v>
      </c>
      <c r="F8" s="26">
        <v>300</v>
      </c>
    </row>
    <row r="9" spans="1:6" x14ac:dyDescent="0.25">
      <c r="A9" s="1"/>
      <c r="B9" s="2"/>
      <c r="C9" s="2"/>
      <c r="D9" s="2"/>
      <c r="E9" s="2"/>
      <c r="F9" s="2"/>
    </row>
    <row r="10" spans="1:6" x14ac:dyDescent="0.25">
      <c r="A10" s="1"/>
      <c r="B10" s="2"/>
      <c r="C10" s="2"/>
      <c r="D10" s="2"/>
      <c r="E10" s="2"/>
      <c r="F10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3" sqref="F3"/>
    </sheetView>
  </sheetViews>
  <sheetFormatPr baseColWidth="10" defaultRowHeight="15" x14ac:dyDescent="0.25"/>
  <sheetData>
    <row r="1" spans="1:6" x14ac:dyDescent="0.25">
      <c r="A1" s="4" t="s">
        <v>46</v>
      </c>
      <c r="B1" s="2"/>
      <c r="C1" s="2"/>
      <c r="D1" s="2"/>
      <c r="E1" s="2"/>
      <c r="F1" s="2"/>
    </row>
    <row r="2" spans="1:6" x14ac:dyDescent="0.25">
      <c r="A2" s="1" t="s">
        <v>0</v>
      </c>
      <c r="B2" s="3">
        <v>2015</v>
      </c>
      <c r="C2" s="15">
        <v>2020</v>
      </c>
      <c r="D2" s="15">
        <v>2030</v>
      </c>
      <c r="E2" s="15">
        <v>2040</v>
      </c>
      <c r="F2" s="15">
        <v>2050</v>
      </c>
    </row>
    <row r="3" spans="1:6" x14ac:dyDescent="0.25">
      <c r="A3" s="1" t="s">
        <v>110</v>
      </c>
      <c r="B3" s="3">
        <v>32</v>
      </c>
      <c r="C3" s="15">
        <v>32</v>
      </c>
      <c r="D3" s="15">
        <v>32</v>
      </c>
      <c r="E3" s="15">
        <v>32</v>
      </c>
      <c r="F3" s="15">
        <v>32</v>
      </c>
    </row>
    <row r="4" spans="1:6" x14ac:dyDescent="0.25">
      <c r="A4" s="1" t="s">
        <v>112</v>
      </c>
      <c r="B4" s="3">
        <v>32</v>
      </c>
      <c r="C4" s="15">
        <v>35</v>
      </c>
      <c r="D4" s="15">
        <v>41</v>
      </c>
      <c r="E4" s="15">
        <v>48</v>
      </c>
      <c r="F4" s="15">
        <v>55</v>
      </c>
    </row>
    <row r="5" spans="1:6" x14ac:dyDescent="0.25">
      <c r="A5" s="1" t="s">
        <v>76</v>
      </c>
      <c r="B5" s="3">
        <v>32</v>
      </c>
      <c r="C5" s="15">
        <v>35</v>
      </c>
      <c r="D5" s="15">
        <v>76</v>
      </c>
      <c r="E5" s="15">
        <v>97</v>
      </c>
      <c r="F5" s="15">
        <v>120</v>
      </c>
    </row>
    <row r="6" spans="1:6" x14ac:dyDescent="0.25">
      <c r="A6" s="1" t="s">
        <v>75</v>
      </c>
      <c r="B6" s="3">
        <v>32</v>
      </c>
      <c r="C6" s="15">
        <v>35</v>
      </c>
      <c r="D6" s="15">
        <v>99</v>
      </c>
      <c r="E6" s="15">
        <v>145</v>
      </c>
      <c r="F6" s="15">
        <v>215</v>
      </c>
    </row>
    <row r="7" spans="1:6" x14ac:dyDescent="0.25">
      <c r="A7" s="1" t="s">
        <v>108</v>
      </c>
      <c r="B7" s="3">
        <v>32</v>
      </c>
      <c r="C7" s="28">
        <v>35</v>
      </c>
      <c r="D7" s="28">
        <v>115.9</v>
      </c>
      <c r="E7" s="28">
        <f>(F7+D7)/2</f>
        <v>136.9</v>
      </c>
      <c r="F7" s="28">
        <v>157.9</v>
      </c>
    </row>
    <row r="8" spans="1:6" x14ac:dyDescent="0.25">
      <c r="A8" s="1" t="s">
        <v>109</v>
      </c>
      <c r="B8" s="3">
        <v>32</v>
      </c>
      <c r="C8" s="28">
        <v>35</v>
      </c>
      <c r="D8" s="28">
        <v>191.5</v>
      </c>
      <c r="E8" s="28">
        <f>(F8+D8)/2</f>
        <v>209.55</v>
      </c>
      <c r="F8" s="28">
        <v>227.6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3" sqref="C13"/>
    </sheetView>
  </sheetViews>
  <sheetFormatPr baseColWidth="10" defaultRowHeight="15" x14ac:dyDescent="0.25"/>
  <sheetData>
    <row r="1" spans="1:11" x14ac:dyDescent="0.25">
      <c r="A1" s="4" t="s">
        <v>74</v>
      </c>
    </row>
    <row r="2" spans="1:11" x14ac:dyDescent="0.25">
      <c r="A2" s="1" t="s">
        <v>0</v>
      </c>
      <c r="B2" s="2">
        <v>2011</v>
      </c>
      <c r="C2" s="3">
        <v>2012</v>
      </c>
      <c r="D2" s="3">
        <v>2013</v>
      </c>
      <c r="E2" s="3">
        <v>2014</v>
      </c>
      <c r="F2" s="3">
        <v>2015</v>
      </c>
      <c r="G2" s="3">
        <v>2016</v>
      </c>
      <c r="H2" s="2">
        <v>2020</v>
      </c>
      <c r="I2" s="2">
        <v>2030</v>
      </c>
      <c r="J2" s="2">
        <v>2040</v>
      </c>
      <c r="K2" s="2">
        <v>2050</v>
      </c>
    </row>
    <row r="3" spans="1:11" x14ac:dyDescent="0.25">
      <c r="A3" s="1" t="s">
        <v>1</v>
      </c>
      <c r="B3" s="2">
        <v>253</v>
      </c>
      <c r="C3" s="3">
        <v>258.5</v>
      </c>
      <c r="D3" s="3">
        <v>292</v>
      </c>
      <c r="E3" s="3">
        <v>298</v>
      </c>
      <c r="F3" s="3">
        <v>295</v>
      </c>
      <c r="G3" s="3">
        <v>297</v>
      </c>
      <c r="H3" s="2">
        <v>304</v>
      </c>
      <c r="I3" s="2">
        <v>295</v>
      </c>
      <c r="J3" s="2">
        <v>285</v>
      </c>
      <c r="K3" s="2">
        <v>272</v>
      </c>
    </row>
    <row r="4" spans="1:11" x14ac:dyDescent="0.25">
      <c r="A4" s="1" t="s">
        <v>2</v>
      </c>
      <c r="B4" s="2">
        <v>188</v>
      </c>
      <c r="C4" s="3"/>
      <c r="D4" s="3"/>
      <c r="E4" s="3"/>
      <c r="F4" s="3"/>
      <c r="G4" s="3"/>
      <c r="H4" s="2">
        <v>227</v>
      </c>
      <c r="I4" s="2">
        <v>219</v>
      </c>
      <c r="J4" s="2">
        <v>210</v>
      </c>
      <c r="K4" s="2">
        <v>199</v>
      </c>
    </row>
    <row r="5" spans="1:11" x14ac:dyDescent="0.25">
      <c r="A5" s="1" t="s">
        <v>3</v>
      </c>
      <c r="B5" s="2">
        <v>113</v>
      </c>
      <c r="C5" s="3">
        <v>115.5</v>
      </c>
      <c r="D5" s="3">
        <v>127.5</v>
      </c>
      <c r="E5" s="3">
        <v>135</v>
      </c>
      <c r="F5" s="3">
        <v>131</v>
      </c>
      <c r="G5" s="3">
        <v>127</v>
      </c>
      <c r="H5" s="2">
        <v>169</v>
      </c>
      <c r="I5" s="2">
        <v>166</v>
      </c>
      <c r="J5" s="2">
        <v>159</v>
      </c>
      <c r="K5" s="2">
        <v>150</v>
      </c>
    </row>
    <row r="6" spans="1:11" x14ac:dyDescent="0.25">
      <c r="A6" s="1" t="s">
        <v>4</v>
      </c>
      <c r="B6" s="2"/>
      <c r="C6" s="3"/>
      <c r="D6" s="3"/>
      <c r="E6" s="3"/>
      <c r="F6" s="3"/>
      <c r="G6" s="3"/>
      <c r="H6" s="2">
        <v>54</v>
      </c>
      <c r="I6" s="2">
        <v>83</v>
      </c>
      <c r="J6" s="2">
        <v>99</v>
      </c>
      <c r="K6" s="2">
        <v>104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"/>
  <sheetViews>
    <sheetView zoomScaleNormal="100" workbookViewId="0">
      <selection activeCell="G11" sqref="G11"/>
    </sheetView>
  </sheetViews>
  <sheetFormatPr baseColWidth="10" defaultRowHeight="15" x14ac:dyDescent="0.25"/>
  <cols>
    <col min="1" max="1" width="18" customWidth="1"/>
    <col min="2" max="2" width="14.7109375" bestFit="1" customWidth="1"/>
    <col min="3" max="42" width="5.7109375" customWidth="1"/>
  </cols>
  <sheetData>
    <row r="1" spans="1:42" x14ac:dyDescent="0.25">
      <c r="A1" t="s">
        <v>16</v>
      </c>
    </row>
    <row r="2" spans="1:42" x14ac:dyDescent="0.25"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>
        <v>2024</v>
      </c>
      <c r="Q2">
        <v>2025</v>
      </c>
      <c r="R2">
        <v>2026</v>
      </c>
      <c r="S2">
        <v>2027</v>
      </c>
      <c r="T2">
        <v>2028</v>
      </c>
      <c r="U2">
        <v>2029</v>
      </c>
      <c r="V2">
        <v>2030</v>
      </c>
      <c r="W2">
        <v>2031</v>
      </c>
      <c r="X2">
        <v>2032</v>
      </c>
      <c r="Y2">
        <v>2033</v>
      </c>
      <c r="Z2">
        <v>2034</v>
      </c>
      <c r="AA2">
        <v>2035</v>
      </c>
      <c r="AB2">
        <v>2036</v>
      </c>
      <c r="AC2">
        <v>2037</v>
      </c>
      <c r="AD2">
        <v>2038</v>
      </c>
      <c r="AE2">
        <v>2039</v>
      </c>
      <c r="AF2">
        <v>2040</v>
      </c>
      <c r="AG2">
        <v>2041</v>
      </c>
      <c r="AH2">
        <v>2042</v>
      </c>
      <c r="AI2">
        <v>2043</v>
      </c>
      <c r="AJ2">
        <v>2044</v>
      </c>
      <c r="AK2">
        <v>2045</v>
      </c>
      <c r="AL2">
        <v>2046</v>
      </c>
      <c r="AM2">
        <v>2047</v>
      </c>
      <c r="AN2">
        <v>2048</v>
      </c>
      <c r="AO2">
        <v>2049</v>
      </c>
      <c r="AP2">
        <v>2050</v>
      </c>
    </row>
    <row r="3" spans="1:42" x14ac:dyDescent="0.25">
      <c r="A3" t="s">
        <v>9</v>
      </c>
      <c r="B3" t="s">
        <v>10</v>
      </c>
      <c r="C3" s="55">
        <v>3.7</v>
      </c>
      <c r="D3" s="55"/>
      <c r="E3" s="55"/>
      <c r="F3" s="55"/>
      <c r="G3" s="55"/>
      <c r="H3" s="55"/>
      <c r="I3" s="55"/>
      <c r="J3" s="55"/>
      <c r="K3" s="55"/>
      <c r="L3" s="55"/>
      <c r="M3" s="55">
        <v>7.6</v>
      </c>
      <c r="N3" s="55"/>
      <c r="O3" s="55"/>
      <c r="P3" s="55"/>
      <c r="Q3" s="55"/>
      <c r="R3" s="55"/>
      <c r="S3" s="55"/>
      <c r="T3" s="55"/>
      <c r="U3" s="55"/>
      <c r="V3" s="55"/>
      <c r="W3" s="55">
        <v>8.3000000000000007</v>
      </c>
      <c r="X3" s="55"/>
      <c r="Y3" s="55"/>
      <c r="Z3" s="55"/>
      <c r="AA3" s="55"/>
      <c r="AB3" s="55"/>
      <c r="AC3" s="55"/>
      <c r="AD3" s="55"/>
      <c r="AE3" s="55"/>
      <c r="AF3" s="55"/>
      <c r="AG3" s="55">
        <v>6.8</v>
      </c>
      <c r="AH3" s="55"/>
      <c r="AI3" s="55"/>
      <c r="AJ3" s="55"/>
      <c r="AK3" s="55"/>
      <c r="AL3" s="55"/>
      <c r="AM3" s="55"/>
      <c r="AN3" s="55"/>
      <c r="AO3" s="55"/>
      <c r="AP3" s="55"/>
    </row>
    <row r="4" spans="1:42" x14ac:dyDescent="0.25">
      <c r="A4" t="s">
        <v>11</v>
      </c>
      <c r="B4" t="s">
        <v>12</v>
      </c>
      <c r="H4">
        <v>40</v>
      </c>
      <c r="Q4">
        <v>86</v>
      </c>
      <c r="V4">
        <v>101</v>
      </c>
      <c r="AF4">
        <v>151</v>
      </c>
      <c r="AP4">
        <v>201</v>
      </c>
    </row>
    <row r="5" spans="1:42" x14ac:dyDescent="0.25">
      <c r="A5" t="s">
        <v>13</v>
      </c>
      <c r="B5" t="s">
        <v>18</v>
      </c>
      <c r="F5">
        <v>7.4</v>
      </c>
      <c r="L5">
        <v>26.4</v>
      </c>
      <c r="V5">
        <v>60.8</v>
      </c>
      <c r="AF5">
        <v>83.9</v>
      </c>
      <c r="AP5">
        <v>96.1</v>
      </c>
    </row>
    <row r="6" spans="1:42" x14ac:dyDescent="0.25">
      <c r="A6" t="s">
        <v>14</v>
      </c>
      <c r="B6" t="s">
        <v>15</v>
      </c>
      <c r="G6">
        <v>0.75</v>
      </c>
      <c r="L6">
        <v>6.5</v>
      </c>
      <c r="V6">
        <v>7.9</v>
      </c>
      <c r="AF6">
        <v>9.5</v>
      </c>
      <c r="AP6">
        <v>12.9</v>
      </c>
    </row>
    <row r="9" spans="1:42" x14ac:dyDescent="0.25">
      <c r="A9" t="s">
        <v>17</v>
      </c>
    </row>
    <row r="10" spans="1:42" x14ac:dyDescent="0.25">
      <c r="C10">
        <v>2011</v>
      </c>
      <c r="D10">
        <v>2012</v>
      </c>
      <c r="E10">
        <v>2013</v>
      </c>
      <c r="F10">
        <v>2014</v>
      </c>
      <c r="G10">
        <v>2015</v>
      </c>
      <c r="H10">
        <v>2016</v>
      </c>
      <c r="I10">
        <v>2017</v>
      </c>
      <c r="J10">
        <v>2018</v>
      </c>
      <c r="K10">
        <v>2019</v>
      </c>
      <c r="L10">
        <v>2020</v>
      </c>
      <c r="M10">
        <v>2021</v>
      </c>
      <c r="N10">
        <v>2022</v>
      </c>
      <c r="O10">
        <v>2023</v>
      </c>
      <c r="P10">
        <v>2024</v>
      </c>
      <c r="Q10">
        <v>2025</v>
      </c>
      <c r="R10">
        <v>2026</v>
      </c>
      <c r="S10">
        <v>2027</v>
      </c>
      <c r="T10">
        <v>2028</v>
      </c>
      <c r="U10">
        <v>2029</v>
      </c>
      <c r="V10">
        <v>2030</v>
      </c>
      <c r="W10">
        <v>2031</v>
      </c>
      <c r="X10">
        <v>2032</v>
      </c>
      <c r="Y10">
        <v>2033</v>
      </c>
      <c r="Z10">
        <v>2034</v>
      </c>
      <c r="AA10">
        <v>2035</v>
      </c>
      <c r="AB10">
        <v>2036</v>
      </c>
      <c r="AC10">
        <v>2037</v>
      </c>
      <c r="AD10">
        <v>2038</v>
      </c>
      <c r="AE10">
        <v>2039</v>
      </c>
      <c r="AF10">
        <v>2040</v>
      </c>
      <c r="AG10">
        <v>2041</v>
      </c>
      <c r="AH10">
        <v>2042</v>
      </c>
      <c r="AI10">
        <v>2043</v>
      </c>
      <c r="AJ10">
        <v>2044</v>
      </c>
      <c r="AK10">
        <v>2045</v>
      </c>
      <c r="AL10">
        <v>2046</v>
      </c>
      <c r="AM10">
        <v>2047</v>
      </c>
      <c r="AN10">
        <v>2048</v>
      </c>
      <c r="AO10">
        <v>2049</v>
      </c>
      <c r="AP10">
        <v>2050</v>
      </c>
    </row>
    <row r="11" spans="1:42" x14ac:dyDescent="0.25">
      <c r="A11" t="s">
        <v>9</v>
      </c>
      <c r="B11" t="s">
        <v>10</v>
      </c>
      <c r="C11">
        <v>3.7</v>
      </c>
      <c r="D11">
        <v>3.7</v>
      </c>
      <c r="E11">
        <v>3.7</v>
      </c>
      <c r="F11">
        <v>3.7</v>
      </c>
      <c r="G11">
        <v>3.7</v>
      </c>
      <c r="H11">
        <v>3.7</v>
      </c>
      <c r="I11">
        <v>3.7</v>
      </c>
      <c r="J11">
        <v>3.7</v>
      </c>
      <c r="K11">
        <v>3.7</v>
      </c>
      <c r="L11">
        <v>3.7</v>
      </c>
      <c r="M11">
        <v>4.09</v>
      </c>
      <c r="N11">
        <v>4.4800000000000004</v>
      </c>
      <c r="O11">
        <v>4.87</v>
      </c>
      <c r="P11">
        <v>5.26</v>
      </c>
      <c r="Q11">
        <v>5.65</v>
      </c>
      <c r="R11">
        <v>6.04</v>
      </c>
      <c r="S11">
        <v>6.43</v>
      </c>
      <c r="T11">
        <v>6.82</v>
      </c>
      <c r="U11">
        <v>7.21</v>
      </c>
      <c r="V11">
        <v>7.6</v>
      </c>
      <c r="W11">
        <v>7.67</v>
      </c>
      <c r="X11">
        <v>7.74</v>
      </c>
      <c r="Y11">
        <v>7.81</v>
      </c>
      <c r="Z11">
        <v>7.88</v>
      </c>
      <c r="AA11">
        <v>7.95</v>
      </c>
      <c r="AB11">
        <v>8.02</v>
      </c>
      <c r="AC11">
        <v>8.09</v>
      </c>
      <c r="AD11">
        <v>8.16</v>
      </c>
      <c r="AE11">
        <v>8.23</v>
      </c>
      <c r="AF11">
        <v>8.3000000000000007</v>
      </c>
      <c r="AG11">
        <v>8.15</v>
      </c>
      <c r="AH11">
        <v>8</v>
      </c>
      <c r="AI11">
        <v>7.85</v>
      </c>
      <c r="AJ11">
        <v>7.7</v>
      </c>
      <c r="AK11">
        <v>7.55</v>
      </c>
      <c r="AL11">
        <v>7.4</v>
      </c>
      <c r="AM11">
        <v>7.25</v>
      </c>
      <c r="AN11">
        <v>7.1</v>
      </c>
      <c r="AO11">
        <v>6.95</v>
      </c>
      <c r="AP11">
        <v>6.8</v>
      </c>
    </row>
    <row r="12" spans="1:42" x14ac:dyDescent="0.25">
      <c r="A12" t="s">
        <v>11</v>
      </c>
      <c r="B12" t="s">
        <v>12</v>
      </c>
      <c r="C12">
        <v>40</v>
      </c>
      <c r="D12">
        <v>40</v>
      </c>
      <c r="E12">
        <v>40</v>
      </c>
      <c r="F12">
        <v>40</v>
      </c>
      <c r="G12">
        <v>40</v>
      </c>
      <c r="H12">
        <v>40</v>
      </c>
      <c r="I12">
        <v>45.1111111111111</v>
      </c>
      <c r="J12">
        <v>50.2222222222222</v>
      </c>
      <c r="K12">
        <v>55.3333333333333</v>
      </c>
      <c r="L12">
        <v>60.4444444444444</v>
      </c>
      <c r="M12">
        <v>65.5555555555556</v>
      </c>
      <c r="N12">
        <v>70.6666666666667</v>
      </c>
      <c r="O12">
        <v>75.7777777777778</v>
      </c>
      <c r="P12">
        <v>80.8888888888889</v>
      </c>
      <c r="Q12">
        <v>86</v>
      </c>
      <c r="R12">
        <v>89</v>
      </c>
      <c r="S12">
        <v>92</v>
      </c>
      <c r="T12">
        <v>95</v>
      </c>
      <c r="U12">
        <v>98</v>
      </c>
      <c r="V12">
        <v>101</v>
      </c>
      <c r="W12">
        <v>106</v>
      </c>
      <c r="X12">
        <v>111</v>
      </c>
      <c r="Y12">
        <v>116</v>
      </c>
      <c r="Z12">
        <v>121</v>
      </c>
      <c r="AA12">
        <v>126</v>
      </c>
      <c r="AB12">
        <v>131</v>
      </c>
      <c r="AC12">
        <v>136</v>
      </c>
      <c r="AD12">
        <v>141</v>
      </c>
      <c r="AE12">
        <v>146</v>
      </c>
      <c r="AF12">
        <v>151</v>
      </c>
      <c r="AG12">
        <v>156</v>
      </c>
      <c r="AH12">
        <v>161</v>
      </c>
      <c r="AI12">
        <v>166</v>
      </c>
      <c r="AJ12">
        <v>171</v>
      </c>
      <c r="AK12">
        <v>176</v>
      </c>
      <c r="AL12">
        <v>181</v>
      </c>
      <c r="AM12">
        <v>186</v>
      </c>
      <c r="AN12">
        <v>191</v>
      </c>
      <c r="AO12">
        <v>196</v>
      </c>
      <c r="AP12">
        <v>201</v>
      </c>
    </row>
    <row r="13" spans="1:42" x14ac:dyDescent="0.25">
      <c r="A13" t="s">
        <v>13</v>
      </c>
      <c r="B13" t="s">
        <v>18</v>
      </c>
      <c r="C13">
        <v>7.4</v>
      </c>
      <c r="D13">
        <v>7.4</v>
      </c>
      <c r="E13">
        <v>7.4</v>
      </c>
      <c r="F13">
        <v>7.4</v>
      </c>
      <c r="G13">
        <v>10.5666666666667</v>
      </c>
      <c r="H13">
        <v>13.733333333333301</v>
      </c>
      <c r="I13">
        <v>16.899999999999999</v>
      </c>
      <c r="J13">
        <v>20.066666666666698</v>
      </c>
      <c r="K13">
        <v>23.233333333333299</v>
      </c>
      <c r="L13">
        <v>26.4</v>
      </c>
      <c r="M13">
        <v>29.84</v>
      </c>
      <c r="N13">
        <v>33.28</v>
      </c>
      <c r="O13">
        <v>36.72</v>
      </c>
      <c r="P13">
        <v>40.159999999999997</v>
      </c>
      <c r="Q13">
        <v>43.6</v>
      </c>
      <c r="R13">
        <v>47.04</v>
      </c>
      <c r="S13">
        <v>50.48</v>
      </c>
      <c r="T13">
        <v>53.92</v>
      </c>
      <c r="U13">
        <v>57.36</v>
      </c>
      <c r="V13">
        <v>60.8</v>
      </c>
      <c r="W13">
        <v>63.11</v>
      </c>
      <c r="X13">
        <v>65.42</v>
      </c>
      <c r="Y13">
        <v>67.73</v>
      </c>
      <c r="Z13">
        <v>70.040000000000006</v>
      </c>
      <c r="AA13">
        <v>72.349999999999994</v>
      </c>
      <c r="AB13">
        <v>74.66</v>
      </c>
      <c r="AC13">
        <v>76.97</v>
      </c>
      <c r="AD13">
        <v>79.28</v>
      </c>
      <c r="AE13">
        <v>81.59</v>
      </c>
      <c r="AF13">
        <v>83.9</v>
      </c>
      <c r="AG13">
        <v>85.12</v>
      </c>
      <c r="AH13">
        <v>86.34</v>
      </c>
      <c r="AI13">
        <v>87.56</v>
      </c>
      <c r="AJ13">
        <v>88.78</v>
      </c>
      <c r="AK13">
        <v>90</v>
      </c>
      <c r="AL13">
        <v>91.22</v>
      </c>
      <c r="AM13">
        <v>92.44</v>
      </c>
      <c r="AN13">
        <v>93.66</v>
      </c>
      <c r="AO13">
        <v>94.88</v>
      </c>
      <c r="AP13">
        <v>96.1</v>
      </c>
    </row>
    <row r="14" spans="1:42" x14ac:dyDescent="0.25">
      <c r="A14" t="s">
        <v>14</v>
      </c>
      <c r="B14" t="s">
        <v>15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1.9</v>
      </c>
      <c r="I14">
        <v>3.05</v>
      </c>
      <c r="J14">
        <v>4.2</v>
      </c>
      <c r="K14">
        <v>5.35</v>
      </c>
      <c r="L14">
        <v>6.5</v>
      </c>
      <c r="M14">
        <v>6.64</v>
      </c>
      <c r="N14">
        <v>6.78</v>
      </c>
      <c r="O14">
        <v>6.92</v>
      </c>
      <c r="P14">
        <v>7.06</v>
      </c>
      <c r="Q14">
        <v>7.2</v>
      </c>
      <c r="R14">
        <v>7.34</v>
      </c>
      <c r="S14">
        <v>7.48</v>
      </c>
      <c r="T14">
        <v>7.62</v>
      </c>
      <c r="U14">
        <v>7.76</v>
      </c>
      <c r="V14">
        <v>7.9</v>
      </c>
      <c r="W14">
        <v>8.06</v>
      </c>
      <c r="X14">
        <v>8.2200000000000006</v>
      </c>
      <c r="Y14">
        <v>8.3800000000000008</v>
      </c>
      <c r="Z14">
        <v>8.5399999999999991</v>
      </c>
      <c r="AA14">
        <v>8.6999999999999993</v>
      </c>
      <c r="AB14">
        <v>8.86</v>
      </c>
      <c r="AC14">
        <v>9.02</v>
      </c>
      <c r="AD14">
        <v>9.18</v>
      </c>
      <c r="AE14">
        <v>9.34</v>
      </c>
      <c r="AF14">
        <v>9.5</v>
      </c>
      <c r="AG14">
        <v>9.84</v>
      </c>
      <c r="AH14">
        <v>10.18</v>
      </c>
      <c r="AI14">
        <v>10.52</v>
      </c>
      <c r="AJ14">
        <v>10.86</v>
      </c>
      <c r="AK14">
        <v>11.2</v>
      </c>
      <c r="AL14">
        <v>11.54</v>
      </c>
      <c r="AM14">
        <v>11.88</v>
      </c>
      <c r="AN14">
        <v>12.22</v>
      </c>
      <c r="AO14">
        <v>12.56</v>
      </c>
      <c r="AP14">
        <v>12.9</v>
      </c>
    </row>
  </sheetData>
  <mergeCells count="4">
    <mergeCell ref="C3:L3"/>
    <mergeCell ref="M3:V3"/>
    <mergeCell ref="W3:AF3"/>
    <mergeCell ref="AG3:AP3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13" sqref="G13"/>
    </sheetView>
  </sheetViews>
  <sheetFormatPr baseColWidth="10" defaultRowHeight="15" x14ac:dyDescent="0.25"/>
  <cols>
    <col min="1" max="1" width="43.5703125" bestFit="1" customWidth="1"/>
    <col min="2" max="2" width="16.7109375" bestFit="1" customWidth="1"/>
    <col min="5" max="5" width="16.7109375" customWidth="1"/>
    <col min="6" max="6" width="84.7109375" style="36" customWidth="1"/>
  </cols>
  <sheetData>
    <row r="1" spans="1:6" x14ac:dyDescent="0.25">
      <c r="B1" s="38" t="s">
        <v>51</v>
      </c>
      <c r="C1" s="38" t="s">
        <v>52</v>
      </c>
    </row>
    <row r="2" spans="1:6" x14ac:dyDescent="0.25">
      <c r="A2" t="s">
        <v>78</v>
      </c>
      <c r="B2">
        <v>31.63</v>
      </c>
      <c r="C2" s="31">
        <f>B2/3.6</f>
        <v>8.7861111111111114</v>
      </c>
    </row>
    <row r="3" spans="1:6" x14ac:dyDescent="0.25">
      <c r="A3" t="s">
        <v>77</v>
      </c>
      <c r="B3">
        <v>32</v>
      </c>
      <c r="C3" s="31">
        <f>B3/3.6</f>
        <v>8.8888888888888893</v>
      </c>
    </row>
    <row r="7" spans="1:6" x14ac:dyDescent="0.25">
      <c r="A7" s="56" t="s">
        <v>122</v>
      </c>
      <c r="B7" s="4" t="s">
        <v>113</v>
      </c>
      <c r="C7" s="4" t="s">
        <v>114</v>
      </c>
      <c r="D7" s="4" t="s">
        <v>115</v>
      </c>
      <c r="E7" s="4" t="s">
        <v>127</v>
      </c>
      <c r="F7" s="48" t="s">
        <v>140</v>
      </c>
    </row>
    <row r="8" spans="1:6" x14ac:dyDescent="0.25">
      <c r="A8" s="57"/>
      <c r="B8" s="49" t="s">
        <v>47</v>
      </c>
      <c r="C8" s="50" t="s">
        <v>117</v>
      </c>
      <c r="D8" s="50" t="s">
        <v>116</v>
      </c>
      <c r="E8" s="50" t="s">
        <v>116</v>
      </c>
      <c r="F8" s="51"/>
    </row>
    <row r="9" spans="1:6" ht="16.5" customHeight="1" x14ac:dyDescent="0.25">
      <c r="A9" s="52" t="s">
        <v>91</v>
      </c>
      <c r="B9" s="33">
        <v>3.2</v>
      </c>
      <c r="C9">
        <v>3.2</v>
      </c>
      <c r="D9">
        <v>3.2</v>
      </c>
      <c r="E9">
        <v>3.2</v>
      </c>
      <c r="F9" s="36" t="s">
        <v>141</v>
      </c>
    </row>
    <row r="10" spans="1:6" ht="45" x14ac:dyDescent="0.25">
      <c r="A10" s="52" t="s">
        <v>123</v>
      </c>
      <c r="B10">
        <f>7.57-B9</f>
        <v>4.37</v>
      </c>
      <c r="C10">
        <f>6.08-C9</f>
        <v>2.88</v>
      </c>
      <c r="D10">
        <f>4.19-D9</f>
        <v>0.99000000000000021</v>
      </c>
      <c r="E10">
        <f>4.19-E9</f>
        <v>0.99000000000000021</v>
      </c>
      <c r="F10" s="36" t="s">
        <v>134</v>
      </c>
    </row>
    <row r="11" spans="1:6" ht="60" x14ac:dyDescent="0.25">
      <c r="A11" s="52" t="s">
        <v>43</v>
      </c>
      <c r="B11">
        <v>5.94</v>
      </c>
      <c r="C11">
        <v>5.44</v>
      </c>
      <c r="D11">
        <v>2.06</v>
      </c>
      <c r="E11">
        <v>0.41</v>
      </c>
      <c r="F11" s="36" t="s">
        <v>135</v>
      </c>
    </row>
    <row r="12" spans="1:6" x14ac:dyDescent="0.25">
      <c r="A12" s="52" t="s">
        <v>31</v>
      </c>
      <c r="B12">
        <f>0.33+0.09+0.23</f>
        <v>0.65</v>
      </c>
      <c r="C12">
        <v>0.33</v>
      </c>
      <c r="D12">
        <v>0.06</v>
      </c>
      <c r="E12">
        <v>0.06</v>
      </c>
      <c r="F12" s="36" t="s">
        <v>124</v>
      </c>
    </row>
    <row r="13" spans="1:6" ht="30" x14ac:dyDescent="0.25">
      <c r="A13" s="52" t="s">
        <v>32</v>
      </c>
      <c r="B13">
        <v>1.63</v>
      </c>
      <c r="C13">
        <v>0.97</v>
      </c>
      <c r="D13">
        <v>0.12</v>
      </c>
      <c r="E13">
        <v>0</v>
      </c>
      <c r="F13" s="36" t="s">
        <v>136</v>
      </c>
    </row>
    <row r="14" spans="1:6" ht="30" x14ac:dyDescent="0.25">
      <c r="A14" s="53" t="s">
        <v>48</v>
      </c>
      <c r="B14">
        <v>6.17</v>
      </c>
      <c r="C14">
        <v>6.17</v>
      </c>
      <c r="D14">
        <v>6.17</v>
      </c>
      <c r="E14">
        <v>0.31</v>
      </c>
      <c r="F14" s="36" t="s">
        <v>137</v>
      </c>
    </row>
    <row r="15" spans="1:6" ht="47.25" customHeight="1" x14ac:dyDescent="0.25">
      <c r="A15" s="53" t="s">
        <v>132</v>
      </c>
      <c r="B15">
        <v>0</v>
      </c>
      <c r="C15">
        <v>0</v>
      </c>
      <c r="D15">
        <v>0</v>
      </c>
      <c r="E15">
        <v>0</v>
      </c>
      <c r="F15" s="36" t="s">
        <v>138</v>
      </c>
    </row>
    <row r="16" spans="1:6" ht="60" x14ac:dyDescent="0.25">
      <c r="A16" s="53" t="s">
        <v>118</v>
      </c>
      <c r="B16">
        <v>0.25</v>
      </c>
      <c r="C16">
        <v>0.254</v>
      </c>
      <c r="D16">
        <v>5.0999999999999997E-2</v>
      </c>
      <c r="E16">
        <v>0.09</v>
      </c>
      <c r="F16" s="46" t="s">
        <v>142</v>
      </c>
    </row>
    <row r="17" spans="1:6" x14ac:dyDescent="0.25">
      <c r="A17" s="53" t="s">
        <v>119</v>
      </c>
      <c r="B17">
        <v>0.24</v>
      </c>
      <c r="C17">
        <v>0.23699999999999999</v>
      </c>
      <c r="D17">
        <v>5.7000000000000002E-2</v>
      </c>
      <c r="E17">
        <v>0</v>
      </c>
      <c r="F17" s="36" t="s">
        <v>139</v>
      </c>
    </row>
    <row r="18" spans="1:6" x14ac:dyDescent="0.25">
      <c r="A18" s="53" t="s">
        <v>121</v>
      </c>
      <c r="B18">
        <v>0.01</v>
      </c>
      <c r="C18">
        <v>6.0000000000000001E-3</v>
      </c>
      <c r="D18">
        <v>6.0000000000000001E-3</v>
      </c>
      <c r="E18">
        <v>0</v>
      </c>
      <c r="F18" s="36" t="s">
        <v>125</v>
      </c>
    </row>
    <row r="19" spans="1:6" x14ac:dyDescent="0.25">
      <c r="A19" s="53" t="s">
        <v>120</v>
      </c>
      <c r="B19">
        <v>-0.05</v>
      </c>
      <c r="C19">
        <v>-5.0999999999999997E-2</v>
      </c>
      <c r="D19">
        <v>4.5999999999999999E-2</v>
      </c>
      <c r="E19">
        <v>0</v>
      </c>
      <c r="F19" s="36" t="s">
        <v>125</v>
      </c>
    </row>
    <row r="20" spans="1:6" x14ac:dyDescent="0.25">
      <c r="A20" s="53" t="s">
        <v>49</v>
      </c>
      <c r="B20">
        <v>2.0499999999999998</v>
      </c>
      <c r="C20">
        <v>2.0499999999999998</v>
      </c>
      <c r="D20">
        <v>2.0499999999999998</v>
      </c>
      <c r="E20">
        <v>0</v>
      </c>
      <c r="F20" s="36" t="s">
        <v>125</v>
      </c>
    </row>
    <row r="21" spans="1:6" x14ac:dyDescent="0.25">
      <c r="A21" s="54" t="s">
        <v>35</v>
      </c>
      <c r="B21" s="6">
        <f>0.19*SUM(B9:B20)</f>
        <v>4.6474000000000002</v>
      </c>
      <c r="C21" s="6">
        <v>0</v>
      </c>
      <c r="D21" s="6">
        <v>0</v>
      </c>
      <c r="E21" s="6">
        <v>0</v>
      </c>
      <c r="F21" s="51" t="s">
        <v>143</v>
      </c>
    </row>
    <row r="22" spans="1:6" x14ac:dyDescent="0.25">
      <c r="A22" s="53" t="s">
        <v>106</v>
      </c>
      <c r="B22">
        <f>SUM(B9:B21)</f>
        <v>29.107400000000002</v>
      </c>
      <c r="C22">
        <f>SUM(C9:C21)</f>
        <v>21.486000000000004</v>
      </c>
      <c r="D22">
        <f>SUM(D9:D21)</f>
        <v>14.809999999999999</v>
      </c>
      <c r="E22">
        <f>SUM(E9:E21)</f>
        <v>5.0599999999999996</v>
      </c>
    </row>
    <row r="24" spans="1:6" x14ac:dyDescent="0.25">
      <c r="F24" s="47" t="s">
        <v>126</v>
      </c>
    </row>
  </sheetData>
  <mergeCells count="1">
    <mergeCell ref="A7:A8"/>
  </mergeCells>
  <hyperlinks>
    <hyperlink ref="F24" r:id="rId1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KSS</vt:lpstr>
      <vt:lpstr>BMWi</vt:lpstr>
      <vt:lpstr>BioStromWärme</vt:lpstr>
      <vt:lpstr>ConstantPrices</vt:lpstr>
      <vt:lpstr>CO2</vt:lpstr>
      <vt:lpstr>PowerPriceStock</vt:lpstr>
      <vt:lpstr>Prognos</vt:lpstr>
      <vt:lpstr>MaxCap</vt:lpstr>
      <vt:lpstr>Strom2</vt:lpstr>
      <vt:lpstr>PowerPriceSupp</vt:lpstr>
      <vt:lpstr>Gas</vt:lpstr>
    </vt:vector>
  </TitlesOfParts>
  <Company>UFZ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Martin</dc:creator>
  <cp:lastModifiedBy>Matthias Jordan martinm</cp:lastModifiedBy>
  <dcterms:created xsi:type="dcterms:W3CDTF">2017-07-07T08:47:25Z</dcterms:created>
  <dcterms:modified xsi:type="dcterms:W3CDTF">2021-07-12T11:57:21Z</dcterms:modified>
</cp:coreProperties>
</file>