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240" yWindow="345" windowWidth="14805" windowHeight="6480" activeTab="1"/>
  </bookViews>
  <sheets>
    <sheet name="Potentials" sheetId="1" r:id="rId1"/>
    <sheet name="PotentialMinMax" sheetId="12" r:id="rId2"/>
    <sheet name="CulStart" sheetId="2" r:id="rId3"/>
    <sheet name="feedstockInputData" sheetId="3" r:id="rId4"/>
    <sheet name="CostsBioProductsResidues" sheetId="13" r:id="rId5"/>
  </sheets>
  <definedNames>
    <definedName name="_xlnm.Print_Area" localSheetId="0">Potentials!$B$2:$F$33</definedName>
  </definedNames>
  <calcPr calcId="152511"/>
</workbook>
</file>

<file path=xl/calcChain.xml><?xml version="1.0" encoding="utf-8"?>
<calcChain xmlns="http://schemas.openxmlformats.org/spreadsheetml/2006/main">
  <c r="D32" i="12" l="1"/>
  <c r="D31" i="12"/>
  <c r="D30" i="12"/>
  <c r="D29" i="12"/>
  <c r="D28" i="12"/>
  <c r="D27" i="12"/>
  <c r="D26" i="12"/>
  <c r="D25" i="12"/>
  <c r="D24" i="12"/>
  <c r="D23" i="12"/>
  <c r="D3" i="13" l="1"/>
  <c r="F3" i="13"/>
  <c r="E3" i="13"/>
  <c r="D5" i="13"/>
  <c r="D4" i="13"/>
  <c r="D2" i="13"/>
  <c r="F4" i="13"/>
  <c r="E4" i="13"/>
  <c r="F6" i="13"/>
  <c r="E6" i="13"/>
  <c r="F15" i="3" l="1"/>
  <c r="J8" i="13" l="1"/>
  <c r="J6" i="13"/>
  <c r="J5" i="13"/>
  <c r="J4" i="13"/>
  <c r="J2" i="13"/>
  <c r="F21" i="12" l="1"/>
  <c r="E21" i="12"/>
  <c r="C21" i="12"/>
  <c r="F4" i="12"/>
  <c r="E4" i="12"/>
  <c r="C4" i="12"/>
  <c r="D21" i="12" l="1"/>
  <c r="F20" i="12"/>
  <c r="E20" i="12"/>
  <c r="D20" i="12"/>
  <c r="C20" i="12"/>
  <c r="F3" i="12"/>
  <c r="E3" i="12"/>
  <c r="C3" i="12"/>
  <c r="D4" i="12" l="1"/>
  <c r="D3" i="12"/>
  <c r="H12" i="3" l="1"/>
  <c r="H11" i="3"/>
  <c r="H7" i="3"/>
  <c r="H6" i="3"/>
  <c r="E27" i="1" l="1"/>
  <c r="F27" i="1"/>
  <c r="F28" i="1"/>
  <c r="F26" i="1"/>
  <c r="F17" i="1" l="1"/>
  <c r="E17" i="1"/>
  <c r="D17" i="1"/>
  <c r="F7" i="1"/>
  <c r="E7" i="1"/>
  <c r="D7" i="1"/>
  <c r="F35" i="1" l="1"/>
  <c r="F34" i="1"/>
  <c r="E35" i="1"/>
  <c r="E34" i="1"/>
  <c r="E28" i="1"/>
  <c r="Z7" i="2"/>
  <c r="Z6" i="2"/>
  <c r="Z5" i="2"/>
  <c r="Z4" i="2"/>
  <c r="Z3" i="2"/>
  <c r="C28" i="1" l="1"/>
  <c r="C27" i="1"/>
  <c r="C35" i="1"/>
  <c r="C34" i="1"/>
  <c r="I7" i="3"/>
  <c r="I6" i="3"/>
  <c r="M35" i="3"/>
  <c r="M26" i="3"/>
  <c r="M4" i="3"/>
  <c r="L4" i="3"/>
  <c r="L35" i="3"/>
  <c r="L26" i="3"/>
  <c r="K4" i="3"/>
  <c r="K35" i="3"/>
  <c r="K26" i="3"/>
  <c r="J4" i="3"/>
  <c r="J35" i="3"/>
  <c r="J26" i="3"/>
  <c r="D35" i="3"/>
  <c r="D26" i="3"/>
  <c r="D4" i="3"/>
  <c r="C35" i="3"/>
  <c r="C26" i="3"/>
  <c r="C4" i="3"/>
  <c r="C5" i="3" s="1"/>
  <c r="H4" i="3"/>
  <c r="O4" i="3"/>
  <c r="N4" i="3"/>
  <c r="F4" i="3"/>
  <c r="H35" i="3" l="1"/>
  <c r="H26" i="3"/>
  <c r="F35" i="3"/>
  <c r="F26" i="3"/>
  <c r="O5" i="3" l="1"/>
  <c r="N5" i="3"/>
  <c r="O32" i="3"/>
  <c r="N32" i="3"/>
  <c r="O30" i="3"/>
  <c r="N30" i="3"/>
  <c r="O23" i="3"/>
  <c r="N23" i="3"/>
  <c r="O21" i="3"/>
  <c r="N21" i="3"/>
  <c r="I35" i="3"/>
  <c r="I32" i="3"/>
  <c r="I30" i="3"/>
  <c r="I26" i="3"/>
  <c r="N35" i="3"/>
  <c r="N26" i="3"/>
  <c r="N27" i="3" s="1"/>
  <c r="N36" i="3" l="1"/>
  <c r="O35" i="3"/>
  <c r="O36" i="3" s="1"/>
  <c r="O26" i="3"/>
  <c r="O27" i="3" s="1"/>
  <c r="E30" i="3" l="1"/>
  <c r="D30" i="3"/>
  <c r="C30" i="3"/>
  <c r="M30" i="3"/>
  <c r="L30" i="3"/>
  <c r="K30" i="3"/>
  <c r="J30" i="3"/>
  <c r="H30" i="3"/>
  <c r="G30" i="3"/>
  <c r="F30" i="3"/>
  <c r="M21" i="3"/>
  <c r="L21" i="3"/>
  <c r="K21" i="3"/>
  <c r="J21" i="3"/>
  <c r="I21" i="3"/>
  <c r="H21" i="3"/>
  <c r="G21" i="3"/>
  <c r="C21" i="3"/>
  <c r="D21" i="3"/>
  <c r="E21" i="3"/>
  <c r="F21" i="3"/>
  <c r="I14" i="3" l="1"/>
  <c r="M32" i="3"/>
  <c r="L32" i="3"/>
  <c r="K32" i="3"/>
  <c r="J32" i="3"/>
  <c r="H32" i="3"/>
  <c r="G32" i="3"/>
  <c r="C32" i="3"/>
  <c r="D32" i="3"/>
  <c r="E32" i="3"/>
  <c r="F32" i="3"/>
  <c r="M23" i="3"/>
  <c r="L23" i="3"/>
  <c r="K23" i="3"/>
  <c r="J23" i="3"/>
  <c r="I23" i="3"/>
  <c r="H23" i="3"/>
  <c r="G23" i="3"/>
  <c r="C23" i="3"/>
  <c r="D23" i="3"/>
  <c r="E23" i="3"/>
  <c r="F23" i="3"/>
  <c r="H39" i="3" l="1"/>
  <c r="G26" i="3"/>
  <c r="G35" i="3" s="1"/>
  <c r="M27" i="3"/>
  <c r="I27" i="3"/>
  <c r="I17" i="3"/>
  <c r="I18" i="3"/>
  <c r="G11" i="3"/>
  <c r="M5" i="3"/>
  <c r="L5" i="3"/>
  <c r="K5" i="3"/>
  <c r="J5" i="3"/>
  <c r="H5" i="3"/>
  <c r="G5" i="3"/>
  <c r="G12" i="3" s="1"/>
  <c r="F5" i="3"/>
  <c r="E5" i="3"/>
  <c r="E11" i="3" s="1"/>
  <c r="E12" i="3" l="1"/>
  <c r="E27" i="3"/>
  <c r="D36" i="3"/>
  <c r="L36" i="3"/>
  <c r="C27" i="3"/>
  <c r="G27" i="3"/>
  <c r="K27" i="3"/>
  <c r="E36" i="3"/>
  <c r="I36" i="3"/>
  <c r="I38" i="3" s="1"/>
  <c r="M36" i="3"/>
  <c r="F27" i="3"/>
  <c r="J27" i="3"/>
  <c r="D27" i="3"/>
  <c r="H27" i="3"/>
  <c r="L27" i="3"/>
  <c r="C36" i="3"/>
  <c r="K36" i="3"/>
  <c r="F36" i="3"/>
  <c r="J36" i="3"/>
  <c r="G36" i="3"/>
  <c r="H36" i="3"/>
  <c r="I37" i="3"/>
  <c r="N18" i="3" l="1"/>
  <c r="O18" i="3"/>
  <c r="O17" i="3"/>
  <c r="N17" i="3"/>
  <c r="D18" i="3"/>
  <c r="D14" i="3" s="1"/>
  <c r="E18" i="3"/>
  <c r="E38" i="3" s="1"/>
  <c r="C18" i="3"/>
  <c r="C38" i="3" s="1"/>
  <c r="L18" i="3"/>
  <c r="L14" i="3" s="1"/>
  <c r="L16" i="3" s="1"/>
  <c r="M18" i="3"/>
  <c r="M14" i="3" s="1"/>
  <c r="M16" i="3" s="1"/>
  <c r="H18" i="3"/>
  <c r="H14" i="3" s="1"/>
  <c r="H16" i="3" s="1"/>
  <c r="J18" i="3"/>
  <c r="J38" i="3" s="1"/>
  <c r="F18" i="3"/>
  <c r="F38" i="3" s="1"/>
  <c r="G18" i="3"/>
  <c r="G38" i="3" s="1"/>
  <c r="K18" i="3"/>
  <c r="K14" i="3" s="1"/>
  <c r="K16" i="3" s="1"/>
  <c r="K17" i="3"/>
  <c r="C17" i="3"/>
  <c r="G17" i="3"/>
  <c r="K38" i="3"/>
  <c r="H17" i="3"/>
  <c r="F17" i="3"/>
  <c r="J17" i="3"/>
  <c r="D17" i="3"/>
  <c r="M17" i="3"/>
  <c r="E17" i="3"/>
  <c r="E13" i="3" s="1"/>
  <c r="L17" i="3"/>
  <c r="N14" i="3" l="1"/>
  <c r="N16" i="3" s="1"/>
  <c r="N38" i="3"/>
  <c r="N13" i="3"/>
  <c r="N15" i="3" s="1"/>
  <c r="N37" i="3"/>
  <c r="O13" i="3"/>
  <c r="O15" i="3" s="1"/>
  <c r="O37" i="3"/>
  <c r="O14" i="3"/>
  <c r="O16" i="3" s="1"/>
  <c r="O38" i="3"/>
  <c r="E14" i="3"/>
  <c r="E16" i="3" s="1"/>
  <c r="J14" i="3"/>
  <c r="J16" i="3" s="1"/>
  <c r="M38" i="3"/>
  <c r="H38" i="3"/>
  <c r="G14" i="3"/>
  <c r="G16" i="3" s="1"/>
  <c r="D38" i="3"/>
  <c r="F14" i="3"/>
  <c r="F16" i="3" s="1"/>
  <c r="L38" i="3"/>
  <c r="C14" i="3"/>
  <c r="H13" i="3"/>
  <c r="H15" i="3" s="1"/>
  <c r="H37" i="3"/>
  <c r="L37" i="3"/>
  <c r="L13" i="3"/>
  <c r="L15" i="3" s="1"/>
  <c r="E37" i="3"/>
  <c r="E15" i="3"/>
  <c r="G13" i="3"/>
  <c r="G15" i="3" s="1"/>
  <c r="G37" i="3"/>
  <c r="M37" i="3"/>
  <c r="M13" i="3"/>
  <c r="M15" i="3" s="1"/>
  <c r="J37" i="3"/>
  <c r="J13" i="3"/>
  <c r="J15" i="3" s="1"/>
  <c r="C13" i="3"/>
  <c r="C37" i="3"/>
  <c r="D13" i="3"/>
  <c r="D37" i="3"/>
  <c r="F13" i="3"/>
  <c r="F37" i="3"/>
  <c r="K13" i="3"/>
  <c r="K15" i="3" s="1"/>
  <c r="K37" i="3"/>
  <c r="F33" i="1" l="1"/>
  <c r="E33" i="1"/>
  <c r="D33" i="1"/>
  <c r="C33" i="1"/>
  <c r="E26" i="1"/>
  <c r="D26" i="1"/>
  <c r="C26" i="1"/>
  <c r="E21" i="1" l="1"/>
  <c r="E20" i="1"/>
  <c r="F20" i="1"/>
  <c r="E11" i="1"/>
  <c r="F10" i="1"/>
  <c r="E10" i="1"/>
  <c r="D11" i="1"/>
  <c r="F15" i="1" l="1"/>
  <c r="E15" i="1"/>
  <c r="D15" i="1"/>
  <c r="C15" i="1"/>
  <c r="F14" i="1"/>
  <c r="E14" i="1"/>
  <c r="C14" i="1"/>
  <c r="D14" i="1" l="1"/>
  <c r="D21" i="1"/>
  <c r="F5" i="1" l="1"/>
  <c r="E5" i="1"/>
  <c r="D5" i="1"/>
  <c r="C5" i="1"/>
  <c r="F4" i="1" l="1"/>
  <c r="E4" i="1"/>
  <c r="C4" i="1"/>
  <c r="D4" i="1" l="1"/>
  <c r="D16" i="3" l="1"/>
  <c r="D15" i="3"/>
  <c r="D5" i="3"/>
  <c r="C15" i="3" l="1"/>
  <c r="C16" i="3"/>
  <c r="I4" i="3"/>
  <c r="I5" i="3" s="1"/>
  <c r="I15" i="3" l="1"/>
  <c r="I16" i="3"/>
</calcChain>
</file>

<file path=xl/comments1.xml><?xml version="1.0" encoding="utf-8"?>
<comments xmlns="http://schemas.openxmlformats.org/spreadsheetml/2006/main">
  <authors>
    <author>Autor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Taken from KTBL Website
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KTBL, s.72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KTBL, s.72</t>
        </r>
      </text>
    </comment>
  </commentList>
</comments>
</file>

<file path=xl/sharedStrings.xml><?xml version="1.0" encoding="utf-8"?>
<sst xmlns="http://schemas.openxmlformats.org/spreadsheetml/2006/main" count="225" uniqueCount="146">
  <si>
    <t>Stroh</t>
  </si>
  <si>
    <t>vergärbare Reststoffe</t>
  </si>
  <si>
    <t>Scheitholz</t>
  </si>
  <si>
    <t>Holz (Summe)</t>
  </si>
  <si>
    <t>Kommentar</t>
  </si>
  <si>
    <t>Quelle</t>
  </si>
  <si>
    <t>Summe Reststoffe</t>
  </si>
  <si>
    <t>Endenergie [PJ]</t>
  </si>
  <si>
    <t>Verkehr Reststoffe</t>
  </si>
  <si>
    <t>Anbau volles Potential [Mio ha]</t>
  </si>
  <si>
    <r>
      <t xml:space="preserve">Erschlossenes Potential abzgl. stoffliche Nutzung 0-2-5% (80% Szenario)
</t>
    </r>
    <r>
      <rPr>
        <sz val="14"/>
        <color theme="1"/>
        <rFont val="Calibri"/>
        <family val="2"/>
        <scheme val="minor"/>
      </rPr>
      <t>die Nutzung in 2011 wird durch die Anzahl der installierten Anlagen in 2011 bestimmt, Stoffliche Nutzung gleichverteilt abgezogen in allen Kategorien</t>
    </r>
  </si>
  <si>
    <r>
      <t xml:space="preserve">Erschlossenes Potential abzgl. stoffliche Nutzung 0-4-10% (95% Szenario)
</t>
    </r>
    <r>
      <rPr>
        <sz val="14"/>
        <color theme="1"/>
        <rFont val="Calibri"/>
        <family val="2"/>
        <scheme val="minor"/>
      </rPr>
      <t>die Nutzung in 2011 wird durch die Anzahl der installierten Anlagen in 2011 bestimmt, Stoffliche Nutzung gleichverteilt abgezogen in allen Kategorien</t>
    </r>
  </si>
  <si>
    <t>Anbau Potential linear gegen Null [Mio ha]</t>
  </si>
  <si>
    <t>Anteil Energetische Wärme &amp; Strom</t>
  </si>
  <si>
    <t>unter Berücksichtigung stofflicher Abzug</t>
  </si>
  <si>
    <t>Stofflicher Anteil bereits abgezogen</t>
  </si>
  <si>
    <t>Szenario: 80%, stoffliche Nutzung 0-2-5%</t>
  </si>
  <si>
    <t>Szenario: 95%, stoffliche Nutzung 0-4-10%</t>
  </si>
  <si>
    <t>Maissilage</t>
  </si>
  <si>
    <t>Zuckerrübe</t>
  </si>
  <si>
    <t>Miscanthus</t>
  </si>
  <si>
    <t>Pappel (KUP)</t>
  </si>
  <si>
    <t>Silphie</t>
  </si>
  <si>
    <t>Ackergras</t>
  </si>
  <si>
    <t>Sorghum</t>
  </si>
  <si>
    <t>Grünland</t>
  </si>
  <si>
    <t>ha</t>
  </si>
  <si>
    <t>Sugar beet</t>
  </si>
  <si>
    <t>Rape seed</t>
  </si>
  <si>
    <t>Poplar</t>
  </si>
  <si>
    <t>Weide</t>
  </si>
  <si>
    <t>Grunland</t>
  </si>
  <si>
    <t>ligno</t>
  </si>
  <si>
    <t>proc TM</t>
  </si>
  <si>
    <t>GJ/tDM</t>
  </si>
  <si>
    <t>GJ/tFM</t>
  </si>
  <si>
    <t>tFM/ha 2015</t>
  </si>
  <si>
    <t>tFM/ha 2050</t>
  </si>
  <si>
    <t>tFM/ha 2015 low</t>
  </si>
  <si>
    <t>tFM/ha 2050 low</t>
  </si>
  <si>
    <t>Marginal land yield</t>
  </si>
  <si>
    <t>GJ/ha 2015</t>
  </si>
  <si>
    <t>GJ/ha 2050</t>
  </si>
  <si>
    <t>€/tDM 2015</t>
  </si>
  <si>
    <t>€/tDM 2050</t>
  </si>
  <si>
    <t>€/GJ 2015</t>
  </si>
  <si>
    <t>€/GJ 2050</t>
  </si>
  <si>
    <t>€/ha 2015</t>
  </si>
  <si>
    <t>€/ha 2050</t>
  </si>
  <si>
    <t>Akh/ha</t>
  </si>
  <si>
    <t>Arbeitskosten</t>
  </si>
  <si>
    <t>€/ha</t>
  </si>
  <si>
    <t>l/ha</t>
  </si>
  <si>
    <t>fix</t>
  </si>
  <si>
    <t>variabel</t>
  </si>
  <si>
    <t>Max crop sequence</t>
  </si>
  <si>
    <t>frac</t>
  </si>
  <si>
    <t>Schlagggröße 5 ha; Hof-Feld Entfernung 2 km; 102 kW</t>
  </si>
  <si>
    <t>Arbeitszeitbedarf 2015</t>
  </si>
  <si>
    <t>Arbeitskosten+Dienstleistungen 2015</t>
  </si>
  <si>
    <t>Diesel 2015</t>
  </si>
  <si>
    <t>Dieselkosten 2015</t>
  </si>
  <si>
    <t>Maschinenkosten 2015</t>
  </si>
  <si>
    <t>Arbeitszeitbedarf 2050</t>
  </si>
  <si>
    <t>Arbeitskosten+Dienstleistungen 2050</t>
  </si>
  <si>
    <t>Diesel 2050</t>
  </si>
  <si>
    <t>Dieselkosten 2050</t>
  </si>
  <si>
    <t>Maschinenkosten 2050</t>
  </si>
  <si>
    <t>Direktkosten 2050</t>
  </si>
  <si>
    <t>€/h 2050</t>
  </si>
  <si>
    <t>€/l 2050</t>
  </si>
  <si>
    <t>Preissteigerung</t>
  </si>
  <si>
    <t>%/a</t>
  </si>
  <si>
    <t>needs to be checked</t>
  </si>
  <si>
    <t>Used in BENSIM and checked</t>
  </si>
  <si>
    <t>Maybe wrong</t>
  </si>
  <si>
    <t>Medium Ertrag - Start</t>
  </si>
  <si>
    <t>Medium Ertrag -  Ende</t>
  </si>
  <si>
    <t>Niedriger ErtraG - START</t>
  </si>
  <si>
    <t>Niedriger Ertrag - Ende</t>
  </si>
  <si>
    <t>Verhältnis Trockenmasse zu Frischmassse</t>
  </si>
  <si>
    <t>Unused in BENSIM and not checked</t>
  </si>
  <si>
    <t>€/h 2011</t>
  </si>
  <si>
    <t>€/l 2011</t>
  </si>
  <si>
    <t>Dienstleistungen</t>
  </si>
  <si>
    <t>Winter wheat
(Reference)</t>
  </si>
  <si>
    <t>Grain silage
 (Biogas)</t>
  </si>
  <si>
    <t>Crop market price</t>
  </si>
  <si>
    <t>Summe Produktionskosten 2015</t>
  </si>
  <si>
    <t>Summe Produktionskosten 2050</t>
  </si>
  <si>
    <t>Profit = market price - production costs</t>
  </si>
  <si>
    <t>Silo maize
(Biogas)</t>
  </si>
  <si>
    <t>Energieertrag bzw. Methanertrag 2015</t>
  </si>
  <si>
    <t>Energieertrag bzw. Methanertrag 2050</t>
  </si>
  <si>
    <t>Direktkosten 2015, KTBL €/tDM</t>
  </si>
  <si>
    <t>Grain 
(Biogas)</t>
  </si>
  <si>
    <t>Biomassen nach Lagerungsverlusten</t>
  </si>
  <si>
    <t>Wheat Price from KTBL</t>
  </si>
  <si>
    <t>Getreide Korn</t>
  </si>
  <si>
    <t>Getreide Silage</t>
  </si>
  <si>
    <t>Summe</t>
  </si>
  <si>
    <t>Anbau volles Potential</t>
  </si>
  <si>
    <t>Anbau linear gegen Null</t>
  </si>
  <si>
    <t>Dieselkosten, Steigerung entsprechend der Rohölpreissteigerung</t>
  </si>
  <si>
    <t>Erdgas</t>
  </si>
  <si>
    <t>Restholz</t>
  </si>
  <si>
    <t>€/GJ</t>
  </si>
  <si>
    <t>KTBL</t>
  </si>
  <si>
    <t>Übernahme BioPlanW</t>
  </si>
  <si>
    <t>Webapp.dbfz</t>
  </si>
  <si>
    <t>Waldrestholz (Nadel)</t>
  </si>
  <si>
    <t>Waldrestholz (Laub)</t>
  </si>
  <si>
    <t>Rinde</t>
  </si>
  <si>
    <t>Altholz</t>
  </si>
  <si>
    <t>Altpapier</t>
  </si>
  <si>
    <t>Schwarzlauge</t>
  </si>
  <si>
    <t>Landschaftspflegeholz</t>
  </si>
  <si>
    <t>Sägespäne/ sonstiges Industrierestholz</t>
  </si>
  <si>
    <t>Industriepellets (Reststoffe)</t>
  </si>
  <si>
    <t>Schredderholz</t>
  </si>
  <si>
    <t>Schwarzlauge/Rinde</t>
  </si>
  <si>
    <t>Renews Spezial, TFZ (Range)</t>
  </si>
  <si>
    <t>Renews Spezial, EUWID(Range)</t>
  </si>
  <si>
    <t>Heizwert [kWh/kg]</t>
  </si>
  <si>
    <t>Heizwert [GJ/t]</t>
  </si>
  <si>
    <t>Renews Spezial, DBFZ Studie (Range)</t>
  </si>
  <si>
    <t>Straw 6€ when burned 15€ when digested</t>
  </si>
  <si>
    <t>k.A. (geschlossener Kreislauf)</t>
  </si>
  <si>
    <t>BioPlanW Werte</t>
  </si>
  <si>
    <t>Min [€/GJ]</t>
  </si>
  <si>
    <t>Max [€/GJ]</t>
  </si>
  <si>
    <t>Entsorgung vs. Transport</t>
  </si>
  <si>
    <t>Carmen-ev (2015-2019)</t>
  </si>
  <si>
    <t>Pellets (Waldrestholz)</t>
  </si>
  <si>
    <t>Hackschnitzel (Waldrestholz)</t>
  </si>
  <si>
    <t>Holzbriketts (Waldrestholz)</t>
  </si>
  <si>
    <t>Liste RestPot. 17.02.2020</t>
  </si>
  <si>
    <t>Liste RestPot. 17.02.2021</t>
  </si>
  <si>
    <t>Liste RestPot. 17.02.2022</t>
  </si>
  <si>
    <t>Liste RestPot. 17.02.2023</t>
  </si>
  <si>
    <t>Liste RestPot. 17.02.2024</t>
  </si>
  <si>
    <t>Liste RestPot. 17.02.2025</t>
  </si>
  <si>
    <t>Liste RestPot. 17.02.2026</t>
  </si>
  <si>
    <t>Liste RestPot. 17.02.2027</t>
  </si>
  <si>
    <t>MIN (Energetische Nutzung 2015 Min)</t>
  </si>
  <si>
    <t>MAX (Energetische Nutzung 2015 Max + Mobilisierbares Potential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</si>
</sst>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7" fillId="0" borderId="0"/>
  </cellStyleXfs>
  <cellXfs count="128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/>
    </xf>
    <xf numFmtId="9" fontId="0" fillId="0" borderId="5" xfId="0" applyNumberFormat="1" applyFill="1" applyBorder="1" applyAlignment="1">
      <alignment horizontal="left" vertical="center"/>
    </xf>
    <xf numFmtId="0" fontId="0" fillId="0" borderId="0" xfId="0" applyBorder="1"/>
    <xf numFmtId="0" fontId="4" fillId="0" borderId="1" xfId="0" applyFont="1" applyFill="1" applyBorder="1"/>
    <xf numFmtId="0" fontId="0" fillId="0" borderId="6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9" fontId="0" fillId="0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2" borderId="0" xfId="0" applyFill="1"/>
    <xf numFmtId="49" fontId="8" fillId="0" borderId="0" xfId="0" applyNumberFormat="1" applyFont="1"/>
    <xf numFmtId="49" fontId="8" fillId="0" borderId="0" xfId="0" applyNumberFormat="1" applyFont="1" applyFill="1"/>
    <xf numFmtId="49" fontId="8" fillId="0" borderId="0" xfId="0" applyNumberFormat="1" applyFont="1" applyFill="1" applyAlignment="1">
      <alignment horizontal="left"/>
    </xf>
    <xf numFmtId="2" fontId="8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left"/>
    </xf>
    <xf numFmtId="49" fontId="8" fillId="0" borderId="10" xfId="0" applyNumberFormat="1" applyFont="1" applyBorder="1" applyAlignment="1">
      <alignment horizontal="left"/>
    </xf>
    <xf numFmtId="49" fontId="8" fillId="0" borderId="0" xfId="1" applyNumberFormat="1" applyFont="1"/>
    <xf numFmtId="49" fontId="8" fillId="0" borderId="0" xfId="1" applyNumberFormat="1" applyFont="1" applyAlignment="1">
      <alignment horizontal="left"/>
    </xf>
    <xf numFmtId="49" fontId="8" fillId="0" borderId="0" xfId="2" applyNumberFormat="1" applyFont="1"/>
    <xf numFmtId="49" fontId="8" fillId="0" borderId="0" xfId="2" applyNumberFormat="1" applyFont="1" applyAlignment="1">
      <alignment horizontal="left"/>
    </xf>
    <xf numFmtId="49" fontId="8" fillId="0" borderId="10" xfId="0" applyNumberFormat="1" applyFont="1" applyBorder="1"/>
    <xf numFmtId="2" fontId="8" fillId="0" borderId="0" xfId="2" applyNumberFormat="1" applyFont="1" applyFill="1"/>
    <xf numFmtId="49" fontId="8" fillId="0" borderId="0" xfId="0" applyNumberFormat="1" applyFont="1" applyFill="1" applyBorder="1"/>
    <xf numFmtId="0" fontId="10" fillId="0" borderId="0" xfId="0" applyFont="1" applyFill="1" applyBorder="1"/>
    <xf numFmtId="0" fontId="8" fillId="0" borderId="0" xfId="0" applyFont="1" applyFill="1" applyBorder="1"/>
    <xf numFmtId="43" fontId="14" fillId="0" borderId="0" xfId="3" applyNumberFormat="1" applyFont="1" applyFill="1" applyBorder="1" applyAlignment="1">
      <alignment horizontal="left" vertical="center"/>
    </xf>
    <xf numFmtId="0" fontId="0" fillId="3" borderId="0" xfId="0" applyFill="1"/>
    <xf numFmtId="0" fontId="0" fillId="4" borderId="0" xfId="0" applyFill="1"/>
    <xf numFmtId="2" fontId="8" fillId="4" borderId="0" xfId="1" applyNumberFormat="1" applyFont="1" applyFill="1"/>
    <xf numFmtId="2" fontId="8" fillId="4" borderId="0" xfId="2" applyNumberFormat="1" applyFont="1" applyFill="1"/>
    <xf numFmtId="0" fontId="8" fillId="0" borderId="0" xfId="0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right"/>
    </xf>
    <xf numFmtId="2" fontId="8" fillId="0" borderId="10" xfId="2" applyNumberFormat="1" applyFont="1" applyFill="1" applyBorder="1"/>
    <xf numFmtId="2" fontId="8" fillId="0" borderId="10" xfId="0" applyNumberFormat="1" applyFont="1" applyFill="1" applyBorder="1"/>
    <xf numFmtId="2" fontId="11" fillId="0" borderId="0" xfId="0" applyNumberFormat="1" applyFont="1" applyFill="1"/>
    <xf numFmtId="49" fontId="8" fillId="0" borderId="0" xfId="0" applyNumberFormat="1" applyFont="1" applyFill="1" applyAlignment="1">
      <alignment wrapText="1"/>
    </xf>
    <xf numFmtId="2" fontId="8" fillId="4" borderId="0" xfId="0" applyNumberFormat="1" applyFont="1" applyFill="1"/>
    <xf numFmtId="49" fontId="8" fillId="0" borderId="0" xfId="0" applyNumberFormat="1" applyFont="1" applyFill="1" applyAlignment="1">
      <alignment horizontal="center" vertical="center" wrapText="1"/>
    </xf>
    <xf numFmtId="2" fontId="8" fillId="5" borderId="0" xfId="2" applyNumberFormat="1" applyFont="1" applyFill="1"/>
    <xf numFmtId="0" fontId="0" fillId="5" borderId="0" xfId="0" applyFill="1"/>
    <xf numFmtId="49" fontId="16" fillId="0" borderId="10" xfId="0" applyNumberFormat="1" applyFont="1" applyBorder="1"/>
    <xf numFmtId="49" fontId="16" fillId="0" borderId="0" xfId="0" applyNumberFormat="1" applyFont="1"/>
    <xf numFmtId="2" fontId="8" fillId="4" borderId="0" xfId="0" applyNumberFormat="1" applyFont="1" applyFill="1" applyAlignment="1">
      <alignment horizontal="right"/>
    </xf>
    <xf numFmtId="2" fontId="8" fillId="4" borderId="0" xfId="0" applyNumberFormat="1" applyFont="1" applyFill="1" applyBorder="1"/>
    <xf numFmtId="2" fontId="10" fillId="4" borderId="0" xfId="0" applyNumberFormat="1" applyFont="1" applyFill="1" applyBorder="1"/>
    <xf numFmtId="2" fontId="8" fillId="6" borderId="0" xfId="0" applyNumberFormat="1" applyFont="1" applyFill="1"/>
    <xf numFmtId="0" fontId="8" fillId="6" borderId="0" xfId="0" applyFont="1" applyFill="1"/>
    <xf numFmtId="2" fontId="8" fillId="6" borderId="0" xfId="2" applyNumberFormat="1" applyFont="1" applyFill="1"/>
    <xf numFmtId="2" fontId="8" fillId="6" borderId="10" xfId="2" applyNumberFormat="1" applyFont="1" applyFill="1" applyBorder="1"/>
    <xf numFmtId="2" fontId="8" fillId="6" borderId="0" xfId="1" applyNumberFormat="1" applyFont="1" applyFill="1"/>
    <xf numFmtId="2" fontId="8" fillId="6" borderId="10" xfId="0" applyNumberFormat="1" applyFont="1" applyFill="1" applyBorder="1"/>
    <xf numFmtId="2" fontId="11" fillId="6" borderId="0" xfId="0" applyNumberFormat="1" applyFont="1" applyFill="1"/>
    <xf numFmtId="0" fontId="0" fillId="6" borderId="0" xfId="0" applyFill="1"/>
    <xf numFmtId="2" fontId="8" fillId="4" borderId="0" xfId="2" applyNumberFormat="1" applyFont="1" applyFill="1" applyBorder="1"/>
    <xf numFmtId="0" fontId="0" fillId="0" borderId="0" xfId="0" applyFill="1"/>
    <xf numFmtId="0" fontId="0" fillId="3" borderId="0" xfId="0" applyFill="1" applyBorder="1"/>
    <xf numFmtId="2" fontId="0" fillId="4" borderId="0" xfId="0" applyNumberFormat="1" applyFill="1"/>
    <xf numFmtId="10" fontId="0" fillId="4" borderId="1" xfId="0" applyNumberFormat="1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/>
    <xf numFmtId="0" fontId="6" fillId="0" borderId="0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4" fillId="0" borderId="12" xfId="0" applyFont="1" applyFill="1" applyBorder="1"/>
    <xf numFmtId="0" fontId="1" fillId="0" borderId="13" xfId="0" applyFont="1" applyFill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0" fillId="0" borderId="13" xfId="0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right" vertical="center"/>
    </xf>
    <xf numFmtId="0" fontId="6" fillId="0" borderId="12" xfId="0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6" fillId="0" borderId="7" xfId="0" applyFont="1" applyFill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</cellXfs>
  <cellStyles count="5">
    <cellStyle name="Komma" xfId="1" builtinId="3"/>
    <cellStyle name="Komma 3" xfId="3"/>
    <cellStyle name="Standard" xfId="0" builtinId="0"/>
    <cellStyle name="Standard 2" xfId="4"/>
    <cellStyle name="Währung" xfId="2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314325</xdr:rowOff>
    </xdr:from>
    <xdr:to>
      <xdr:col>18</xdr:col>
      <xdr:colOff>57150</xdr:colOff>
      <xdr:row>11</xdr:row>
      <xdr:rowOff>612472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7525" y="504825"/>
          <a:ext cx="7781925" cy="399097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123824</xdr:colOff>
      <xdr:row>12</xdr:row>
      <xdr:rowOff>152400</xdr:rowOff>
    </xdr:from>
    <xdr:to>
      <xdr:col>20</xdr:col>
      <xdr:colOff>400723</xdr:colOff>
      <xdr:row>27</xdr:row>
      <xdr:rowOff>4535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5276850"/>
          <a:ext cx="9268499" cy="5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35"/>
  <sheetViews>
    <sheetView zoomScale="70" zoomScaleNormal="7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47" customWidth="1"/>
    <col min="3" max="6" width="20.7109375" customWidth="1"/>
    <col min="7" max="7" width="48.85546875" style="9" customWidth="1"/>
    <col min="8" max="8" width="52.7109375" customWidth="1"/>
    <col min="9" max="9" width="20.7109375" customWidth="1"/>
    <col min="10" max="10" width="22.42578125" customWidth="1"/>
  </cols>
  <sheetData>
    <row r="2" spans="2:8" ht="60" customHeight="1" x14ac:dyDescent="0.25">
      <c r="B2" s="123" t="s">
        <v>10</v>
      </c>
      <c r="C2" s="124"/>
      <c r="D2" s="124"/>
      <c r="E2" s="124"/>
      <c r="F2" s="124"/>
      <c r="G2" s="39"/>
    </row>
    <row r="3" spans="2:8" ht="24.95" customHeight="1" x14ac:dyDescent="0.25">
      <c r="B3" s="14" t="s">
        <v>7</v>
      </c>
      <c r="C3" s="22">
        <v>2015</v>
      </c>
      <c r="D3" s="22">
        <v>2020</v>
      </c>
      <c r="E3" s="22">
        <v>2030</v>
      </c>
      <c r="F3" s="22">
        <v>2050</v>
      </c>
      <c r="G3" s="2" t="s">
        <v>4</v>
      </c>
      <c r="H3" s="2" t="s">
        <v>5</v>
      </c>
    </row>
    <row r="4" spans="2:8" ht="24.95" customHeight="1" thickBot="1" x14ac:dyDescent="0.3">
      <c r="B4" s="8" t="s">
        <v>6</v>
      </c>
      <c r="C4" s="23">
        <f>SUM(C6:C9)</f>
        <v>586.9</v>
      </c>
      <c r="D4" s="23">
        <f>SUM(D6:D9)</f>
        <v>684</v>
      </c>
      <c r="E4" s="23">
        <f>SUM(E6:E9)</f>
        <v>986.8</v>
      </c>
      <c r="F4" s="23">
        <f>SUM(F6:F9)</f>
        <v>956.6</v>
      </c>
      <c r="G4" s="10"/>
      <c r="H4" s="5"/>
    </row>
    <row r="5" spans="2:8" ht="32.25" customHeight="1" x14ac:dyDescent="0.25">
      <c r="B5" s="7" t="s">
        <v>3</v>
      </c>
      <c r="C5" s="24">
        <f>SUM(C6:C7)</f>
        <v>505</v>
      </c>
      <c r="D5" s="24">
        <f>SUM(D6:D7)</f>
        <v>563</v>
      </c>
      <c r="E5" s="24">
        <f>SUM(E6:E7)</f>
        <v>735</v>
      </c>
      <c r="F5" s="24">
        <f>SUM(F6:F7)</f>
        <v>712.5</v>
      </c>
      <c r="G5" s="10"/>
      <c r="H5" s="4"/>
    </row>
    <row r="6" spans="2:8" ht="24.95" customHeight="1" x14ac:dyDescent="0.25">
      <c r="B6" s="15" t="s">
        <v>2</v>
      </c>
      <c r="C6" s="25">
        <v>150</v>
      </c>
      <c r="D6" s="25">
        <v>150</v>
      </c>
      <c r="E6" s="25">
        <v>150</v>
      </c>
      <c r="F6" s="26">
        <v>150</v>
      </c>
    </row>
    <row r="7" spans="2:8" ht="24.95" customHeight="1" x14ac:dyDescent="0.25">
      <c r="B7" s="16" t="s">
        <v>105</v>
      </c>
      <c r="C7" s="27">
        <v>355</v>
      </c>
      <c r="D7" s="27">
        <f>382+31</f>
        <v>413</v>
      </c>
      <c r="E7" s="27">
        <f>382+203</f>
        <v>585</v>
      </c>
      <c r="F7" s="28">
        <f>382+180.5</f>
        <v>562.5</v>
      </c>
      <c r="H7" s="4"/>
    </row>
    <row r="8" spans="2:8" ht="24.95" customHeight="1" x14ac:dyDescent="0.25">
      <c r="B8" s="18" t="s">
        <v>0</v>
      </c>
      <c r="C8" s="29">
        <v>0.6</v>
      </c>
      <c r="D8" s="29">
        <v>1</v>
      </c>
      <c r="E8" s="29">
        <v>55.8</v>
      </c>
      <c r="F8" s="29">
        <v>54.1</v>
      </c>
      <c r="H8" s="4"/>
    </row>
    <row r="9" spans="2:8" ht="24.95" customHeight="1" thickBot="1" x14ac:dyDescent="0.3">
      <c r="B9" s="20" t="s">
        <v>1</v>
      </c>
      <c r="C9" s="38">
        <v>81.3</v>
      </c>
      <c r="D9" s="38">
        <v>120</v>
      </c>
      <c r="E9" s="38">
        <v>196</v>
      </c>
      <c r="F9" s="38">
        <v>190</v>
      </c>
      <c r="H9" s="4"/>
    </row>
    <row r="10" spans="2:8" ht="24.95" customHeight="1" x14ac:dyDescent="0.25">
      <c r="B10" s="19" t="s">
        <v>9</v>
      </c>
      <c r="C10" s="96">
        <v>2.4</v>
      </c>
      <c r="D10" s="96">
        <v>2.2999999999999998</v>
      </c>
      <c r="E10" s="96">
        <f>2.2*0.98</f>
        <v>2.1560000000000001</v>
      </c>
      <c r="F10" s="96">
        <f>2*0.95</f>
        <v>1.9</v>
      </c>
      <c r="G10" s="9" t="s">
        <v>15</v>
      </c>
      <c r="H10" s="4"/>
    </row>
    <row r="11" spans="2:8" ht="24.95" customHeight="1" x14ac:dyDescent="0.25">
      <c r="B11" s="3" t="s">
        <v>12</v>
      </c>
      <c r="C11" s="97">
        <v>2.4</v>
      </c>
      <c r="D11" s="97">
        <f>0.75*C11</f>
        <v>1.7999999999999998</v>
      </c>
      <c r="E11" s="97">
        <f>0.5*C11*0.98</f>
        <v>1.1759999999999999</v>
      </c>
      <c r="F11" s="97">
        <v>0</v>
      </c>
      <c r="H11" s="4"/>
    </row>
    <row r="12" spans="2:8" ht="65.25" customHeight="1" x14ac:dyDescent="0.25">
      <c r="B12" s="123" t="s">
        <v>11</v>
      </c>
      <c r="C12" s="124"/>
      <c r="D12" s="124"/>
      <c r="E12" s="124"/>
      <c r="F12" s="124"/>
      <c r="H12" s="4"/>
    </row>
    <row r="13" spans="2:8" ht="21" x14ac:dyDescent="0.25">
      <c r="B13" s="14" t="s">
        <v>7</v>
      </c>
      <c r="C13" s="22">
        <v>2015</v>
      </c>
      <c r="D13" s="22">
        <v>2020</v>
      </c>
      <c r="E13" s="22">
        <v>2030</v>
      </c>
      <c r="F13" s="22">
        <v>2050</v>
      </c>
      <c r="H13" s="4"/>
    </row>
    <row r="14" spans="2:8" ht="24.95" customHeight="1" thickBot="1" x14ac:dyDescent="0.3">
      <c r="B14" s="8" t="s">
        <v>6</v>
      </c>
      <c r="C14" s="30">
        <f>SUM(C16:C19)</f>
        <v>586.9</v>
      </c>
      <c r="D14" s="30">
        <f>SUM(D16:D19)</f>
        <v>684</v>
      </c>
      <c r="E14" s="30">
        <f>SUM(E16:E19)</f>
        <v>966.7</v>
      </c>
      <c r="F14" s="30">
        <f>SUM(F16:F19)</f>
        <v>906.3</v>
      </c>
      <c r="H14" s="4"/>
    </row>
    <row r="15" spans="2:8" ht="24.95" customHeight="1" x14ac:dyDescent="0.25">
      <c r="B15" s="7" t="s">
        <v>3</v>
      </c>
      <c r="C15" s="31">
        <f>SUM(C16:C17)</f>
        <v>505</v>
      </c>
      <c r="D15" s="31">
        <f>SUM(D16:D17)</f>
        <v>563</v>
      </c>
      <c r="E15" s="31">
        <f>SUM(E16:E17)</f>
        <v>720</v>
      </c>
      <c r="F15" s="31">
        <f>SUM(F16:F17)</f>
        <v>675</v>
      </c>
      <c r="H15" s="4"/>
    </row>
    <row r="16" spans="2:8" ht="24.95" customHeight="1" x14ac:dyDescent="0.25">
      <c r="B16" s="15" t="s">
        <v>2</v>
      </c>
      <c r="C16" s="32">
        <v>150</v>
      </c>
      <c r="D16" s="32">
        <v>150</v>
      </c>
      <c r="E16" s="32">
        <v>150</v>
      </c>
      <c r="F16" s="33">
        <v>150</v>
      </c>
      <c r="H16" s="4"/>
    </row>
    <row r="17" spans="2:8" ht="24.95" customHeight="1" x14ac:dyDescent="0.25">
      <c r="B17" s="17" t="s">
        <v>105</v>
      </c>
      <c r="C17" s="34">
        <v>355</v>
      </c>
      <c r="D17" s="34">
        <f>382+31</f>
        <v>413</v>
      </c>
      <c r="E17" s="34">
        <f>382+188</f>
        <v>570</v>
      </c>
      <c r="F17" s="35">
        <f>382+143</f>
        <v>525</v>
      </c>
      <c r="H17" s="4"/>
    </row>
    <row r="18" spans="2:8" ht="24.95" customHeight="1" x14ac:dyDescent="0.25">
      <c r="B18" s="18" t="s">
        <v>0</v>
      </c>
      <c r="C18" s="36">
        <v>0.6</v>
      </c>
      <c r="D18" s="36">
        <v>1</v>
      </c>
      <c r="E18" s="36">
        <v>54.7</v>
      </c>
      <c r="F18" s="36">
        <v>51.3</v>
      </c>
      <c r="H18" s="4"/>
    </row>
    <row r="19" spans="2:8" ht="24.95" customHeight="1" thickBot="1" x14ac:dyDescent="0.3">
      <c r="B19" s="20" t="s">
        <v>1</v>
      </c>
      <c r="C19" s="37">
        <v>81.3</v>
      </c>
      <c r="D19" s="37">
        <v>120</v>
      </c>
      <c r="E19" s="37">
        <v>192</v>
      </c>
      <c r="F19" s="37">
        <v>180</v>
      </c>
      <c r="H19" s="4"/>
    </row>
    <row r="20" spans="2:8" ht="24.95" customHeight="1" x14ac:dyDescent="0.25">
      <c r="B20" s="19" t="s">
        <v>9</v>
      </c>
      <c r="C20" s="96">
        <v>2.4</v>
      </c>
      <c r="D20" s="96">
        <v>2.2999999999999998</v>
      </c>
      <c r="E20" s="96">
        <f>2.2*0.96</f>
        <v>2.1120000000000001</v>
      </c>
      <c r="F20" s="96">
        <f>2*0.9</f>
        <v>1.8</v>
      </c>
      <c r="G20" s="9" t="s">
        <v>15</v>
      </c>
    </row>
    <row r="21" spans="2:8" ht="24.95" customHeight="1" x14ac:dyDescent="0.25">
      <c r="B21" s="3" t="s">
        <v>12</v>
      </c>
      <c r="C21" s="97">
        <v>2.4</v>
      </c>
      <c r="D21" s="97">
        <f>0.75*C21</f>
        <v>1.7999999999999998</v>
      </c>
      <c r="E21" s="97">
        <f>0.5*C21*0.96</f>
        <v>1.1519999999999999</v>
      </c>
      <c r="F21" s="97">
        <v>0</v>
      </c>
    </row>
    <row r="22" spans="2:8" ht="60" customHeight="1" x14ac:dyDescent="0.25">
      <c r="B22" s="124" t="s">
        <v>16</v>
      </c>
      <c r="C22" s="124"/>
      <c r="D22" s="124"/>
      <c r="E22" s="124"/>
      <c r="F22" s="124"/>
      <c r="G22" s="11"/>
      <c r="H22" s="1"/>
    </row>
    <row r="23" spans="2:8" ht="24.95" customHeight="1" x14ac:dyDescent="0.25">
      <c r="B23" s="14" t="s">
        <v>7</v>
      </c>
      <c r="C23" s="40">
        <v>2015</v>
      </c>
      <c r="D23" s="2">
        <v>2020</v>
      </c>
      <c r="E23" s="2">
        <v>2030</v>
      </c>
      <c r="F23" s="2">
        <v>2050</v>
      </c>
    </row>
    <row r="24" spans="2:8" ht="24.95" customHeight="1" x14ac:dyDescent="0.25">
      <c r="B24" s="6" t="s">
        <v>8</v>
      </c>
      <c r="C24" s="21">
        <v>0.15</v>
      </c>
      <c r="D24" s="21">
        <v>0.15</v>
      </c>
      <c r="E24" s="21">
        <v>0.2</v>
      </c>
      <c r="F24" s="21">
        <v>0.3</v>
      </c>
      <c r="G24" s="12"/>
      <c r="H24" s="13"/>
    </row>
    <row r="25" spans="2:8" ht="24.95" customHeight="1" x14ac:dyDescent="0.25">
      <c r="B25" s="6" t="s">
        <v>13</v>
      </c>
      <c r="C25" s="21">
        <v>0.9</v>
      </c>
      <c r="D25" s="21">
        <v>0.9</v>
      </c>
      <c r="E25" s="21">
        <v>0.78</v>
      </c>
      <c r="F25" s="21">
        <v>0.65</v>
      </c>
      <c r="G25" s="41"/>
    </row>
    <row r="26" spans="2:8" ht="24.95" customHeight="1" x14ac:dyDescent="0.25">
      <c r="B26" s="6" t="s">
        <v>14</v>
      </c>
      <c r="C26" s="94">
        <f>C25</f>
        <v>0.9</v>
      </c>
      <c r="D26" s="94">
        <f>D25</f>
        <v>0.9</v>
      </c>
      <c r="E26" s="94">
        <f>98*E25/100</f>
        <v>0.76439999999999997</v>
      </c>
      <c r="F26" s="94">
        <f>95*F25/100</f>
        <v>0.61750000000000005</v>
      </c>
    </row>
    <row r="27" spans="2:8" ht="24.95" customHeight="1" x14ac:dyDescent="0.25">
      <c r="B27" s="18" t="s">
        <v>101</v>
      </c>
      <c r="C27" s="95">
        <f>CulStart!Z7/Potentials!C10</f>
        <v>0.5629704166666667</v>
      </c>
      <c r="D27" s="95"/>
      <c r="E27" s="94">
        <f>98*E25/100</f>
        <v>0.76439999999999997</v>
      </c>
      <c r="F27" s="94">
        <f>95*F25/100</f>
        <v>0.61750000000000005</v>
      </c>
    </row>
    <row r="28" spans="2:8" ht="24.95" customHeight="1" x14ac:dyDescent="0.25">
      <c r="B28" s="18" t="s">
        <v>102</v>
      </c>
      <c r="C28" s="95">
        <f>CulStart!Z7/Potentials!C11</f>
        <v>0.5629704166666667</v>
      </c>
      <c r="D28" s="95"/>
      <c r="E28" s="94">
        <f>98*E25/100</f>
        <v>0.76439999999999997</v>
      </c>
      <c r="F28" s="94">
        <f>95*F25/100</f>
        <v>0.61750000000000005</v>
      </c>
    </row>
    <row r="29" spans="2:8" ht="80.099999999999994" customHeight="1" x14ac:dyDescent="0.25">
      <c r="B29" s="125" t="s">
        <v>17</v>
      </c>
      <c r="C29" s="125"/>
      <c r="D29" s="125"/>
      <c r="E29" s="125"/>
      <c r="F29" s="125"/>
    </row>
    <row r="30" spans="2:8" ht="24.95" customHeight="1" x14ac:dyDescent="0.25">
      <c r="B30" s="14" t="s">
        <v>7</v>
      </c>
      <c r="C30" s="40">
        <v>2015</v>
      </c>
      <c r="D30" s="2">
        <v>2020</v>
      </c>
      <c r="E30" s="2">
        <v>2030</v>
      </c>
      <c r="F30" s="2">
        <v>2050</v>
      </c>
    </row>
    <row r="31" spans="2:8" ht="24.95" customHeight="1" x14ac:dyDescent="0.25">
      <c r="B31" s="6" t="s">
        <v>8</v>
      </c>
      <c r="C31" s="21">
        <v>0.15</v>
      </c>
      <c r="D31" s="21">
        <v>0.15</v>
      </c>
      <c r="E31" s="21">
        <v>0.3</v>
      </c>
      <c r="F31" s="21">
        <v>0.7</v>
      </c>
      <c r="G31" s="12"/>
    </row>
    <row r="32" spans="2:8" ht="24.95" customHeight="1" x14ac:dyDescent="0.25">
      <c r="B32" s="6" t="s">
        <v>13</v>
      </c>
      <c r="C32" s="21">
        <v>0.9</v>
      </c>
      <c r="D32" s="21">
        <v>0.9</v>
      </c>
      <c r="E32" s="21">
        <v>0.66</v>
      </c>
      <c r="F32" s="21">
        <v>0.2</v>
      </c>
    </row>
    <row r="33" spans="2:6" ht="24.95" customHeight="1" x14ac:dyDescent="0.25">
      <c r="B33" s="6" t="s">
        <v>14</v>
      </c>
      <c r="C33" s="94">
        <f>C32</f>
        <v>0.9</v>
      </c>
      <c r="D33" s="94">
        <f>D32</f>
        <v>0.9</v>
      </c>
      <c r="E33" s="94">
        <f>96*E32/100</f>
        <v>0.63359999999999994</v>
      </c>
      <c r="F33" s="94">
        <f>90*F32/100</f>
        <v>0.18</v>
      </c>
    </row>
    <row r="34" spans="2:6" ht="24.95" customHeight="1" x14ac:dyDescent="0.25">
      <c r="B34" s="18" t="s">
        <v>101</v>
      </c>
      <c r="C34" s="95">
        <f>CulStart!Z7/Potentials!C20</f>
        <v>0.5629704166666667</v>
      </c>
      <c r="D34" s="95"/>
      <c r="E34" s="94">
        <f>96*E32/100</f>
        <v>0.63359999999999994</v>
      </c>
      <c r="F34" s="94">
        <f>90*F32/100</f>
        <v>0.18</v>
      </c>
    </row>
    <row r="35" spans="2:6" ht="25.5" customHeight="1" x14ac:dyDescent="0.25">
      <c r="B35" s="18" t="s">
        <v>102</v>
      </c>
      <c r="C35" s="95">
        <f>CulStart!Z7/Potentials!C21</f>
        <v>0.5629704166666667</v>
      </c>
      <c r="D35" s="95"/>
      <c r="E35" s="94">
        <f>96*E32/100</f>
        <v>0.63359999999999994</v>
      </c>
      <c r="F35" s="94">
        <f>90*F32/100</f>
        <v>0.18</v>
      </c>
    </row>
  </sheetData>
  <mergeCells count="4">
    <mergeCell ref="B2:F2"/>
    <mergeCell ref="B22:F22"/>
    <mergeCell ref="B29:F29"/>
    <mergeCell ref="B12:F12"/>
  </mergeCells>
  <pageMargins left="0.70866141732283472" right="0.70866141732283472" top="0.74803149606299213" bottom="0.74803149606299213" header="0.31496062992125984" footer="0.31496062992125984"/>
  <pageSetup paperSize="9" scale="67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abSelected="1" workbookViewId="0">
      <selection activeCell="B25" sqref="B25"/>
    </sheetView>
  </sheetViews>
  <sheetFormatPr baseColWidth="10" defaultRowHeight="15" x14ac:dyDescent="0.25"/>
  <cols>
    <col min="2" max="2" width="37" customWidth="1"/>
    <col min="7" max="7" width="22.85546875" bestFit="1" customWidth="1"/>
  </cols>
  <sheetData>
    <row r="1" spans="2:14" x14ac:dyDescent="0.25">
      <c r="B1" t="s">
        <v>144</v>
      </c>
    </row>
    <row r="2" spans="2:14" ht="21" x14ac:dyDescent="0.25">
      <c r="B2" s="102" t="s">
        <v>7</v>
      </c>
      <c r="C2" s="106">
        <v>2015</v>
      </c>
      <c r="D2" s="106">
        <v>2020</v>
      </c>
      <c r="E2" s="106">
        <v>2030</v>
      </c>
      <c r="F2" s="106">
        <v>2050</v>
      </c>
    </row>
    <row r="3" spans="2:14" ht="21.75" thickBot="1" x14ac:dyDescent="0.3">
      <c r="B3" s="103" t="s">
        <v>6</v>
      </c>
      <c r="C3" s="107">
        <f>SUM(C5:C15)</f>
        <v>519.02304319999996</v>
      </c>
      <c r="D3" s="107">
        <f>SUM(D5:D15)</f>
        <v>519.02304319999996</v>
      </c>
      <c r="E3" s="107">
        <f>SUM(E5:E15)</f>
        <v>519.02304319999996</v>
      </c>
      <c r="F3" s="107">
        <f>SUM(F5:F15)</f>
        <v>519.02304319999996</v>
      </c>
    </row>
    <row r="4" spans="2:14" ht="21" x14ac:dyDescent="0.25">
      <c r="B4" s="104" t="s">
        <v>3</v>
      </c>
      <c r="C4" s="112">
        <f>SUM(C5:C13)</f>
        <v>482.02304319999996</v>
      </c>
      <c r="D4" s="112">
        <f>SUM(D5:D13)</f>
        <v>482.02304319999996</v>
      </c>
      <c r="E4" s="112">
        <f>SUM(E5:E13)</f>
        <v>482.02304319999996</v>
      </c>
      <c r="F4" s="112">
        <f>SUM(F5:F13)</f>
        <v>482.02304319999996</v>
      </c>
    </row>
    <row r="5" spans="2:14" ht="21" x14ac:dyDescent="0.25">
      <c r="B5" s="100" t="s">
        <v>2</v>
      </c>
      <c r="C5" s="120">
        <v>150</v>
      </c>
      <c r="D5" s="120">
        <v>150</v>
      </c>
      <c r="E5" s="120">
        <v>150</v>
      </c>
      <c r="F5" s="120">
        <v>150</v>
      </c>
      <c r="G5" t="s">
        <v>108</v>
      </c>
    </row>
    <row r="6" spans="2:14" ht="21" x14ac:dyDescent="0.25">
      <c r="B6" s="101" t="s">
        <v>110</v>
      </c>
      <c r="C6" s="112">
        <v>22.4</v>
      </c>
      <c r="D6" s="112">
        <v>22.4</v>
      </c>
      <c r="E6" s="112">
        <v>22.4</v>
      </c>
      <c r="F6" s="112">
        <v>22.4</v>
      </c>
      <c r="G6" t="s">
        <v>136</v>
      </c>
    </row>
    <row r="7" spans="2:14" ht="21" x14ac:dyDescent="0.25">
      <c r="B7" s="101" t="s">
        <v>111</v>
      </c>
      <c r="C7" s="112">
        <v>31.24</v>
      </c>
      <c r="D7" s="112">
        <v>31.24</v>
      </c>
      <c r="E7" s="112">
        <v>31.24</v>
      </c>
      <c r="F7" s="112">
        <v>31.24</v>
      </c>
      <c r="G7" t="s">
        <v>137</v>
      </c>
    </row>
    <row r="8" spans="2:14" ht="21" x14ac:dyDescent="0.25">
      <c r="B8" s="101" t="s">
        <v>112</v>
      </c>
      <c r="C8" s="112">
        <v>8.4913919999999994</v>
      </c>
      <c r="D8" s="112">
        <v>8.4913919999999994</v>
      </c>
      <c r="E8" s="112">
        <v>8.4913919999999994</v>
      </c>
      <c r="F8" s="112">
        <v>8.4913919999999994</v>
      </c>
      <c r="G8" t="s">
        <v>138</v>
      </c>
    </row>
    <row r="9" spans="2:14" ht="21" x14ac:dyDescent="0.25">
      <c r="B9" s="113" t="s">
        <v>117</v>
      </c>
      <c r="C9" s="112">
        <v>68.515977599999999</v>
      </c>
      <c r="D9" s="112">
        <v>68.515977599999999</v>
      </c>
      <c r="E9" s="112">
        <v>68.515977599999999</v>
      </c>
      <c r="F9" s="112">
        <v>68.515977599999999</v>
      </c>
      <c r="G9" t="s">
        <v>139</v>
      </c>
    </row>
    <row r="10" spans="2:14" ht="21" x14ac:dyDescent="0.25">
      <c r="B10" s="101" t="s">
        <v>113</v>
      </c>
      <c r="C10" s="112">
        <v>88.240319999999997</v>
      </c>
      <c r="D10" s="112">
        <v>88.240319999999997</v>
      </c>
      <c r="E10" s="112">
        <v>88.240319999999997</v>
      </c>
      <c r="F10" s="112">
        <v>88.240319999999997</v>
      </c>
      <c r="G10" t="s">
        <v>140</v>
      </c>
    </row>
    <row r="11" spans="2:14" ht="21" x14ac:dyDescent="0.25">
      <c r="B11" s="101" t="s">
        <v>116</v>
      </c>
      <c r="C11" s="112">
        <v>40.132713600000002</v>
      </c>
      <c r="D11" s="112">
        <v>40.132713600000002</v>
      </c>
      <c r="E11" s="112">
        <v>40.132713600000002</v>
      </c>
      <c r="F11" s="112">
        <v>40.132713600000002</v>
      </c>
      <c r="G11" t="s">
        <v>141</v>
      </c>
    </row>
    <row r="12" spans="2:14" ht="21" x14ac:dyDescent="0.25">
      <c r="B12" s="101" t="s">
        <v>114</v>
      </c>
      <c r="C12" s="112">
        <v>44.32</v>
      </c>
      <c r="D12" s="112">
        <v>44.32</v>
      </c>
      <c r="E12" s="112">
        <v>44.32</v>
      </c>
      <c r="F12" s="112">
        <v>44.32</v>
      </c>
      <c r="G12" t="s">
        <v>142</v>
      </c>
      <c r="J12" s="101"/>
      <c r="K12" s="112"/>
      <c r="L12" s="111"/>
      <c r="M12" s="112"/>
      <c r="N12" s="112"/>
    </row>
    <row r="13" spans="2:14" ht="21" x14ac:dyDescent="0.25">
      <c r="B13" s="101" t="s">
        <v>115</v>
      </c>
      <c r="C13" s="112">
        <v>28.682639999999999</v>
      </c>
      <c r="D13" s="112">
        <v>28.682639999999999</v>
      </c>
      <c r="E13" s="112">
        <v>28.682639999999999</v>
      </c>
      <c r="F13" s="112">
        <v>28.682639999999999</v>
      </c>
      <c r="G13" t="s">
        <v>143</v>
      </c>
    </row>
    <row r="14" spans="2:14" ht="21" x14ac:dyDescent="0.25">
      <c r="B14" s="109" t="s">
        <v>0</v>
      </c>
      <c r="C14" s="110">
        <v>1</v>
      </c>
      <c r="D14" s="110">
        <v>1</v>
      </c>
      <c r="E14" s="110">
        <v>1</v>
      </c>
      <c r="F14" s="110">
        <v>1</v>
      </c>
      <c r="G14" t="s">
        <v>109</v>
      </c>
    </row>
    <row r="15" spans="2:14" ht="21.75" thickBot="1" x14ac:dyDescent="0.3">
      <c r="B15" s="105" t="s">
        <v>1</v>
      </c>
      <c r="C15" s="108">
        <v>36</v>
      </c>
      <c r="D15" s="108">
        <v>36</v>
      </c>
      <c r="E15" s="108">
        <v>36</v>
      </c>
      <c r="F15" s="108">
        <v>36</v>
      </c>
      <c r="G15" t="s">
        <v>109</v>
      </c>
    </row>
    <row r="16" spans="2:14" ht="21" x14ac:dyDescent="0.25">
      <c r="C16" s="99"/>
    </row>
    <row r="18" spans="2:14" x14ac:dyDescent="0.25">
      <c r="B18" t="s">
        <v>145</v>
      </c>
    </row>
    <row r="19" spans="2:14" ht="21" x14ac:dyDescent="0.25">
      <c r="B19" s="102" t="s">
        <v>7</v>
      </c>
      <c r="C19" s="106">
        <v>2015</v>
      </c>
      <c r="D19" s="106">
        <v>2020</v>
      </c>
      <c r="E19" s="106">
        <v>2030</v>
      </c>
      <c r="F19" s="106">
        <v>2050</v>
      </c>
    </row>
    <row r="20" spans="2:14" ht="21.75" thickBot="1" x14ac:dyDescent="0.3">
      <c r="B20" s="103" t="s">
        <v>6</v>
      </c>
      <c r="C20" s="107">
        <f>SUM(C22:C32)</f>
        <v>657.04140204399994</v>
      </c>
      <c r="D20" s="107">
        <f>SUM(D22:D32)</f>
        <v>844.95760964873148</v>
      </c>
      <c r="E20" s="107">
        <f>SUM(E22:E32)</f>
        <v>1220.7900248581946</v>
      </c>
      <c r="F20" s="107">
        <f>SUM(F22:F32)</f>
        <v>1220.7900248581946</v>
      </c>
    </row>
    <row r="21" spans="2:14" ht="21" x14ac:dyDescent="0.25">
      <c r="B21" s="104" t="s">
        <v>3</v>
      </c>
      <c r="C21" s="99">
        <f>SUM(C22:C30)</f>
        <v>486.04140204399994</v>
      </c>
      <c r="D21" s="99">
        <f>SUM(D22:D30)</f>
        <v>550.95760964873148</v>
      </c>
      <c r="E21" s="99">
        <f>SUM(E22:E30)</f>
        <v>680.79002485819444</v>
      </c>
      <c r="F21" s="99">
        <f>SUM(F22:F30)</f>
        <v>680.79002485819444</v>
      </c>
    </row>
    <row r="22" spans="2:14" ht="21" x14ac:dyDescent="0.25">
      <c r="B22" s="100" t="s">
        <v>2</v>
      </c>
      <c r="C22" s="120">
        <v>150</v>
      </c>
      <c r="D22" s="25">
        <v>150</v>
      </c>
      <c r="E22" s="25">
        <v>150</v>
      </c>
      <c r="F22" s="25">
        <v>150</v>
      </c>
      <c r="G22" t="s">
        <v>108</v>
      </c>
    </row>
    <row r="23" spans="2:14" ht="21" x14ac:dyDescent="0.25">
      <c r="B23" s="101" t="s">
        <v>110</v>
      </c>
      <c r="C23" s="112">
        <v>24.067606464000001</v>
      </c>
      <c r="D23" s="111">
        <f t="shared" ref="D23:D32" si="0">C23+(E23-C23)/3</f>
        <v>63.518032329129724</v>
      </c>
      <c r="E23" s="111">
        <v>142.41888405938917</v>
      </c>
      <c r="F23" s="111">
        <v>142.41888405938917</v>
      </c>
      <c r="G23" t="s">
        <v>136</v>
      </c>
    </row>
    <row r="24" spans="2:14" ht="21" x14ac:dyDescent="0.25">
      <c r="B24" s="101" t="s">
        <v>111</v>
      </c>
      <c r="C24" s="112">
        <v>33.590752380000005</v>
      </c>
      <c r="D24" s="111">
        <f t="shared" si="0"/>
        <v>50.076235608920641</v>
      </c>
      <c r="E24" s="111">
        <v>83.047202066761912</v>
      </c>
      <c r="F24" s="111">
        <v>83.047202066761912</v>
      </c>
      <c r="G24" t="s">
        <v>137</v>
      </c>
    </row>
    <row r="25" spans="2:14" ht="21" x14ac:dyDescent="0.25">
      <c r="B25" s="101" t="s">
        <v>112</v>
      </c>
      <c r="C25" s="112">
        <v>8.4913919999999994</v>
      </c>
      <c r="D25" s="111">
        <f t="shared" si="0"/>
        <v>8.4913919999999994</v>
      </c>
      <c r="E25" s="111">
        <v>8.4913919999999994</v>
      </c>
      <c r="F25" s="111">
        <v>8.4913919999999994</v>
      </c>
      <c r="G25" t="s">
        <v>138</v>
      </c>
    </row>
    <row r="26" spans="2:14" ht="21" x14ac:dyDescent="0.25">
      <c r="B26" s="113" t="s">
        <v>117</v>
      </c>
      <c r="C26" s="112">
        <v>68.515977599999999</v>
      </c>
      <c r="D26" s="111">
        <f t="shared" si="0"/>
        <v>68.515977599999999</v>
      </c>
      <c r="E26" s="111">
        <v>68.515977599999999</v>
      </c>
      <c r="F26" s="111">
        <v>68.515977599999999</v>
      </c>
      <c r="G26" t="s">
        <v>139</v>
      </c>
    </row>
    <row r="27" spans="2:14" ht="21" x14ac:dyDescent="0.25">
      <c r="B27" s="101" t="s">
        <v>113</v>
      </c>
      <c r="C27" s="112">
        <v>88.240319999999997</v>
      </c>
      <c r="D27" s="111">
        <f t="shared" si="0"/>
        <v>88.240319999999997</v>
      </c>
      <c r="E27" s="111">
        <v>88.240319999999997</v>
      </c>
      <c r="F27" s="111">
        <v>88.240319999999997</v>
      </c>
      <c r="G27" t="s">
        <v>140</v>
      </c>
    </row>
    <row r="28" spans="2:14" ht="21" x14ac:dyDescent="0.25">
      <c r="B28" s="101" t="s">
        <v>116</v>
      </c>
      <c r="C28" s="112">
        <v>40.132713600000002</v>
      </c>
      <c r="D28" s="111">
        <f t="shared" si="0"/>
        <v>45.106345444014494</v>
      </c>
      <c r="E28" s="112">
        <v>55.053609132043469</v>
      </c>
      <c r="F28" s="112">
        <v>55.053609132043469</v>
      </c>
      <c r="G28" t="s">
        <v>141</v>
      </c>
    </row>
    <row r="29" spans="2:14" ht="21" x14ac:dyDescent="0.25">
      <c r="B29" s="101" t="s">
        <v>114</v>
      </c>
      <c r="C29" s="112">
        <v>44.32</v>
      </c>
      <c r="D29" s="111">
        <f t="shared" si="0"/>
        <v>48.326666666666668</v>
      </c>
      <c r="E29" s="112">
        <v>56.34</v>
      </c>
      <c r="F29" s="112">
        <v>56.34</v>
      </c>
      <c r="G29" t="s">
        <v>142</v>
      </c>
      <c r="J29" s="101"/>
      <c r="K29" s="112"/>
      <c r="L29" s="111"/>
      <c r="M29" s="112"/>
      <c r="N29" s="112"/>
    </row>
    <row r="30" spans="2:14" ht="21" x14ac:dyDescent="0.25">
      <c r="B30" s="101" t="s">
        <v>115</v>
      </c>
      <c r="C30" s="112">
        <v>28.682639999999999</v>
      </c>
      <c r="D30" s="121">
        <f t="shared" si="0"/>
        <v>28.682639999999999</v>
      </c>
      <c r="E30" s="112">
        <v>28.682639999999999</v>
      </c>
      <c r="F30" s="112">
        <v>28.682639999999999</v>
      </c>
      <c r="G30" t="s">
        <v>143</v>
      </c>
    </row>
    <row r="31" spans="2:14" ht="21" x14ac:dyDescent="0.25">
      <c r="B31" s="109" t="s">
        <v>0</v>
      </c>
      <c r="C31" s="110">
        <v>1</v>
      </c>
      <c r="D31" s="121">
        <f t="shared" si="0"/>
        <v>32.333333333333329</v>
      </c>
      <c r="E31" s="110">
        <v>95</v>
      </c>
      <c r="F31" s="110">
        <v>95</v>
      </c>
      <c r="G31" t="s">
        <v>109</v>
      </c>
    </row>
    <row r="32" spans="2:14" ht="21.75" thickBot="1" x14ac:dyDescent="0.3">
      <c r="B32" s="105" t="s">
        <v>1</v>
      </c>
      <c r="C32" s="108">
        <v>170</v>
      </c>
      <c r="D32" s="122">
        <f t="shared" si="0"/>
        <v>261.66666666666669</v>
      </c>
      <c r="E32" s="108">
        <v>445</v>
      </c>
      <c r="F32" s="108">
        <v>445</v>
      </c>
      <c r="G32" t="s">
        <v>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D1" workbookViewId="0">
      <selection activeCell="L28" sqref="L28"/>
    </sheetView>
  </sheetViews>
  <sheetFormatPr baseColWidth="10" defaultRowHeight="15" x14ac:dyDescent="0.25"/>
  <cols>
    <col min="1" max="1" width="16.42578125" customWidth="1"/>
    <col min="2" max="18" width="10.7109375" customWidth="1"/>
    <col min="24" max="25" width="14.42578125" customWidth="1"/>
  </cols>
  <sheetData>
    <row r="1" spans="1:26" x14ac:dyDescent="0.25">
      <c r="A1" t="s">
        <v>26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  <c r="O1" s="42">
        <v>14</v>
      </c>
      <c r="P1" s="42">
        <v>15</v>
      </c>
      <c r="Q1" s="42">
        <v>16</v>
      </c>
      <c r="R1" s="42">
        <v>17</v>
      </c>
      <c r="S1" s="42">
        <v>18</v>
      </c>
      <c r="T1" s="42">
        <v>19</v>
      </c>
      <c r="U1" s="42">
        <v>20</v>
      </c>
      <c r="V1" s="42">
        <v>21</v>
      </c>
      <c r="W1" s="42">
        <v>22</v>
      </c>
      <c r="X1" s="42">
        <v>23</v>
      </c>
      <c r="Y1" s="42">
        <v>24</v>
      </c>
      <c r="Z1" t="s">
        <v>100</v>
      </c>
    </row>
    <row r="2" spans="1:26" x14ac:dyDescent="0.25">
      <c r="B2" s="13"/>
      <c r="C2" s="13"/>
      <c r="D2" s="13"/>
      <c r="E2" s="13"/>
      <c r="F2" s="13"/>
      <c r="G2" s="13"/>
      <c r="H2" s="13"/>
      <c r="I2" s="13"/>
      <c r="J2" s="13"/>
      <c r="K2" s="13" t="s">
        <v>18</v>
      </c>
      <c r="L2" s="13" t="s">
        <v>19</v>
      </c>
      <c r="M2" s="13" t="s">
        <v>21</v>
      </c>
      <c r="N2" s="13"/>
      <c r="O2" s="13"/>
      <c r="P2" s="13" t="s">
        <v>20</v>
      </c>
      <c r="Q2" s="13"/>
      <c r="R2" s="13"/>
      <c r="S2" t="s">
        <v>22</v>
      </c>
      <c r="T2" t="s">
        <v>23</v>
      </c>
      <c r="U2" t="s">
        <v>24</v>
      </c>
      <c r="V2" t="s">
        <v>25</v>
      </c>
      <c r="W2" t="s">
        <v>98</v>
      </c>
      <c r="X2" t="s">
        <v>99</v>
      </c>
      <c r="Y2" t="s">
        <v>104</v>
      </c>
    </row>
    <row r="3" spans="1:26" x14ac:dyDescent="0.25">
      <c r="A3">
        <v>2011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700000</v>
      </c>
      <c r="L3" s="13">
        <v>23700</v>
      </c>
      <c r="M3" s="13">
        <v>3500</v>
      </c>
      <c r="N3" s="43">
        <v>0</v>
      </c>
      <c r="O3" s="43">
        <v>0</v>
      </c>
      <c r="P3" s="13">
        <v>2000</v>
      </c>
      <c r="Q3" s="43">
        <v>0</v>
      </c>
      <c r="R3" s="43">
        <v>0</v>
      </c>
      <c r="S3" s="43">
        <v>100</v>
      </c>
      <c r="T3" s="43">
        <v>17320</v>
      </c>
      <c r="U3" s="91">
        <v>0</v>
      </c>
      <c r="V3" s="43">
        <v>135680</v>
      </c>
      <c r="W3" s="43">
        <v>40800</v>
      </c>
      <c r="X3" s="43">
        <v>111000</v>
      </c>
      <c r="Y3" s="43">
        <v>0</v>
      </c>
      <c r="Z3">
        <f>SUM(B3:X3)*10^-6</f>
        <v>1.0341</v>
      </c>
    </row>
    <row r="4" spans="1:26" x14ac:dyDescent="0.25">
      <c r="A4">
        <v>2012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>
        <v>834000</v>
      </c>
      <c r="L4">
        <v>23700</v>
      </c>
      <c r="M4">
        <v>5000</v>
      </c>
      <c r="N4" s="43">
        <v>0</v>
      </c>
      <c r="O4" s="43">
        <v>0</v>
      </c>
      <c r="P4">
        <v>2500</v>
      </c>
      <c r="Q4" s="43">
        <v>0</v>
      </c>
      <c r="R4" s="43">
        <v>0</v>
      </c>
      <c r="S4" s="43">
        <v>100</v>
      </c>
      <c r="T4" s="92">
        <v>18000</v>
      </c>
      <c r="U4" s="91">
        <v>0</v>
      </c>
      <c r="V4" s="92">
        <v>140000</v>
      </c>
      <c r="W4" s="91">
        <v>40800</v>
      </c>
      <c r="X4" s="43">
        <v>111000</v>
      </c>
      <c r="Y4" s="43">
        <v>0</v>
      </c>
      <c r="Z4">
        <f>SUM(B4:X4)*10^-6</f>
        <v>1.1751</v>
      </c>
    </row>
    <row r="5" spans="1:26" x14ac:dyDescent="0.25">
      <c r="A5">
        <v>2013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>
        <v>848000</v>
      </c>
      <c r="L5">
        <v>14300</v>
      </c>
      <c r="M5">
        <v>6000</v>
      </c>
      <c r="N5" s="43">
        <v>0</v>
      </c>
      <c r="O5" s="43">
        <v>0</v>
      </c>
      <c r="P5">
        <v>3000</v>
      </c>
      <c r="Q5" s="43">
        <v>0</v>
      </c>
      <c r="R5" s="43">
        <v>0</v>
      </c>
      <c r="S5" s="43">
        <v>300</v>
      </c>
      <c r="T5" s="92">
        <v>18500</v>
      </c>
      <c r="U5" s="91">
        <v>0</v>
      </c>
      <c r="V5" s="92">
        <v>145000</v>
      </c>
      <c r="W5" s="91">
        <v>142000</v>
      </c>
      <c r="X5" s="43">
        <v>102000</v>
      </c>
      <c r="Y5" s="43">
        <v>0</v>
      </c>
      <c r="Z5">
        <f>SUM(B5:X5)*10^-6</f>
        <v>1.2790999999999999</v>
      </c>
    </row>
    <row r="6" spans="1:26" x14ac:dyDescent="0.25">
      <c r="A6">
        <v>2014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>
        <v>877000</v>
      </c>
      <c r="L6">
        <v>14700</v>
      </c>
      <c r="M6">
        <v>6000</v>
      </c>
      <c r="N6" s="43">
        <v>0</v>
      </c>
      <c r="O6" s="43">
        <v>0</v>
      </c>
      <c r="P6">
        <v>4500</v>
      </c>
      <c r="Q6" s="43">
        <v>0</v>
      </c>
      <c r="R6" s="43">
        <v>0</v>
      </c>
      <c r="S6" s="43">
        <v>400</v>
      </c>
      <c r="T6" s="92">
        <v>19000</v>
      </c>
      <c r="U6" s="91">
        <v>0</v>
      </c>
      <c r="V6" s="92">
        <v>150000</v>
      </c>
      <c r="W6" s="91">
        <v>159000</v>
      </c>
      <c r="X6" s="43">
        <v>104000</v>
      </c>
      <c r="Y6" s="43">
        <v>0</v>
      </c>
      <c r="Z6">
        <f>SUM(B6:X6)*10^-6</f>
        <v>1.3346</v>
      </c>
    </row>
    <row r="7" spans="1:26" x14ac:dyDescent="0.25">
      <c r="A7">
        <v>2015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>
        <v>872000</v>
      </c>
      <c r="L7">
        <v>15600</v>
      </c>
      <c r="M7">
        <v>6630</v>
      </c>
      <c r="N7" s="43">
        <v>0</v>
      </c>
      <c r="O7" s="43">
        <v>0</v>
      </c>
      <c r="P7">
        <v>4500</v>
      </c>
      <c r="Q7" s="43">
        <v>0</v>
      </c>
      <c r="R7" s="43">
        <v>0</v>
      </c>
      <c r="S7" s="43">
        <v>400</v>
      </c>
      <c r="T7" s="43">
        <v>20150</v>
      </c>
      <c r="U7" s="91">
        <v>0</v>
      </c>
      <c r="V7" s="43">
        <v>157849</v>
      </c>
      <c r="W7" s="43">
        <v>151000</v>
      </c>
      <c r="X7" s="43">
        <v>123000</v>
      </c>
      <c r="Y7" s="43">
        <v>0</v>
      </c>
      <c r="Z7">
        <f>SUM(B7:X7)*10^-6</f>
        <v>1.351129</v>
      </c>
    </row>
    <row r="8" spans="1:26" x14ac:dyDescent="0.25">
      <c r="A8" s="42"/>
      <c r="B8" s="13"/>
      <c r="C8" s="13"/>
    </row>
    <row r="9" spans="1:26" x14ac:dyDescent="0.25">
      <c r="A9" s="42"/>
      <c r="B9" s="13"/>
      <c r="C9" s="13"/>
    </row>
    <row r="10" spans="1:26" x14ac:dyDescent="0.25">
      <c r="A10" s="42"/>
      <c r="B10" s="13"/>
      <c r="C10" s="13"/>
    </row>
    <row r="11" spans="1:26" x14ac:dyDescent="0.25">
      <c r="A11" s="42"/>
      <c r="B11" s="1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spans="1:26" x14ac:dyDescent="0.25">
      <c r="A12" s="42"/>
      <c r="B12" s="13"/>
      <c r="C12" s="43"/>
      <c r="D12" s="43"/>
      <c r="E12" s="43"/>
      <c r="F12" s="43"/>
      <c r="G12" s="43"/>
      <c r="H12" s="43"/>
      <c r="I12" s="43"/>
      <c r="J12" s="43"/>
    </row>
    <row r="13" spans="1:26" x14ac:dyDescent="0.25">
      <c r="A13" s="42"/>
      <c r="B13" s="13"/>
      <c r="C13" s="43"/>
      <c r="D13" s="43"/>
      <c r="E13" s="43"/>
      <c r="F13" s="43"/>
      <c r="G13" s="43"/>
      <c r="H13" s="43"/>
      <c r="I13" s="43"/>
      <c r="J13" s="43"/>
    </row>
    <row r="14" spans="1:26" x14ac:dyDescent="0.25">
      <c r="A14" s="42"/>
      <c r="B14" s="1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</row>
    <row r="15" spans="1:26" x14ac:dyDescent="0.25">
      <c r="A15" s="42"/>
      <c r="B15" s="13"/>
      <c r="C15" s="43"/>
      <c r="D15" s="43"/>
      <c r="E15" s="43"/>
      <c r="F15" s="43"/>
      <c r="G15" s="43"/>
      <c r="H15" s="43"/>
      <c r="I15" s="43"/>
      <c r="J15" s="43"/>
    </row>
    <row r="16" spans="1:26" x14ac:dyDescent="0.25">
      <c r="A16" s="42"/>
      <c r="B16" s="13"/>
      <c r="C16" s="13"/>
    </row>
    <row r="17" spans="1:10" x14ac:dyDescent="0.25">
      <c r="A17" s="42"/>
      <c r="B17" s="13"/>
      <c r="C17" s="43"/>
      <c r="D17" s="43"/>
      <c r="E17" s="43"/>
      <c r="F17" s="43"/>
      <c r="G17" s="43"/>
      <c r="H17" s="43"/>
      <c r="I17" s="43"/>
      <c r="J17" s="43"/>
    </row>
    <row r="18" spans="1:10" x14ac:dyDescent="0.25">
      <c r="A18" s="42"/>
      <c r="B18" s="13"/>
      <c r="C18" s="43"/>
      <c r="D18" s="43"/>
      <c r="E18" s="43"/>
      <c r="F18" s="43"/>
      <c r="G18" s="43"/>
      <c r="H18" s="43"/>
      <c r="I18" s="43"/>
      <c r="J18" s="4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zoomScale="90" zoomScaleNormal="90" workbookViewId="0">
      <selection activeCell="F6" sqref="F6:F7"/>
    </sheetView>
  </sheetViews>
  <sheetFormatPr baseColWidth="10" defaultRowHeight="15" x14ac:dyDescent="0.25"/>
  <cols>
    <col min="1" max="1" width="47.140625" bestFit="1" customWidth="1"/>
    <col min="2" max="2" width="15.28515625" bestFit="1" customWidth="1"/>
    <col min="9" max="9" width="12.85546875" bestFit="1" customWidth="1"/>
  </cols>
  <sheetData>
    <row r="1" spans="1:18" ht="26.25" x14ac:dyDescent="0.25">
      <c r="A1" s="45"/>
      <c r="B1" s="46"/>
      <c r="C1" s="72" t="s">
        <v>91</v>
      </c>
      <c r="D1" s="46" t="s">
        <v>27</v>
      </c>
      <c r="E1" s="46" t="s">
        <v>28</v>
      </c>
      <c r="F1" s="46" t="s">
        <v>29</v>
      </c>
      <c r="G1" s="46" t="s">
        <v>30</v>
      </c>
      <c r="H1" s="46" t="s">
        <v>20</v>
      </c>
      <c r="I1" s="72" t="s">
        <v>85</v>
      </c>
      <c r="J1" s="46" t="s">
        <v>22</v>
      </c>
      <c r="K1" s="46" t="s">
        <v>23</v>
      </c>
      <c r="L1" s="46" t="s">
        <v>31</v>
      </c>
      <c r="M1" s="46" t="s">
        <v>24</v>
      </c>
      <c r="N1" s="74" t="s">
        <v>95</v>
      </c>
      <c r="O1" s="74" t="s">
        <v>86</v>
      </c>
    </row>
    <row r="2" spans="1:18" x14ac:dyDescent="0.25">
      <c r="A2" s="45"/>
      <c r="B2" s="46"/>
      <c r="C2" s="46"/>
      <c r="D2" s="46"/>
      <c r="E2" s="46"/>
      <c r="F2" s="46" t="s">
        <v>32</v>
      </c>
      <c r="G2" s="46" t="s">
        <v>32</v>
      </c>
      <c r="H2" s="46" t="s">
        <v>32</v>
      </c>
      <c r="I2" s="46"/>
      <c r="J2" s="46"/>
      <c r="K2" s="46"/>
      <c r="L2" s="46"/>
      <c r="M2" s="46"/>
    </row>
    <row r="3" spans="1:18" x14ac:dyDescent="0.25">
      <c r="A3" s="45" t="s">
        <v>80</v>
      </c>
      <c r="B3" s="47" t="s">
        <v>33</v>
      </c>
      <c r="C3" s="73">
        <v>0.35</v>
      </c>
      <c r="D3" s="73">
        <v>0.23</v>
      </c>
      <c r="E3" s="82">
        <v>0.91</v>
      </c>
      <c r="F3" s="73">
        <v>0.65</v>
      </c>
      <c r="G3" s="82">
        <v>0.45</v>
      </c>
      <c r="H3" s="73">
        <v>0.8</v>
      </c>
      <c r="I3" s="73">
        <v>0.87</v>
      </c>
      <c r="J3" s="73">
        <v>0.28000000000000003</v>
      </c>
      <c r="K3" s="73">
        <v>0.35</v>
      </c>
      <c r="L3" s="73">
        <v>0.35</v>
      </c>
      <c r="M3" s="73">
        <v>0.28000000000000003</v>
      </c>
      <c r="N3" s="73">
        <v>0.87</v>
      </c>
      <c r="O3" s="73">
        <v>0.35</v>
      </c>
    </row>
    <row r="4" spans="1:18" x14ac:dyDescent="0.25">
      <c r="A4" s="45"/>
      <c r="B4" s="47" t="s">
        <v>34</v>
      </c>
      <c r="C4" s="67">
        <f>C11/(C6*C3)</f>
        <v>11.493506493506494</v>
      </c>
      <c r="D4" s="67">
        <f>D11/(D6*D3)</f>
        <v>11.814744801512285</v>
      </c>
      <c r="E4" s="82">
        <v>26.5</v>
      </c>
      <c r="F4" s="67">
        <f>F11/(F6*F3)</f>
        <v>17.135709818636645</v>
      </c>
      <c r="G4" s="82">
        <v>17.600000000000001</v>
      </c>
      <c r="H4" s="67">
        <f t="shared" ref="H4:O4" si="0">H11/(H6*H3)</f>
        <v>17.055555555555554</v>
      </c>
      <c r="I4" s="67">
        <f t="shared" si="0"/>
        <v>11.770595690747783</v>
      </c>
      <c r="J4" s="67">
        <f t="shared" si="0"/>
        <v>9.2975206611570247</v>
      </c>
      <c r="K4" s="67">
        <f t="shared" si="0"/>
        <v>10.873015873015873</v>
      </c>
      <c r="L4" s="67">
        <f t="shared" si="0"/>
        <v>10.204081632653063</v>
      </c>
      <c r="M4" s="67">
        <f t="shared" si="0"/>
        <v>10.281385281385282</v>
      </c>
      <c r="N4" s="67">
        <f t="shared" si="0"/>
        <v>13.240215335370289</v>
      </c>
      <c r="O4" s="67">
        <f t="shared" si="0"/>
        <v>11.2012987012987</v>
      </c>
    </row>
    <row r="5" spans="1:18" x14ac:dyDescent="0.25">
      <c r="A5" s="45"/>
      <c r="B5" s="47" t="s">
        <v>35</v>
      </c>
      <c r="C5" s="67">
        <f>C4*C3</f>
        <v>4.0227272727272725</v>
      </c>
      <c r="D5" s="67">
        <f t="shared" ref="D5:O5" si="1">D4*D3</f>
        <v>2.7173913043478257</v>
      </c>
      <c r="E5" s="82">
        <f t="shared" si="1"/>
        <v>24.115000000000002</v>
      </c>
      <c r="F5" s="67">
        <f>F4*F3</f>
        <v>11.13821138211382</v>
      </c>
      <c r="G5" s="82">
        <f>G4*G3</f>
        <v>7.9200000000000008</v>
      </c>
      <c r="H5" s="67">
        <f>H4*H3</f>
        <v>13.644444444444444</v>
      </c>
      <c r="I5" s="67">
        <f t="shared" si="1"/>
        <v>10.240418250950571</v>
      </c>
      <c r="J5" s="67">
        <f t="shared" si="1"/>
        <v>2.6033057851239674</v>
      </c>
      <c r="K5" s="67">
        <f t="shared" si="1"/>
        <v>3.8055555555555554</v>
      </c>
      <c r="L5" s="67">
        <f t="shared" si="1"/>
        <v>3.5714285714285716</v>
      </c>
      <c r="M5" s="67">
        <f t="shared" si="1"/>
        <v>2.8787878787878789</v>
      </c>
      <c r="N5" s="67">
        <f t="shared" si="1"/>
        <v>11.518987341772151</v>
      </c>
      <c r="O5" s="67">
        <f t="shared" si="1"/>
        <v>3.920454545454545</v>
      </c>
      <c r="Q5" s="91"/>
      <c r="R5" s="91"/>
    </row>
    <row r="6" spans="1:18" x14ac:dyDescent="0.25">
      <c r="A6" s="45" t="s">
        <v>76</v>
      </c>
      <c r="B6" s="47" t="s">
        <v>36</v>
      </c>
      <c r="C6" s="73">
        <v>44</v>
      </c>
      <c r="D6" s="73">
        <v>55.2</v>
      </c>
      <c r="E6" s="82">
        <v>3.5</v>
      </c>
      <c r="F6" s="73">
        <v>12.3</v>
      </c>
      <c r="G6" s="82">
        <v>11</v>
      </c>
      <c r="H6" s="73">
        <f>16/H3</f>
        <v>20</v>
      </c>
      <c r="I6" s="73">
        <f>7.89/I3</f>
        <v>9.068965517241379</v>
      </c>
      <c r="J6" s="73">
        <v>48.4</v>
      </c>
      <c r="K6" s="73">
        <v>36</v>
      </c>
      <c r="L6" s="73">
        <v>25.2</v>
      </c>
      <c r="M6" s="73">
        <v>52.8</v>
      </c>
      <c r="N6" s="73">
        <v>7.9</v>
      </c>
      <c r="O6" s="73">
        <v>35.200000000000003</v>
      </c>
      <c r="Q6" s="91"/>
      <c r="R6" s="91"/>
    </row>
    <row r="7" spans="1:18" x14ac:dyDescent="0.25">
      <c r="A7" s="45" t="s">
        <v>77</v>
      </c>
      <c r="B7" s="47" t="s">
        <v>37</v>
      </c>
      <c r="C7" s="73">
        <v>44</v>
      </c>
      <c r="D7" s="73">
        <v>55.2</v>
      </c>
      <c r="E7" s="82">
        <v>3.5</v>
      </c>
      <c r="F7" s="73">
        <v>12.3</v>
      </c>
      <c r="G7" s="82">
        <v>20</v>
      </c>
      <c r="H7" s="73">
        <f>16/H3</f>
        <v>20</v>
      </c>
      <c r="I7" s="73">
        <f>7.89/I3</f>
        <v>9.068965517241379</v>
      </c>
      <c r="J7" s="73">
        <v>48.4</v>
      </c>
      <c r="K7" s="79">
        <v>36</v>
      </c>
      <c r="L7" s="73">
        <v>25.2</v>
      </c>
      <c r="M7" s="73">
        <v>52.8</v>
      </c>
      <c r="N7" s="73">
        <v>7.9</v>
      </c>
      <c r="O7" s="73">
        <v>35.200000000000003</v>
      </c>
      <c r="Q7" s="91"/>
      <c r="R7" s="91"/>
    </row>
    <row r="8" spans="1:18" x14ac:dyDescent="0.25">
      <c r="A8" s="45" t="s">
        <v>78</v>
      </c>
      <c r="B8" s="47" t="s">
        <v>38</v>
      </c>
      <c r="C8" s="67"/>
      <c r="D8" s="67"/>
      <c r="E8" s="82"/>
      <c r="F8" s="67"/>
      <c r="G8" s="82"/>
      <c r="H8" s="67"/>
      <c r="I8" s="67"/>
      <c r="J8" s="67"/>
      <c r="K8" s="67"/>
      <c r="L8" s="67"/>
      <c r="M8" s="67"/>
      <c r="N8" s="67"/>
      <c r="O8" s="67"/>
      <c r="Q8" s="91"/>
      <c r="R8" s="91"/>
    </row>
    <row r="9" spans="1:18" x14ac:dyDescent="0.25">
      <c r="A9" s="45" t="s">
        <v>79</v>
      </c>
      <c r="B9" s="47" t="s">
        <v>39</v>
      </c>
      <c r="C9" s="67"/>
      <c r="D9" s="67"/>
      <c r="E9" s="82"/>
      <c r="F9" s="67"/>
      <c r="G9" s="82"/>
      <c r="H9" s="67"/>
      <c r="I9" s="67"/>
      <c r="J9" s="67"/>
      <c r="K9" s="68"/>
      <c r="L9" s="67"/>
      <c r="M9" s="67"/>
      <c r="Q9" s="91"/>
      <c r="R9" s="91"/>
    </row>
    <row r="10" spans="1:18" x14ac:dyDescent="0.25">
      <c r="A10" s="45" t="s">
        <v>40</v>
      </c>
      <c r="B10" s="47" t="s">
        <v>36</v>
      </c>
      <c r="C10" s="66"/>
      <c r="D10" s="66"/>
      <c r="E10" s="83"/>
      <c r="F10" s="66"/>
      <c r="G10" s="83"/>
      <c r="H10" s="66"/>
      <c r="I10" s="66"/>
      <c r="J10" s="67"/>
      <c r="K10" s="67"/>
      <c r="L10" s="67"/>
      <c r="M10" s="67"/>
      <c r="Q10" s="91"/>
      <c r="R10" s="91"/>
    </row>
    <row r="11" spans="1:18" x14ac:dyDescent="0.25">
      <c r="A11" s="45" t="s">
        <v>92</v>
      </c>
      <c r="B11" s="50" t="s">
        <v>41</v>
      </c>
      <c r="C11" s="73">
        <v>177</v>
      </c>
      <c r="D11" s="73">
        <v>150</v>
      </c>
      <c r="E11" s="82">
        <f t="shared" ref="E11:G11" si="2">E5*E6</f>
        <v>84.402500000000003</v>
      </c>
      <c r="F11" s="73">
        <v>137</v>
      </c>
      <c r="G11" s="82">
        <f t="shared" si="2"/>
        <v>87.12</v>
      </c>
      <c r="H11" s="73">
        <f>(16/18)*307</f>
        <v>272.88888888888886</v>
      </c>
      <c r="I11" s="73">
        <v>92.87</v>
      </c>
      <c r="J11" s="73">
        <v>126</v>
      </c>
      <c r="K11" s="73">
        <v>137</v>
      </c>
      <c r="L11" s="73">
        <v>90</v>
      </c>
      <c r="M11" s="73">
        <v>152</v>
      </c>
      <c r="N11" s="73">
        <v>91</v>
      </c>
      <c r="O11" s="73">
        <v>138</v>
      </c>
      <c r="Q11" s="67"/>
      <c r="R11" s="91"/>
    </row>
    <row r="12" spans="1:18" x14ac:dyDescent="0.25">
      <c r="A12" s="45" t="s">
        <v>93</v>
      </c>
      <c r="B12" s="50" t="s">
        <v>42</v>
      </c>
      <c r="C12" s="73">
        <v>177</v>
      </c>
      <c r="D12" s="73">
        <v>150</v>
      </c>
      <c r="E12" s="82">
        <f t="shared" ref="E12:G12" si="3">E5*E7</f>
        <v>84.402500000000003</v>
      </c>
      <c r="F12" s="73">
        <v>137</v>
      </c>
      <c r="G12" s="82">
        <f t="shared" si="3"/>
        <v>158.4</v>
      </c>
      <c r="H12" s="73">
        <f>(16/18)*307</f>
        <v>272.88888888888886</v>
      </c>
      <c r="I12" s="73">
        <v>92.87</v>
      </c>
      <c r="J12" s="73">
        <v>126</v>
      </c>
      <c r="K12" s="73">
        <v>137</v>
      </c>
      <c r="L12" s="73">
        <v>90</v>
      </c>
      <c r="M12" s="73">
        <v>152</v>
      </c>
      <c r="N12" s="73">
        <v>91</v>
      </c>
      <c r="O12" s="73">
        <v>138</v>
      </c>
      <c r="Q12" s="67"/>
      <c r="R12" s="91"/>
    </row>
    <row r="13" spans="1:18" x14ac:dyDescent="0.25">
      <c r="A13" s="126" t="s">
        <v>87</v>
      </c>
      <c r="B13" s="50" t="s">
        <v>43</v>
      </c>
      <c r="C13" s="57">
        <f t="shared" ref="C13:E14" si="4">C17/(C6*C$3)</f>
        <v>104.16954656382065</v>
      </c>
      <c r="D13" s="57">
        <f t="shared" si="4"/>
        <v>137.08263209537159</v>
      </c>
      <c r="E13" s="84">
        <f t="shared" si="4"/>
        <v>521.45275261627557</v>
      </c>
      <c r="F13" s="57">
        <f t="shared" ref="F13:M14" si="5">F17/(F6*F$3)</f>
        <v>159.58261001661509</v>
      </c>
      <c r="G13" s="84">
        <f t="shared" si="5"/>
        <v>237.32667011774501</v>
      </c>
      <c r="H13" s="57">
        <f t="shared" si="5"/>
        <v>77.942938567677359</v>
      </c>
      <c r="I13" s="75">
        <v>166</v>
      </c>
      <c r="J13" s="57">
        <f t="shared" si="5"/>
        <v>95.995139985451402</v>
      </c>
      <c r="K13" s="57">
        <f t="shared" si="5"/>
        <v>147.24055691133631</v>
      </c>
      <c r="L13" s="57">
        <f t="shared" si="5"/>
        <v>171.4560563585984</v>
      </c>
      <c r="M13" s="57">
        <f t="shared" si="5"/>
        <v>104.4059778870967</v>
      </c>
      <c r="N13" s="57">
        <f t="shared" ref="N13:O13" si="6">N17/(N6*N$3)</f>
        <v>227.28465547546017</v>
      </c>
      <c r="O13" s="57">
        <f t="shared" si="6"/>
        <v>109.13423839958098</v>
      </c>
      <c r="Q13" s="91"/>
      <c r="R13" s="91"/>
    </row>
    <row r="14" spans="1:18" x14ac:dyDescent="0.25">
      <c r="A14" s="126"/>
      <c r="B14" s="50" t="s">
        <v>44</v>
      </c>
      <c r="C14" s="57">
        <f t="shared" si="4"/>
        <v>355.66462303690548</v>
      </c>
      <c r="D14" s="57">
        <f t="shared" si="4"/>
        <v>442.05460576310202</v>
      </c>
      <c r="E14" s="84">
        <f t="shared" si="4"/>
        <v>1724.0035148409243</v>
      </c>
      <c r="F14" s="57">
        <f t="shared" si="5"/>
        <v>628.89270103418926</v>
      </c>
      <c r="G14" s="84">
        <f t="shared" si="5"/>
        <v>547.43346608537149</v>
      </c>
      <c r="H14" s="57">
        <f t="shared" si="5"/>
        <v>314.9056996730215</v>
      </c>
      <c r="I14" s="67">
        <f>I13*(1+C51)^39</f>
        <v>525.72647909887962</v>
      </c>
      <c r="J14" s="57">
        <f t="shared" si="5"/>
        <v>378.66811649707375</v>
      </c>
      <c r="K14" s="57">
        <f t="shared" si="5"/>
        <v>459.77422180701143</v>
      </c>
      <c r="L14" s="57">
        <f t="shared" si="5"/>
        <v>613.11802661772617</v>
      </c>
      <c r="M14" s="57">
        <f t="shared" si="5"/>
        <v>366.0823968322743</v>
      </c>
      <c r="N14" s="57">
        <f t="shared" ref="N14:O14" si="7">N18/(N7*N$3)</f>
        <v>784.55574200034096</v>
      </c>
      <c r="O14" s="57">
        <f t="shared" si="7"/>
        <v>422.16379827665128</v>
      </c>
    </row>
    <row r="15" spans="1:18" x14ac:dyDescent="0.25">
      <c r="A15" s="126"/>
      <c r="B15" s="50" t="s">
        <v>45</v>
      </c>
      <c r="C15" s="57">
        <f t="shared" ref="C15:M16" si="8">C13/C$4</f>
        <v>9.0633390795640558</v>
      </c>
      <c r="D15" s="57">
        <f t="shared" si="8"/>
        <v>11.602673980552254</v>
      </c>
      <c r="E15" s="84">
        <f t="shared" si="8"/>
        <v>19.677462362878323</v>
      </c>
      <c r="F15" s="57">
        <f>F13/F$4</f>
        <v>9.3128683728674293</v>
      </c>
      <c r="G15" s="84">
        <f t="shared" si="8"/>
        <v>13.484469893053692</v>
      </c>
      <c r="H15" s="57">
        <f t="shared" si="8"/>
        <v>4.5699442808410184</v>
      </c>
      <c r="I15" s="57">
        <f t="shared" si="8"/>
        <v>14.102939592979434</v>
      </c>
      <c r="J15" s="57">
        <f t="shared" si="8"/>
        <v>10.324810611768552</v>
      </c>
      <c r="K15" s="57">
        <f t="shared" si="8"/>
        <v>13.541832241480565</v>
      </c>
      <c r="L15" s="57">
        <f t="shared" si="8"/>
        <v>16.80269352314264</v>
      </c>
      <c r="M15" s="57">
        <f t="shared" si="8"/>
        <v>10.154855112387089</v>
      </c>
      <c r="N15" s="57">
        <f t="shared" ref="N15:O15" si="9">N13/N$4</f>
        <v>17.166235572338877</v>
      </c>
      <c r="O15" s="57">
        <f t="shared" si="9"/>
        <v>9.7429986745133164</v>
      </c>
    </row>
    <row r="16" spans="1:18" x14ac:dyDescent="0.25">
      <c r="A16" s="126"/>
      <c r="B16" s="50" t="s">
        <v>46</v>
      </c>
      <c r="C16" s="57">
        <f t="shared" si="8"/>
        <v>30.944831608860699</v>
      </c>
      <c r="D16" s="57">
        <f t="shared" si="8"/>
        <v>37.415501831788958</v>
      </c>
      <c r="E16" s="84">
        <f t="shared" si="8"/>
        <v>65.056736409091485</v>
      </c>
      <c r="F16" s="57">
        <f t="shared" si="8"/>
        <v>36.700709085900321</v>
      </c>
      <c r="G16" s="84">
        <f t="shared" si="8"/>
        <v>31.104174209396106</v>
      </c>
      <c r="H16" s="57">
        <f t="shared" si="8"/>
        <v>18.463526365193445</v>
      </c>
      <c r="I16" s="57">
        <f t="shared" si="8"/>
        <v>44.664390223863037</v>
      </c>
      <c r="J16" s="57">
        <f t="shared" si="8"/>
        <v>40.727859641018597</v>
      </c>
      <c r="K16" s="57">
        <f t="shared" si="8"/>
        <v>42.285804341374771</v>
      </c>
      <c r="L16" s="57">
        <f t="shared" si="8"/>
        <v>60.085566608537157</v>
      </c>
      <c r="M16" s="57">
        <f t="shared" si="8"/>
        <v>35.606329965581203</v>
      </c>
      <c r="N16" s="57">
        <f t="shared" ref="N16:O16" si="10">N14/N$4</f>
        <v>59.255512250201576</v>
      </c>
      <c r="O16" s="57">
        <f t="shared" si="10"/>
        <v>37.688826049045971</v>
      </c>
    </row>
    <row r="17" spans="1:15" x14ac:dyDescent="0.25">
      <c r="A17" s="126"/>
      <c r="B17" s="50" t="s">
        <v>47</v>
      </c>
      <c r="C17" s="57">
        <f>C27+$I$37</f>
        <v>1604.2110170828378</v>
      </c>
      <c r="D17" s="57">
        <f>D27+$I$37</f>
        <v>1740.4010970828379</v>
      </c>
      <c r="E17" s="84">
        <f>(E27+$I$37)</f>
        <v>1660.8270170828378</v>
      </c>
      <c r="F17" s="57">
        <f>F27+$I$37</f>
        <v>1275.8629670828377</v>
      </c>
      <c r="G17" s="84">
        <f>G27+$I$37</f>
        <v>1174.7670170828378</v>
      </c>
      <c r="H17" s="57">
        <f>H27+$I$37</f>
        <v>1247.0870170828377</v>
      </c>
      <c r="I17" s="57">
        <f>I13*I6/I3</f>
        <v>1730.4003170828378</v>
      </c>
      <c r="J17" s="57">
        <f t="shared" ref="J17:O17" si="11">J27+$I$37</f>
        <v>1300.9261370828376</v>
      </c>
      <c r="K17" s="57">
        <f t="shared" si="11"/>
        <v>1855.2310170828375</v>
      </c>
      <c r="L17" s="57">
        <f t="shared" si="11"/>
        <v>1512.2424170828376</v>
      </c>
      <c r="M17" s="57">
        <f t="shared" si="11"/>
        <v>1543.5379770828376</v>
      </c>
      <c r="N17" s="57">
        <f t="shared" si="11"/>
        <v>1562.1274370828378</v>
      </c>
      <c r="O17" s="57">
        <f t="shared" si="11"/>
        <v>1344.5338170828377</v>
      </c>
    </row>
    <row r="18" spans="1:15" x14ac:dyDescent="0.25">
      <c r="A18" s="127"/>
      <c r="B18" s="51" t="s">
        <v>48</v>
      </c>
      <c r="C18" s="69">
        <f t="shared" ref="C18:M18" si="12">C36+$I$38</f>
        <v>5477.2351947683437</v>
      </c>
      <c r="D18" s="69">
        <f t="shared" si="12"/>
        <v>5612.3252747683437</v>
      </c>
      <c r="E18" s="85">
        <f t="shared" si="12"/>
        <v>5490.9511947683441</v>
      </c>
      <c r="F18" s="69">
        <f t="shared" si="12"/>
        <v>5027.9971447683438</v>
      </c>
      <c r="G18" s="85">
        <f t="shared" si="12"/>
        <v>4926.9011947683439</v>
      </c>
      <c r="H18" s="69">
        <f t="shared" si="12"/>
        <v>5038.491194768344</v>
      </c>
      <c r="I18" s="69">
        <f>I14*I7/I3</f>
        <v>5480.2244947683439</v>
      </c>
      <c r="J18" s="69">
        <f t="shared" si="12"/>
        <v>5131.7103147683438</v>
      </c>
      <c r="K18" s="69">
        <f t="shared" si="12"/>
        <v>5793.1551947683438</v>
      </c>
      <c r="L18" s="69">
        <f t="shared" si="12"/>
        <v>5407.7009947683437</v>
      </c>
      <c r="M18" s="69">
        <f t="shared" si="12"/>
        <v>5412.1621547683435</v>
      </c>
      <c r="N18" s="69">
        <f t="shared" ref="N18:O18" si="13">N36+$I$38</f>
        <v>5392.2516147683436</v>
      </c>
      <c r="O18" s="69">
        <f t="shared" si="13"/>
        <v>5201.0579947683436</v>
      </c>
    </row>
    <row r="19" spans="1:15" x14ac:dyDescent="0.25">
      <c r="A19" s="52" t="s">
        <v>58</v>
      </c>
      <c r="B19" s="53" t="s">
        <v>49</v>
      </c>
      <c r="C19" s="64">
        <v>10.8</v>
      </c>
      <c r="D19" s="64">
        <v>7.8</v>
      </c>
      <c r="E19" s="86">
        <v>5.5</v>
      </c>
      <c r="F19" s="64">
        <v>0.3</v>
      </c>
      <c r="G19" s="86">
        <v>0.3</v>
      </c>
      <c r="H19" s="64">
        <v>4.8</v>
      </c>
      <c r="I19" s="64">
        <v>4.45</v>
      </c>
      <c r="J19" s="73">
        <v>7.7</v>
      </c>
      <c r="K19" s="73">
        <v>15.5</v>
      </c>
      <c r="L19" s="73">
        <v>11.4</v>
      </c>
      <c r="M19" s="73">
        <v>10.5</v>
      </c>
      <c r="N19" s="73">
        <v>5.4</v>
      </c>
      <c r="O19" s="73">
        <v>8</v>
      </c>
    </row>
    <row r="20" spans="1:15" x14ac:dyDescent="0.25">
      <c r="A20" s="52" t="s">
        <v>84</v>
      </c>
      <c r="B20" s="50" t="s">
        <v>51</v>
      </c>
      <c r="C20" s="64">
        <v>0</v>
      </c>
      <c r="D20" s="64">
        <v>121</v>
      </c>
      <c r="E20" s="86">
        <v>0</v>
      </c>
      <c r="F20" s="64">
        <v>564</v>
      </c>
      <c r="G20" s="86">
        <v>440</v>
      </c>
      <c r="H20" s="64">
        <v>0</v>
      </c>
      <c r="I20" s="64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</row>
    <row r="21" spans="1:15" x14ac:dyDescent="0.25">
      <c r="A21" s="50" t="s">
        <v>59</v>
      </c>
      <c r="B21" s="50" t="s">
        <v>51</v>
      </c>
      <c r="C21" s="57">
        <f t="shared" ref="C21:O21" si="14">C19*$C$46+C20</f>
        <v>162</v>
      </c>
      <c r="D21" s="57">
        <f t="shared" si="14"/>
        <v>238</v>
      </c>
      <c r="E21" s="84">
        <f t="shared" si="14"/>
        <v>82.5</v>
      </c>
      <c r="F21" s="57">
        <f t="shared" si="14"/>
        <v>568.5</v>
      </c>
      <c r="G21" s="84">
        <f t="shared" si="14"/>
        <v>444.5</v>
      </c>
      <c r="H21" s="57">
        <f t="shared" si="14"/>
        <v>72</v>
      </c>
      <c r="I21" s="57">
        <f t="shared" si="14"/>
        <v>66.75</v>
      </c>
      <c r="J21" s="57">
        <f t="shared" si="14"/>
        <v>115.5</v>
      </c>
      <c r="K21" s="57">
        <f t="shared" si="14"/>
        <v>232.5</v>
      </c>
      <c r="L21" s="57">
        <f t="shared" si="14"/>
        <v>171</v>
      </c>
      <c r="M21" s="57">
        <f t="shared" si="14"/>
        <v>157.5</v>
      </c>
      <c r="N21" s="57">
        <f t="shared" si="14"/>
        <v>81</v>
      </c>
      <c r="O21" s="57">
        <f t="shared" si="14"/>
        <v>120</v>
      </c>
    </row>
    <row r="22" spans="1:15" x14ac:dyDescent="0.25">
      <c r="A22" s="52" t="s">
        <v>60</v>
      </c>
      <c r="B22" s="53" t="s">
        <v>52</v>
      </c>
      <c r="C22" s="64">
        <v>112</v>
      </c>
      <c r="D22" s="64">
        <v>111</v>
      </c>
      <c r="E22" s="86">
        <v>73</v>
      </c>
      <c r="F22" s="64">
        <v>2.1</v>
      </c>
      <c r="G22" s="86">
        <v>2.1</v>
      </c>
      <c r="H22" s="64">
        <v>37.799999999999997</v>
      </c>
      <c r="I22" s="64">
        <v>35.57</v>
      </c>
      <c r="J22" s="73">
        <v>73.599999999999994</v>
      </c>
      <c r="K22" s="64">
        <v>171</v>
      </c>
      <c r="L22" s="65">
        <v>117</v>
      </c>
      <c r="M22" s="64">
        <v>108</v>
      </c>
      <c r="N22" s="64">
        <v>73</v>
      </c>
      <c r="O22" s="64">
        <v>97</v>
      </c>
    </row>
    <row r="23" spans="1:15" x14ac:dyDescent="0.25">
      <c r="A23" s="54" t="s">
        <v>61</v>
      </c>
      <c r="B23" s="55" t="s">
        <v>51</v>
      </c>
      <c r="C23" s="57">
        <f t="shared" ref="C23:O23" si="15">C22*$C$48</f>
        <v>123.20000000000002</v>
      </c>
      <c r="D23" s="57">
        <f t="shared" si="15"/>
        <v>122.10000000000001</v>
      </c>
      <c r="E23" s="84">
        <f t="shared" si="15"/>
        <v>80.300000000000011</v>
      </c>
      <c r="F23" s="57">
        <f t="shared" si="15"/>
        <v>2.3100000000000005</v>
      </c>
      <c r="G23" s="84">
        <f t="shared" si="15"/>
        <v>2.3100000000000005</v>
      </c>
      <c r="H23" s="57">
        <f t="shared" si="15"/>
        <v>41.58</v>
      </c>
      <c r="I23" s="57">
        <f t="shared" si="15"/>
        <v>39.127000000000002</v>
      </c>
      <c r="J23" s="57">
        <f t="shared" si="15"/>
        <v>80.959999999999994</v>
      </c>
      <c r="K23" s="57">
        <f t="shared" si="15"/>
        <v>188.10000000000002</v>
      </c>
      <c r="L23" s="57">
        <f t="shared" si="15"/>
        <v>128.70000000000002</v>
      </c>
      <c r="M23" s="57">
        <f t="shared" si="15"/>
        <v>118.80000000000001</v>
      </c>
      <c r="N23" s="57">
        <f t="shared" si="15"/>
        <v>80.300000000000011</v>
      </c>
      <c r="O23" s="57">
        <f t="shared" si="15"/>
        <v>106.7</v>
      </c>
    </row>
    <row r="24" spans="1:15" x14ac:dyDescent="0.25">
      <c r="A24" s="45" t="s">
        <v>62</v>
      </c>
      <c r="B24" s="50" t="s">
        <v>53</v>
      </c>
      <c r="C24" s="65">
        <v>292</v>
      </c>
      <c r="D24" s="65">
        <v>318</v>
      </c>
      <c r="E24" s="84">
        <v>176</v>
      </c>
      <c r="F24" s="65">
        <v>5.39</v>
      </c>
      <c r="G24" s="84">
        <v>5.45</v>
      </c>
      <c r="H24" s="65">
        <v>130</v>
      </c>
      <c r="I24" s="65">
        <v>209.55</v>
      </c>
      <c r="J24" s="73">
        <v>205</v>
      </c>
      <c r="K24" s="64">
        <v>344</v>
      </c>
      <c r="L24" s="65">
        <v>271</v>
      </c>
      <c r="M24" s="64">
        <v>285</v>
      </c>
      <c r="N24" s="64">
        <v>164</v>
      </c>
      <c r="O24" s="64">
        <v>196</v>
      </c>
    </row>
    <row r="25" spans="1:15" x14ac:dyDescent="0.25">
      <c r="A25" s="45"/>
      <c r="B25" s="50" t="s">
        <v>54</v>
      </c>
      <c r="C25" s="65">
        <v>248</v>
      </c>
      <c r="D25" s="65">
        <v>291</v>
      </c>
      <c r="E25" s="84">
        <v>148</v>
      </c>
      <c r="F25" s="65">
        <v>7.09</v>
      </c>
      <c r="G25" s="84">
        <v>7.12</v>
      </c>
      <c r="H25" s="65">
        <v>85.87</v>
      </c>
      <c r="I25" s="65">
        <v>100.7</v>
      </c>
      <c r="J25" s="73">
        <v>170</v>
      </c>
      <c r="K25" s="64">
        <v>356</v>
      </c>
      <c r="L25" s="65">
        <v>248</v>
      </c>
      <c r="M25" s="64">
        <v>244</v>
      </c>
      <c r="N25" s="64">
        <v>146</v>
      </c>
      <c r="O25" s="64">
        <v>197</v>
      </c>
    </row>
    <row r="26" spans="1:15" x14ac:dyDescent="0.25">
      <c r="A26" s="45" t="s">
        <v>94</v>
      </c>
      <c r="B26" s="50" t="s">
        <v>51</v>
      </c>
      <c r="C26" s="65">
        <f>8.11*C6*C3</f>
        <v>124.89399999999998</v>
      </c>
      <c r="D26" s="65">
        <f>9.23*D6*D3</f>
        <v>117.18408000000001</v>
      </c>
      <c r="E26" s="84">
        <v>519.91</v>
      </c>
      <c r="F26" s="65">
        <f>4.81*F6*F3</f>
        <v>38.455950000000001</v>
      </c>
      <c r="G26" s="84">
        <f>5.57*G6</f>
        <v>61.27</v>
      </c>
      <c r="H26" s="65">
        <f>16.47*H6*H3</f>
        <v>263.52</v>
      </c>
      <c r="I26" s="65">
        <f>83.67*I6*I3</f>
        <v>660.15629999999999</v>
      </c>
      <c r="J26" s="65">
        <f>5.56*J6*J3</f>
        <v>75.349119999999999</v>
      </c>
      <c r="K26" s="65">
        <f>6.39*K6*K3</f>
        <v>80.513999999999996</v>
      </c>
      <c r="L26" s="65">
        <f>4.47*L6*L3</f>
        <v>39.425399999999996</v>
      </c>
      <c r="M26" s="65">
        <f>5.69*M6*M3</f>
        <v>84.120960000000011</v>
      </c>
      <c r="N26" s="63">
        <f>63.54*N6*N3</f>
        <v>436.71042</v>
      </c>
      <c r="O26" s="64">
        <f>5.74*O6*O3</f>
        <v>70.716800000000006</v>
      </c>
    </row>
    <row r="27" spans="1:15" ht="15.75" x14ac:dyDescent="0.25">
      <c r="A27" s="77" t="s">
        <v>88</v>
      </c>
      <c r="B27" s="51" t="s">
        <v>51</v>
      </c>
      <c r="C27" s="70">
        <f>C21+C23+C24+C25+C26</f>
        <v>950.09400000000005</v>
      </c>
      <c r="D27" s="70">
        <f t="shared" ref="D27:O27" si="16">D21+D23+D24+D25+D26</f>
        <v>1086.2840800000001</v>
      </c>
      <c r="E27" s="87">
        <f t="shared" si="16"/>
        <v>1006.71</v>
      </c>
      <c r="F27" s="70">
        <f t="shared" si="16"/>
        <v>621.74594999999999</v>
      </c>
      <c r="G27" s="87">
        <f t="shared" si="16"/>
        <v>520.65</v>
      </c>
      <c r="H27" s="70">
        <f t="shared" si="16"/>
        <v>592.97</v>
      </c>
      <c r="I27" s="70">
        <f t="shared" si="16"/>
        <v>1076.2833000000001</v>
      </c>
      <c r="J27" s="70">
        <f t="shared" si="16"/>
        <v>646.80912000000001</v>
      </c>
      <c r="K27" s="70">
        <f t="shared" si="16"/>
        <v>1201.1139999999998</v>
      </c>
      <c r="L27" s="70">
        <f t="shared" si="16"/>
        <v>858.12540000000001</v>
      </c>
      <c r="M27" s="70">
        <f t="shared" si="16"/>
        <v>889.42095999999992</v>
      </c>
      <c r="N27" s="70">
        <f t="shared" si="16"/>
        <v>908.01042000000007</v>
      </c>
      <c r="O27" s="70">
        <f t="shared" si="16"/>
        <v>690.41680000000008</v>
      </c>
    </row>
    <row r="28" spans="1:15" x14ac:dyDescent="0.25">
      <c r="A28" s="52" t="s">
        <v>63</v>
      </c>
      <c r="B28" s="53" t="s">
        <v>49</v>
      </c>
      <c r="C28" s="64">
        <v>10.8</v>
      </c>
      <c r="D28" s="64">
        <v>7.8</v>
      </c>
      <c r="E28" s="86">
        <v>5.5</v>
      </c>
      <c r="F28" s="64">
        <v>0.3</v>
      </c>
      <c r="G28" s="86">
        <v>0.3</v>
      </c>
      <c r="H28" s="64">
        <v>4.8</v>
      </c>
      <c r="I28" s="64">
        <v>4.45</v>
      </c>
      <c r="J28" s="73">
        <v>7.7</v>
      </c>
      <c r="K28" s="80">
        <v>15.5</v>
      </c>
      <c r="L28" s="90">
        <v>11.4</v>
      </c>
      <c r="M28" s="90">
        <v>10.5</v>
      </c>
      <c r="N28" s="73">
        <v>5.4</v>
      </c>
      <c r="O28" s="73">
        <v>8</v>
      </c>
    </row>
    <row r="29" spans="1:15" x14ac:dyDescent="0.25">
      <c r="A29" s="52" t="s">
        <v>84</v>
      </c>
      <c r="B29" s="50" t="s">
        <v>51</v>
      </c>
      <c r="C29" s="64">
        <v>0</v>
      </c>
      <c r="D29" s="64">
        <v>121</v>
      </c>
      <c r="E29" s="86">
        <v>0</v>
      </c>
      <c r="F29" s="64">
        <v>564</v>
      </c>
      <c r="G29" s="86">
        <v>440</v>
      </c>
      <c r="H29" s="64">
        <v>0</v>
      </c>
      <c r="I29" s="64">
        <v>0</v>
      </c>
      <c r="J29" s="73">
        <v>0</v>
      </c>
      <c r="K29" s="80">
        <v>0</v>
      </c>
      <c r="L29" s="90">
        <v>0</v>
      </c>
      <c r="M29" s="90">
        <v>0</v>
      </c>
      <c r="N29" s="73">
        <v>0</v>
      </c>
      <c r="O29" s="73">
        <v>0</v>
      </c>
    </row>
    <row r="30" spans="1:15" x14ac:dyDescent="0.25">
      <c r="A30" s="50" t="s">
        <v>64</v>
      </c>
      <c r="B30" s="50" t="s">
        <v>51</v>
      </c>
      <c r="C30" s="57">
        <f t="shared" ref="C30:O30" si="17">C28*$C$47+C29</f>
        <v>162</v>
      </c>
      <c r="D30" s="57">
        <f t="shared" si="17"/>
        <v>238</v>
      </c>
      <c r="E30" s="84">
        <f t="shared" si="17"/>
        <v>82.5</v>
      </c>
      <c r="F30" s="57">
        <f t="shared" si="17"/>
        <v>568.5</v>
      </c>
      <c r="G30" s="84">
        <f t="shared" si="17"/>
        <v>444.5</v>
      </c>
      <c r="H30" s="57">
        <f t="shared" si="17"/>
        <v>72</v>
      </c>
      <c r="I30" s="57">
        <f t="shared" ref="I30" si="18">I28*$C$46+I29</f>
        <v>66.75</v>
      </c>
      <c r="J30" s="57">
        <f t="shared" si="17"/>
        <v>115.5</v>
      </c>
      <c r="K30" s="57">
        <f t="shared" si="17"/>
        <v>232.5</v>
      </c>
      <c r="L30" s="57">
        <f t="shared" si="17"/>
        <v>171</v>
      </c>
      <c r="M30" s="57">
        <f t="shared" si="17"/>
        <v>157.5</v>
      </c>
      <c r="N30" s="57">
        <f t="shared" si="17"/>
        <v>81</v>
      </c>
      <c r="O30" s="57">
        <f t="shared" si="17"/>
        <v>120</v>
      </c>
    </row>
    <row r="31" spans="1:15" x14ac:dyDescent="0.25">
      <c r="A31" s="52" t="s">
        <v>65</v>
      </c>
      <c r="B31" s="53" t="s">
        <v>52</v>
      </c>
      <c r="C31" s="64">
        <v>112</v>
      </c>
      <c r="D31" s="64">
        <v>111</v>
      </c>
      <c r="E31" s="86">
        <v>73</v>
      </c>
      <c r="F31" s="64">
        <v>2.1</v>
      </c>
      <c r="G31" s="86">
        <v>2.1</v>
      </c>
      <c r="H31" s="64">
        <v>37.799999999999997</v>
      </c>
      <c r="I31" s="64">
        <v>35.57</v>
      </c>
      <c r="J31" s="73">
        <v>73.599999999999994</v>
      </c>
      <c r="K31" s="81">
        <v>171</v>
      </c>
      <c r="L31" s="81">
        <v>117</v>
      </c>
      <c r="M31" s="81">
        <v>108</v>
      </c>
      <c r="N31" s="64">
        <v>73</v>
      </c>
      <c r="O31" s="64">
        <v>97</v>
      </c>
    </row>
    <row r="32" spans="1:15" x14ac:dyDescent="0.25">
      <c r="A32" s="54" t="s">
        <v>66</v>
      </c>
      <c r="B32" s="55" t="s">
        <v>51</v>
      </c>
      <c r="C32" s="57">
        <f t="shared" ref="C32:O32" si="19">C31*$C$49</f>
        <v>246.40000000000003</v>
      </c>
      <c r="D32" s="57">
        <f t="shared" si="19"/>
        <v>244.20000000000002</v>
      </c>
      <c r="E32" s="84">
        <f t="shared" si="19"/>
        <v>160.60000000000002</v>
      </c>
      <c r="F32" s="57">
        <f t="shared" si="19"/>
        <v>4.620000000000001</v>
      </c>
      <c r="G32" s="84">
        <f t="shared" si="19"/>
        <v>4.620000000000001</v>
      </c>
      <c r="H32" s="57">
        <f t="shared" si="19"/>
        <v>83.16</v>
      </c>
      <c r="I32" s="57">
        <f t="shared" ref="I32" si="20">I31*$C$48</f>
        <v>39.127000000000002</v>
      </c>
      <c r="J32" s="57">
        <f t="shared" si="19"/>
        <v>161.91999999999999</v>
      </c>
      <c r="K32" s="57">
        <f t="shared" si="19"/>
        <v>376.20000000000005</v>
      </c>
      <c r="L32" s="57">
        <f t="shared" si="19"/>
        <v>257.40000000000003</v>
      </c>
      <c r="M32" s="57">
        <f t="shared" si="19"/>
        <v>237.60000000000002</v>
      </c>
      <c r="N32" s="57">
        <f t="shared" si="19"/>
        <v>160.60000000000002</v>
      </c>
      <c r="O32" s="57">
        <f t="shared" si="19"/>
        <v>213.4</v>
      </c>
    </row>
    <row r="33" spans="1:15" x14ac:dyDescent="0.25">
      <c r="A33" s="45" t="s">
        <v>67</v>
      </c>
      <c r="B33" s="50" t="s">
        <v>53</v>
      </c>
      <c r="C33" s="65">
        <v>292</v>
      </c>
      <c r="D33" s="65">
        <v>318</v>
      </c>
      <c r="E33" s="84">
        <v>176</v>
      </c>
      <c r="F33" s="65">
        <v>5.39</v>
      </c>
      <c r="G33" s="84">
        <v>5.45</v>
      </c>
      <c r="H33" s="65">
        <v>130</v>
      </c>
      <c r="I33" s="65">
        <v>209.55</v>
      </c>
      <c r="J33" s="73">
        <v>205</v>
      </c>
      <c r="K33" s="80">
        <v>344</v>
      </c>
      <c r="L33" s="80">
        <v>271</v>
      </c>
      <c r="M33" s="80">
        <v>285</v>
      </c>
      <c r="N33" s="64">
        <v>164</v>
      </c>
      <c r="O33" s="64">
        <v>196</v>
      </c>
    </row>
    <row r="34" spans="1:15" x14ac:dyDescent="0.25">
      <c r="A34" s="45"/>
      <c r="B34" s="50" t="s">
        <v>54</v>
      </c>
      <c r="C34" s="65">
        <v>248</v>
      </c>
      <c r="D34" s="65">
        <v>291</v>
      </c>
      <c r="E34" s="84">
        <v>148</v>
      </c>
      <c r="F34" s="65">
        <v>7.09</v>
      </c>
      <c r="G34" s="84">
        <v>7.12</v>
      </c>
      <c r="H34" s="65">
        <v>85.87</v>
      </c>
      <c r="I34" s="65">
        <v>100.7</v>
      </c>
      <c r="J34" s="73">
        <v>170</v>
      </c>
      <c r="K34" s="80">
        <v>356</v>
      </c>
      <c r="L34" s="80">
        <v>248</v>
      </c>
      <c r="M34" s="80">
        <v>244</v>
      </c>
      <c r="N34" s="64">
        <v>146</v>
      </c>
      <c r="O34" s="64">
        <v>197</v>
      </c>
    </row>
    <row r="35" spans="1:15" x14ac:dyDescent="0.25">
      <c r="A35" s="45" t="s">
        <v>68</v>
      </c>
      <c r="B35" s="50" t="s">
        <v>51</v>
      </c>
      <c r="C35" s="65">
        <f>8.11*C7*C3</f>
        <v>124.89399999999998</v>
      </c>
      <c r="D35" s="65">
        <f>9.23*D7*D3</f>
        <v>117.18408000000001</v>
      </c>
      <c r="E35" s="84">
        <v>519.91</v>
      </c>
      <c r="F35" s="65">
        <f>4.81*F7*F3</f>
        <v>38.455950000000001</v>
      </c>
      <c r="G35" s="84">
        <f t="shared" ref="G35" si="21">G26</f>
        <v>61.27</v>
      </c>
      <c r="H35" s="65">
        <f>16.47*H7*H3</f>
        <v>263.52</v>
      </c>
      <c r="I35" s="65">
        <f>83.67*I7*I3</f>
        <v>660.15629999999999</v>
      </c>
      <c r="J35" s="65">
        <f>5.56*J7*J3</f>
        <v>75.349119999999999</v>
      </c>
      <c r="K35" s="65">
        <f>6.39*K7*K3</f>
        <v>80.513999999999996</v>
      </c>
      <c r="L35" s="65">
        <f>6.39*L7*L3</f>
        <v>56.359799999999993</v>
      </c>
      <c r="M35" s="65">
        <f>5.69*M7*M3</f>
        <v>84.120960000000011</v>
      </c>
      <c r="N35" s="63">
        <f>63.54*N7*N3</f>
        <v>436.71042</v>
      </c>
      <c r="O35" s="64">
        <f>5.74*O7*O3</f>
        <v>70.716800000000006</v>
      </c>
    </row>
    <row r="36" spans="1:15" ht="15.75" x14ac:dyDescent="0.25">
      <c r="A36" s="77" t="s">
        <v>89</v>
      </c>
      <c r="B36" s="51" t="s">
        <v>51</v>
      </c>
      <c r="C36" s="70">
        <f>C30+C32+C33+C34+C35</f>
        <v>1073.2940000000001</v>
      </c>
      <c r="D36" s="70">
        <f t="shared" ref="D36:O36" si="22">D30+D32+D33+D34+D35</f>
        <v>1208.38408</v>
      </c>
      <c r="E36" s="87">
        <f t="shared" si="22"/>
        <v>1087.01</v>
      </c>
      <c r="F36" s="70">
        <f t="shared" si="22"/>
        <v>624.05595000000005</v>
      </c>
      <c r="G36" s="87">
        <f t="shared" si="22"/>
        <v>522.96</v>
      </c>
      <c r="H36" s="70">
        <f t="shared" si="22"/>
        <v>634.54999999999995</v>
      </c>
      <c r="I36" s="70">
        <f t="shared" si="22"/>
        <v>1076.2833000000001</v>
      </c>
      <c r="J36" s="70">
        <f t="shared" si="22"/>
        <v>727.76911999999993</v>
      </c>
      <c r="K36" s="70">
        <f t="shared" si="22"/>
        <v>1389.2139999999999</v>
      </c>
      <c r="L36" s="70">
        <f t="shared" si="22"/>
        <v>1003.7598</v>
      </c>
      <c r="M36" s="70">
        <f t="shared" si="22"/>
        <v>1008.22096</v>
      </c>
      <c r="N36" s="70">
        <f t="shared" si="22"/>
        <v>988.31042000000002</v>
      </c>
      <c r="O36" s="70">
        <f t="shared" si="22"/>
        <v>797.11680000000001</v>
      </c>
    </row>
    <row r="37" spans="1:15" ht="15.75" x14ac:dyDescent="0.25">
      <c r="A37" s="78" t="s">
        <v>90</v>
      </c>
      <c r="B37" s="45" t="s">
        <v>47</v>
      </c>
      <c r="C37" s="67">
        <f t="shared" ref="C37:I37" si="23">C17-C27</f>
        <v>654.11701708283772</v>
      </c>
      <c r="D37" s="67">
        <f t="shared" si="23"/>
        <v>654.11701708283772</v>
      </c>
      <c r="E37" s="82">
        <f t="shared" si="23"/>
        <v>654.11701708283772</v>
      </c>
      <c r="F37" s="67">
        <f t="shared" si="23"/>
        <v>654.11701708283772</v>
      </c>
      <c r="G37" s="82">
        <f t="shared" si="23"/>
        <v>654.11701708283783</v>
      </c>
      <c r="H37" s="67">
        <f t="shared" si="23"/>
        <v>654.11701708283772</v>
      </c>
      <c r="I37" s="67">
        <f t="shared" si="23"/>
        <v>654.11701708283772</v>
      </c>
      <c r="J37" s="67">
        <f t="shared" ref="J37:O37" si="24">J17-J27</f>
        <v>654.11701708283761</v>
      </c>
      <c r="K37" s="67">
        <f t="shared" si="24"/>
        <v>654.11701708283772</v>
      </c>
      <c r="L37" s="67">
        <f t="shared" si="24"/>
        <v>654.11701708283761</v>
      </c>
      <c r="M37" s="67">
        <f t="shared" si="24"/>
        <v>654.11701708283772</v>
      </c>
      <c r="N37" s="67">
        <f t="shared" si="24"/>
        <v>654.11701708283772</v>
      </c>
      <c r="O37" s="67">
        <f t="shared" si="24"/>
        <v>654.11701708283761</v>
      </c>
    </row>
    <row r="38" spans="1:15" ht="15.75" x14ac:dyDescent="0.25">
      <c r="A38" s="78" t="s">
        <v>90</v>
      </c>
      <c r="B38" s="56" t="s">
        <v>48</v>
      </c>
      <c r="C38" s="70">
        <f t="shared" ref="C38:I38" si="25">C18-C36</f>
        <v>4403.9411947683438</v>
      </c>
      <c r="D38" s="70">
        <f t="shared" si="25"/>
        <v>4403.9411947683438</v>
      </c>
      <c r="E38" s="87">
        <f t="shared" si="25"/>
        <v>4403.9411947683438</v>
      </c>
      <c r="F38" s="70">
        <f t="shared" si="25"/>
        <v>4403.9411947683438</v>
      </c>
      <c r="G38" s="87">
        <f t="shared" si="25"/>
        <v>4403.9411947683438</v>
      </c>
      <c r="H38" s="70">
        <f t="shared" si="25"/>
        <v>4403.9411947683438</v>
      </c>
      <c r="I38" s="70">
        <f t="shared" si="25"/>
        <v>4403.9411947683438</v>
      </c>
      <c r="J38" s="70">
        <f t="shared" ref="J38:O38" si="26">J18-J36</f>
        <v>4403.9411947683438</v>
      </c>
      <c r="K38" s="70">
        <f t="shared" si="26"/>
        <v>4403.9411947683438</v>
      </c>
      <c r="L38" s="70">
        <f t="shared" si="26"/>
        <v>4403.9411947683438</v>
      </c>
      <c r="M38" s="70">
        <f t="shared" si="26"/>
        <v>4403.9411947683438</v>
      </c>
      <c r="N38" s="70">
        <f t="shared" si="26"/>
        <v>4403.9411947683438</v>
      </c>
      <c r="O38" s="70">
        <f t="shared" si="26"/>
        <v>4403.9411947683438</v>
      </c>
    </row>
    <row r="39" spans="1:15" x14ac:dyDescent="0.25">
      <c r="A39" s="45" t="s">
        <v>55</v>
      </c>
      <c r="B39" s="50" t="s">
        <v>56</v>
      </c>
      <c r="C39" s="67">
        <v>0.75</v>
      </c>
      <c r="D39" s="67">
        <v>0.33</v>
      </c>
      <c r="E39" s="82">
        <v>0.33</v>
      </c>
      <c r="F39" s="71">
        <v>0.75</v>
      </c>
      <c r="G39" s="88">
        <v>0.75</v>
      </c>
      <c r="H39" s="67">
        <f>1-5/20</f>
        <v>0.75</v>
      </c>
      <c r="I39" s="67">
        <v>0.33</v>
      </c>
      <c r="J39" s="66"/>
      <c r="K39" s="66"/>
      <c r="L39" s="66"/>
      <c r="M39" s="66"/>
    </row>
    <row r="40" spans="1:15" x14ac:dyDescent="0.25">
      <c r="A40" s="45"/>
      <c r="B40" s="45"/>
      <c r="C40" s="48"/>
      <c r="D40" s="48"/>
      <c r="E40" s="48"/>
      <c r="F40" s="48"/>
      <c r="G40" s="48"/>
      <c r="H40" s="48"/>
      <c r="I40" s="48"/>
      <c r="J40" s="49"/>
      <c r="K40" s="49"/>
      <c r="L40" s="49"/>
      <c r="M40" s="49"/>
    </row>
    <row r="41" spans="1:15" x14ac:dyDescent="0.25">
      <c r="A41" s="58" t="s">
        <v>57</v>
      </c>
      <c r="B41" s="58"/>
      <c r="C41" s="59"/>
      <c r="D41" s="59"/>
      <c r="E41" s="59"/>
      <c r="F41" s="60"/>
      <c r="G41" s="60"/>
      <c r="H41" s="60"/>
      <c r="I41" s="60"/>
      <c r="J41" s="49"/>
      <c r="K41" s="49"/>
      <c r="L41" s="49"/>
      <c r="M41" s="49"/>
    </row>
    <row r="42" spans="1:15" x14ac:dyDescent="0.25">
      <c r="A42" s="58" t="s">
        <v>96</v>
      </c>
    </row>
    <row r="46" spans="1:15" x14ac:dyDescent="0.25">
      <c r="A46" s="61" t="s">
        <v>50</v>
      </c>
      <c r="B46" s="62" t="s">
        <v>82</v>
      </c>
      <c r="C46" s="62">
        <v>15</v>
      </c>
    </row>
    <row r="47" spans="1:15" x14ac:dyDescent="0.25">
      <c r="B47" s="62" t="s">
        <v>69</v>
      </c>
      <c r="C47" s="62">
        <v>15</v>
      </c>
    </row>
    <row r="48" spans="1:15" x14ac:dyDescent="0.25">
      <c r="A48" s="61" t="s">
        <v>103</v>
      </c>
      <c r="B48" s="63" t="s">
        <v>83</v>
      </c>
      <c r="C48" s="93">
        <v>1.1000000000000001</v>
      </c>
    </row>
    <row r="49" spans="1:3" x14ac:dyDescent="0.25">
      <c r="B49" s="63" t="s">
        <v>70</v>
      </c>
      <c r="C49" s="93">
        <v>2.2000000000000002</v>
      </c>
    </row>
    <row r="50" spans="1:3" x14ac:dyDescent="0.25">
      <c r="B50" s="91"/>
      <c r="C50" s="91"/>
    </row>
    <row r="51" spans="1:3" x14ac:dyDescent="0.25">
      <c r="A51" s="61" t="s">
        <v>71</v>
      </c>
      <c r="B51" s="89" t="s">
        <v>72</v>
      </c>
      <c r="C51" s="89">
        <v>0.03</v>
      </c>
    </row>
    <row r="52" spans="1:3" x14ac:dyDescent="0.25">
      <c r="A52" t="s">
        <v>97</v>
      </c>
      <c r="B52" s="76"/>
    </row>
    <row r="54" spans="1:3" x14ac:dyDescent="0.25">
      <c r="A54" t="s">
        <v>73</v>
      </c>
      <c r="B54" s="62"/>
    </row>
    <row r="55" spans="1:3" x14ac:dyDescent="0.25">
      <c r="A55" t="s">
        <v>74</v>
      </c>
      <c r="B55" s="63"/>
    </row>
    <row r="56" spans="1:3" x14ac:dyDescent="0.25">
      <c r="A56" t="s">
        <v>75</v>
      </c>
      <c r="B56" s="44"/>
    </row>
    <row r="57" spans="1:3" x14ac:dyDescent="0.25">
      <c r="A57" t="s">
        <v>81</v>
      </c>
      <c r="B57" s="89"/>
    </row>
  </sheetData>
  <mergeCells count="1">
    <mergeCell ref="A13:A18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zoomScale="130" zoomScaleNormal="130" workbookViewId="0">
      <selection activeCell="D12" sqref="D12"/>
    </sheetView>
  </sheetViews>
  <sheetFormatPr baseColWidth="10" defaultRowHeight="15" x14ac:dyDescent="0.25"/>
  <cols>
    <col min="1" max="1" width="10.42578125" customWidth="1"/>
    <col min="2" max="2" width="6" customWidth="1"/>
    <col min="3" max="3" width="27.85546875" customWidth="1"/>
    <col min="4" max="4" width="10.28515625" customWidth="1"/>
    <col min="7" max="7" width="35.5703125" customWidth="1"/>
    <col min="8" max="8" width="15.5703125" bestFit="1" customWidth="1"/>
    <col min="9" max="9" width="20" customWidth="1"/>
    <col min="10" max="10" width="14.42578125" bestFit="1" customWidth="1"/>
  </cols>
  <sheetData>
    <row r="1" spans="2:11" x14ac:dyDescent="0.25">
      <c r="B1" s="98"/>
      <c r="C1" s="98"/>
      <c r="D1" s="98" t="s">
        <v>106</v>
      </c>
      <c r="E1" s="98" t="s">
        <v>129</v>
      </c>
      <c r="F1" s="98" t="s">
        <v>130</v>
      </c>
      <c r="G1" s="98" t="s">
        <v>5</v>
      </c>
      <c r="H1" s="98" t="s">
        <v>128</v>
      </c>
      <c r="I1" t="s">
        <v>123</v>
      </c>
      <c r="J1" t="s">
        <v>124</v>
      </c>
    </row>
    <row r="2" spans="2:11" x14ac:dyDescent="0.25">
      <c r="B2" s="116">
        <v>1</v>
      </c>
      <c r="C2" s="114" t="s">
        <v>134</v>
      </c>
      <c r="D2" s="117">
        <f>(E2+F2)/2</f>
        <v>8.7800000000000011</v>
      </c>
      <c r="E2" s="118">
        <v>7.49</v>
      </c>
      <c r="F2" s="118">
        <v>10.07</v>
      </c>
      <c r="G2" s="98" t="s">
        <v>132</v>
      </c>
      <c r="H2" s="98">
        <v>7</v>
      </c>
      <c r="I2">
        <v>4</v>
      </c>
      <c r="J2">
        <f>I2*3.6</f>
        <v>14.4</v>
      </c>
    </row>
    <row r="3" spans="2:11" x14ac:dyDescent="0.25">
      <c r="B3" s="116">
        <v>2</v>
      </c>
      <c r="C3" s="114" t="s">
        <v>135</v>
      </c>
      <c r="D3" s="117">
        <f>(E3+F3)/2</f>
        <v>14.943055555555555</v>
      </c>
      <c r="E3" s="118">
        <f>51.22/3.6</f>
        <v>14.227777777777778</v>
      </c>
      <c r="F3" s="118">
        <f>56.37/3.6</f>
        <v>15.658333333333331</v>
      </c>
      <c r="G3" s="98" t="s">
        <v>132</v>
      </c>
      <c r="H3" s="98">
        <v>14</v>
      </c>
    </row>
    <row r="4" spans="2:11" x14ac:dyDescent="0.25">
      <c r="B4" s="116">
        <v>3</v>
      </c>
      <c r="C4" s="114" t="s">
        <v>133</v>
      </c>
      <c r="D4" s="117">
        <f>(E4+F4)/2</f>
        <v>13.670833333333333</v>
      </c>
      <c r="E4" s="118">
        <f>45.94/3.6</f>
        <v>12.761111111111109</v>
      </c>
      <c r="F4" s="118">
        <f>52.49/3.6</f>
        <v>14.580555555555556</v>
      </c>
      <c r="G4" s="98" t="s">
        <v>132</v>
      </c>
      <c r="H4" s="98">
        <v>12</v>
      </c>
      <c r="I4">
        <v>5</v>
      </c>
      <c r="J4">
        <f>I4*3.6</f>
        <v>18</v>
      </c>
    </row>
    <row r="5" spans="2:11" x14ac:dyDescent="0.25">
      <c r="B5" s="116">
        <v>4</v>
      </c>
      <c r="C5" s="115" t="s">
        <v>118</v>
      </c>
      <c r="D5" s="117">
        <f>(E5+F5)/2</f>
        <v>7.4649999999999999</v>
      </c>
      <c r="E5" s="118">
        <v>6.6</v>
      </c>
      <c r="F5" s="118">
        <v>8.33</v>
      </c>
      <c r="G5" s="98" t="s">
        <v>125</v>
      </c>
      <c r="H5" s="98"/>
      <c r="I5">
        <v>5</v>
      </c>
      <c r="J5">
        <f>I5*3.6</f>
        <v>18</v>
      </c>
    </row>
    <row r="6" spans="2:11" x14ac:dyDescent="0.25">
      <c r="B6" s="116">
        <v>5</v>
      </c>
      <c r="C6" s="115" t="s">
        <v>119</v>
      </c>
      <c r="D6" s="115">
        <v>2.08</v>
      </c>
      <c r="E6" s="118">
        <f>(-8/J6)</f>
        <v>-0.55555555555555558</v>
      </c>
      <c r="F6" s="118">
        <f>36/J6</f>
        <v>2.5</v>
      </c>
      <c r="G6" s="98" t="s">
        <v>122</v>
      </c>
      <c r="H6" s="98"/>
      <c r="I6">
        <v>4</v>
      </c>
      <c r="J6">
        <f>I6*3.6</f>
        <v>14.4</v>
      </c>
    </row>
    <row r="7" spans="2:11" x14ac:dyDescent="0.25">
      <c r="B7" s="116">
        <v>6</v>
      </c>
      <c r="C7" s="115" t="s">
        <v>120</v>
      </c>
      <c r="D7" s="115">
        <v>0</v>
      </c>
      <c r="E7" s="119">
        <v>0</v>
      </c>
      <c r="F7" s="119">
        <v>0</v>
      </c>
      <c r="G7" s="98" t="s">
        <v>127</v>
      </c>
      <c r="H7" s="98"/>
    </row>
    <row r="8" spans="2:11" x14ac:dyDescent="0.25">
      <c r="B8" s="116">
        <v>7</v>
      </c>
      <c r="C8" s="114" t="s">
        <v>2</v>
      </c>
      <c r="D8" s="115">
        <v>13.88</v>
      </c>
      <c r="E8" s="119">
        <v>8.3000000000000007</v>
      </c>
      <c r="F8" s="119">
        <v>20.8</v>
      </c>
      <c r="G8" s="98" t="s">
        <v>121</v>
      </c>
      <c r="H8" s="98">
        <v>13</v>
      </c>
      <c r="I8">
        <v>4</v>
      </c>
      <c r="J8">
        <f>I8*3.6</f>
        <v>14.4</v>
      </c>
    </row>
    <row r="9" spans="2:11" x14ac:dyDescent="0.25">
      <c r="B9" s="116">
        <v>8</v>
      </c>
      <c r="C9" s="114" t="s">
        <v>0</v>
      </c>
      <c r="D9" s="115">
        <v>15.5</v>
      </c>
      <c r="E9" s="119">
        <v>10</v>
      </c>
      <c r="F9" s="119">
        <v>21.7</v>
      </c>
      <c r="G9" s="98" t="s">
        <v>107</v>
      </c>
      <c r="H9" s="98">
        <v>15</v>
      </c>
      <c r="K9" t="s">
        <v>126</v>
      </c>
    </row>
    <row r="10" spans="2:11" x14ac:dyDescent="0.25">
      <c r="B10" s="116">
        <v>9</v>
      </c>
      <c r="C10" s="114" t="s">
        <v>1</v>
      </c>
      <c r="D10" s="115">
        <v>10</v>
      </c>
      <c r="E10" s="98">
        <v>0</v>
      </c>
      <c r="F10" s="98">
        <v>10</v>
      </c>
      <c r="G10" s="98" t="s">
        <v>131</v>
      </c>
      <c r="H10" s="98"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Potentials</vt:lpstr>
      <vt:lpstr>PotentialMinMax</vt:lpstr>
      <vt:lpstr>CulStart</vt:lpstr>
      <vt:lpstr>feedstockInputData</vt:lpstr>
      <vt:lpstr>CostsBioProductsResidues</vt:lpstr>
      <vt:lpstr>Potentials!Druckbereich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2020-06-29T12:44:56Z</dcterms:modified>
</cp:coreProperties>
</file>