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m\Documents\ESOM Heat Germany\"/>
    </mc:Choice>
  </mc:AlternateContent>
  <bookViews>
    <workbookView xWindow="120" yWindow="120" windowWidth="9645" windowHeight="14370" activeTab="1"/>
  </bookViews>
  <sheets>
    <sheet name="80%_95%" sheetId="1" r:id="rId1"/>
    <sheet name="BioPlanW" sheetId="2" r:id="rId2"/>
  </sheets>
  <calcPr calcId="152511"/>
</workbook>
</file>

<file path=xl/calcChain.xml><?xml version="1.0" encoding="utf-8"?>
<calcChain xmlns="http://schemas.openxmlformats.org/spreadsheetml/2006/main">
  <c r="E6" i="2" l="1"/>
  <c r="E5" i="2"/>
  <c r="E4" i="2"/>
  <c r="E3" i="2"/>
  <c r="C6" i="2"/>
  <c r="C5" i="2"/>
  <c r="C4" i="2"/>
  <c r="C3" i="2"/>
  <c r="L5" i="1"/>
  <c r="J5" i="1"/>
  <c r="L4" i="1"/>
  <c r="J4" i="1"/>
  <c r="L3" i="1"/>
  <c r="J3" i="1"/>
  <c r="L2" i="1"/>
  <c r="L7" i="1" s="1"/>
  <c r="J2" i="1"/>
  <c r="J6" i="1" s="1"/>
  <c r="J7" i="1" l="1"/>
  <c r="L6" i="1"/>
  <c r="C17" i="2" l="1"/>
  <c r="E8" i="2"/>
  <c r="C8" i="2"/>
  <c r="C7" i="2" l="1"/>
  <c r="E7" i="2"/>
  <c r="AB5" i="1"/>
  <c r="AB4" i="1"/>
  <c r="AB3" i="1"/>
  <c r="AB2" i="1"/>
  <c r="AB7" i="1" s="1"/>
  <c r="Z5" i="1"/>
  <c r="Z4" i="1"/>
  <c r="Z3" i="1"/>
  <c r="Z2" i="1"/>
  <c r="Z7" i="1" s="1"/>
  <c r="X5" i="1"/>
  <c r="X4" i="1"/>
  <c r="X3" i="1"/>
  <c r="X2" i="1"/>
  <c r="X6" i="1" s="1"/>
  <c r="V5" i="1"/>
  <c r="V4" i="1"/>
  <c r="V3" i="1"/>
  <c r="V2" i="1"/>
  <c r="V6" i="1" s="1"/>
  <c r="AB8" i="1" l="1"/>
  <c r="Z8" i="1"/>
  <c r="X7" i="1"/>
  <c r="V7" i="1"/>
  <c r="Z6" i="1" l="1"/>
  <c r="AB6" i="1"/>
  <c r="T21" i="1"/>
  <c r="R21" i="1"/>
  <c r="T17" i="1"/>
  <c r="T18" i="1" s="1"/>
  <c r="R17" i="1"/>
  <c r="R18" i="1" s="1"/>
  <c r="T16" i="1"/>
  <c r="R16" i="1"/>
  <c r="T15" i="1"/>
  <c r="R15" i="1"/>
  <c r="T14" i="1"/>
  <c r="R14" i="1"/>
  <c r="T13" i="1"/>
  <c r="R13" i="1"/>
  <c r="T12" i="1"/>
  <c r="R12" i="1"/>
  <c r="T11" i="1"/>
  <c r="R11" i="1"/>
  <c r="T10" i="1"/>
  <c r="R10" i="1"/>
  <c r="T9" i="1"/>
  <c r="R9" i="1"/>
  <c r="T8" i="1"/>
  <c r="R8" i="1"/>
  <c r="T7" i="1"/>
  <c r="R7" i="1"/>
  <c r="T6" i="1"/>
  <c r="R6" i="1"/>
  <c r="T5" i="1"/>
  <c r="R5" i="1"/>
  <c r="T4" i="1"/>
  <c r="R4" i="1"/>
  <c r="T3" i="1"/>
  <c r="R3" i="1"/>
  <c r="T2" i="1"/>
  <c r="T22" i="1" s="1"/>
  <c r="R2" i="1"/>
  <c r="R22" i="1" s="1"/>
  <c r="P6" i="1"/>
  <c r="P5" i="1"/>
  <c r="P4" i="1"/>
  <c r="N6" i="1"/>
  <c r="N5" i="1"/>
  <c r="N4" i="1"/>
  <c r="P3" i="1"/>
  <c r="N3" i="1"/>
  <c r="P2" i="1"/>
  <c r="N2" i="1"/>
  <c r="R19" i="1" l="1"/>
  <c r="T19" i="1"/>
  <c r="R20" i="1"/>
  <c r="T20" i="1"/>
  <c r="D28" i="1"/>
  <c r="B28" i="1"/>
  <c r="H24" i="1"/>
  <c r="F24" i="1"/>
  <c r="H23" i="1"/>
  <c r="F23" i="1"/>
  <c r="H22" i="1"/>
  <c r="F22" i="1"/>
  <c r="H21" i="1"/>
  <c r="F21" i="1"/>
  <c r="D32" i="1"/>
  <c r="D31" i="1"/>
  <c r="D30" i="1"/>
  <c r="D29" i="1"/>
  <c r="B32" i="1"/>
  <c r="B31" i="1"/>
  <c r="B30" i="1"/>
  <c r="B29" i="1"/>
</calcChain>
</file>

<file path=xl/sharedStrings.xml><?xml version="1.0" encoding="utf-8"?>
<sst xmlns="http://schemas.openxmlformats.org/spreadsheetml/2006/main" count="32" uniqueCount="27">
  <si>
    <t>Energiebedingt 80%</t>
  </si>
  <si>
    <t>Gesamt 80%</t>
  </si>
  <si>
    <t>Energiebedingt 95%</t>
  </si>
  <si>
    <t>Gesamt 95%</t>
  </si>
  <si>
    <t>Wärme 80%</t>
  </si>
  <si>
    <t>Wärme 95%</t>
  </si>
  <si>
    <t>ÖI 80%</t>
  </si>
  <si>
    <t>ÖI 95%</t>
  </si>
  <si>
    <t>Gebäude 80%</t>
  </si>
  <si>
    <t>Gebäude 95%</t>
  </si>
  <si>
    <t>Industrie 80 %</t>
  </si>
  <si>
    <t>Industrie 95%</t>
  </si>
  <si>
    <t>Quelle</t>
  </si>
  <si>
    <t>UBA, 2017</t>
  </si>
  <si>
    <t>Klimaschutzplan 2050</t>
  </si>
  <si>
    <t>Reduktion ÖI</t>
  </si>
  <si>
    <t>UBA:</t>
  </si>
  <si>
    <t>Klimaschutzplan:</t>
  </si>
  <si>
    <t>ÖI:</t>
  </si>
  <si>
    <t>UBA 2011:</t>
  </si>
  <si>
    <t>Bensim 2011:</t>
  </si>
  <si>
    <t>Klimaschutzplan 2014:</t>
  </si>
  <si>
    <t>ÖI 2010:</t>
  </si>
  <si>
    <t>Wärme 80% [Miot]</t>
  </si>
  <si>
    <t>Wärme 95% [Miot]</t>
  </si>
  <si>
    <t>Angaben zu CO2 Emissionen [Miot] im Wärmesektor in 1990 sind unterschiedlich:</t>
  </si>
  <si>
    <t>Emissionen in 2015 sind bestimmt durch Anzahl Anlagen in 2015 und der Genauigkeit der Emissionsfaktoren! Kontrolle, wenn alle Teilmärkte definiert sind!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</si>
</sst>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right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J2" sqref="J2:J5"/>
    </sheetView>
  </sheetViews>
  <sheetFormatPr baseColWidth="10" defaultRowHeight="15" x14ac:dyDescent="0.25"/>
  <cols>
    <col min="2" max="2" width="11.42578125" style="4"/>
  </cols>
  <sheetData>
    <row r="1" spans="1:28" x14ac:dyDescent="0.25">
      <c r="A1" s="9" t="s">
        <v>0</v>
      </c>
      <c r="B1" s="9"/>
      <c r="C1" s="9" t="s">
        <v>2</v>
      </c>
      <c r="D1" s="9"/>
      <c r="E1" s="9" t="s">
        <v>1</v>
      </c>
      <c r="F1" s="9"/>
      <c r="G1" s="9" t="s">
        <v>3</v>
      </c>
      <c r="H1" s="9"/>
      <c r="I1" s="9" t="s">
        <v>4</v>
      </c>
      <c r="J1" s="9"/>
      <c r="K1" s="9" t="s">
        <v>5</v>
      </c>
      <c r="L1" s="9"/>
      <c r="M1" s="9" t="s">
        <v>6</v>
      </c>
      <c r="N1" s="9"/>
      <c r="O1" s="9" t="s">
        <v>7</v>
      </c>
      <c r="P1" s="9"/>
      <c r="Q1" s="9" t="s">
        <v>4</v>
      </c>
      <c r="R1" s="9"/>
      <c r="S1" s="9" t="s">
        <v>5</v>
      </c>
      <c r="T1" s="9"/>
      <c r="U1" s="9" t="s">
        <v>8</v>
      </c>
      <c r="V1" s="9"/>
      <c r="W1" s="9" t="s">
        <v>9</v>
      </c>
      <c r="X1" s="9"/>
      <c r="Y1" s="9" t="s">
        <v>10</v>
      </c>
      <c r="Z1" s="9"/>
      <c r="AA1" s="9" t="s">
        <v>11</v>
      </c>
      <c r="AB1" s="9"/>
    </row>
    <row r="2" spans="1:28" x14ac:dyDescent="0.25">
      <c r="A2" s="1">
        <v>1990</v>
      </c>
      <c r="B2" s="2">
        <v>1036.7360000000001</v>
      </c>
      <c r="C2" s="1">
        <v>1990</v>
      </c>
      <c r="D2" s="2">
        <v>1036.7360000000001</v>
      </c>
      <c r="E2" s="1">
        <v>1990</v>
      </c>
      <c r="F2" s="6">
        <v>1250.915</v>
      </c>
      <c r="G2" s="1">
        <v>1990</v>
      </c>
      <c r="H2" s="6">
        <v>1250.915</v>
      </c>
      <c r="I2" s="1">
        <v>1990</v>
      </c>
      <c r="J2" s="2">
        <f>132+88+187+41.9</f>
        <v>448.9</v>
      </c>
      <c r="K2" s="1">
        <v>1990</v>
      </c>
      <c r="L2" s="2">
        <f>132+88+187+41.9</f>
        <v>448.9</v>
      </c>
      <c r="M2" s="1">
        <v>1990</v>
      </c>
      <c r="N2" s="2">
        <f>132+88+187+427-460</f>
        <v>374</v>
      </c>
      <c r="O2" s="1">
        <v>1990</v>
      </c>
      <c r="P2" s="2">
        <f>132+88+187+427-460</f>
        <v>374</v>
      </c>
      <c r="Q2" s="1">
        <v>1990</v>
      </c>
      <c r="R2" s="2">
        <f>132+88+187</f>
        <v>407</v>
      </c>
      <c r="S2" s="1">
        <v>1990</v>
      </c>
      <c r="T2" s="2">
        <f>132+88+187</f>
        <v>407</v>
      </c>
      <c r="U2" s="1">
        <v>1990</v>
      </c>
      <c r="V2" s="2">
        <f>132+88</f>
        <v>220</v>
      </c>
      <c r="W2" s="1">
        <v>1990</v>
      </c>
      <c r="X2" s="2">
        <f>132+88</f>
        <v>220</v>
      </c>
      <c r="Y2" s="1">
        <v>1990</v>
      </c>
      <c r="Z2" s="2">
        <f>187</f>
        <v>187</v>
      </c>
      <c r="AA2" s="1">
        <v>1990</v>
      </c>
      <c r="AB2" s="2">
        <f>187</f>
        <v>187</v>
      </c>
    </row>
    <row r="3" spans="1:28" x14ac:dyDescent="0.25">
      <c r="A3" s="1">
        <v>1991</v>
      </c>
      <c r="B3" s="2">
        <v>999.78200000000004</v>
      </c>
      <c r="C3" s="1">
        <v>1991</v>
      </c>
      <c r="D3" s="2">
        <v>999.78200000000004</v>
      </c>
      <c r="E3" s="1">
        <v>1991</v>
      </c>
      <c r="F3" s="6">
        <v>1203.8340000000001</v>
      </c>
      <c r="G3" s="1">
        <v>1991</v>
      </c>
      <c r="H3" s="6">
        <v>1203.8340000000001</v>
      </c>
      <c r="I3" s="1">
        <v>2000</v>
      </c>
      <c r="J3" s="2">
        <f>119+54+130+25.5</f>
        <v>328.5</v>
      </c>
      <c r="K3" s="1">
        <v>2000</v>
      </c>
      <c r="L3" s="2">
        <f>119+54+130+25.5</f>
        <v>328.5</v>
      </c>
      <c r="M3" s="1">
        <v>2010</v>
      </c>
      <c r="N3" s="2">
        <f>356.4+115.8+45.2+106.8-369</f>
        <v>255.19999999999993</v>
      </c>
      <c r="O3" s="1">
        <v>2010</v>
      </c>
      <c r="P3" s="2">
        <f>356.4+115.8+45.2+106.8-369</f>
        <v>255.19999999999993</v>
      </c>
      <c r="Q3" s="1">
        <v>1992</v>
      </c>
      <c r="R3" s="2">
        <f>125+72+155</f>
        <v>352</v>
      </c>
      <c r="S3" s="1">
        <v>1992</v>
      </c>
      <c r="T3" s="2">
        <f>125+72+155</f>
        <v>352</v>
      </c>
      <c r="U3" s="1">
        <v>2000</v>
      </c>
      <c r="V3" s="2">
        <f>119+54</f>
        <v>173</v>
      </c>
      <c r="W3" s="1">
        <v>2000</v>
      </c>
      <c r="X3" s="2">
        <f>119+54</f>
        <v>173</v>
      </c>
      <c r="Y3" s="1">
        <v>2000</v>
      </c>
      <c r="Z3" s="2">
        <f>130</f>
        <v>130</v>
      </c>
      <c r="AA3" s="1">
        <v>2000</v>
      </c>
      <c r="AB3" s="2">
        <f>130</f>
        <v>130</v>
      </c>
    </row>
    <row r="4" spans="1:28" x14ac:dyDescent="0.25">
      <c r="A4" s="1">
        <v>1992</v>
      </c>
      <c r="B4" s="2">
        <v>951.07</v>
      </c>
      <c r="C4" s="1">
        <v>1992</v>
      </c>
      <c r="D4" s="2">
        <v>951.07</v>
      </c>
      <c r="E4" s="1">
        <v>1992</v>
      </c>
      <c r="F4" s="6">
        <v>1153.2819999999999</v>
      </c>
      <c r="G4" s="1">
        <v>1992</v>
      </c>
      <c r="H4" s="6">
        <v>1153.2819999999999</v>
      </c>
      <c r="I4" s="1">
        <v>2010</v>
      </c>
      <c r="J4" s="2">
        <f>107+48+125+40.5</f>
        <v>320.5</v>
      </c>
      <c r="K4" s="1">
        <v>2010</v>
      </c>
      <c r="L4" s="2">
        <f>107+48+125+40.5</f>
        <v>320.5</v>
      </c>
      <c r="M4" s="1">
        <v>2020</v>
      </c>
      <c r="N4" s="2">
        <f>462-261</f>
        <v>201</v>
      </c>
      <c r="O4" s="1">
        <v>2020</v>
      </c>
      <c r="P4" s="2">
        <f>402-215</f>
        <v>187</v>
      </c>
      <c r="Q4" s="1">
        <v>1994</v>
      </c>
      <c r="R4" s="2">
        <f>130+64+142</f>
        <v>336</v>
      </c>
      <c r="S4" s="1">
        <v>1994</v>
      </c>
      <c r="T4" s="2">
        <f>130+64+142</f>
        <v>336</v>
      </c>
      <c r="U4" s="1">
        <v>2010</v>
      </c>
      <c r="V4" s="2">
        <f>107+48</f>
        <v>155</v>
      </c>
      <c r="W4" s="1">
        <v>2010</v>
      </c>
      <c r="X4" s="2">
        <f>107+48</f>
        <v>155</v>
      </c>
      <c r="Y4" s="1">
        <v>2010</v>
      </c>
      <c r="Z4" s="2">
        <f>125</f>
        <v>125</v>
      </c>
      <c r="AA4" s="1">
        <v>2010</v>
      </c>
      <c r="AB4" s="2">
        <f>125</f>
        <v>125</v>
      </c>
    </row>
    <row r="5" spans="1:28" x14ac:dyDescent="0.25">
      <c r="A5" s="1">
        <v>1993</v>
      </c>
      <c r="B5" s="2">
        <v>941.97799999999995</v>
      </c>
      <c r="C5" s="1">
        <v>1993</v>
      </c>
      <c r="D5" s="2">
        <v>941.97799999999995</v>
      </c>
      <c r="E5" s="1">
        <v>1993</v>
      </c>
      <c r="F5" s="6">
        <v>1143.9929999999999</v>
      </c>
      <c r="G5" s="1">
        <v>1993</v>
      </c>
      <c r="H5" s="6">
        <v>1143.9929999999999</v>
      </c>
      <c r="I5" s="1">
        <v>2015</v>
      </c>
      <c r="J5" s="2">
        <f>86+42+127+35.9</f>
        <v>290.89999999999998</v>
      </c>
      <c r="K5" s="1">
        <v>2015</v>
      </c>
      <c r="L5" s="2">
        <f>86+42+127+35.9</f>
        <v>290.89999999999998</v>
      </c>
      <c r="M5" s="1">
        <v>2030</v>
      </c>
      <c r="N5" s="2">
        <f>320-184.7</f>
        <v>135.30000000000001</v>
      </c>
      <c r="O5" s="1">
        <v>2030</v>
      </c>
      <c r="P5" s="2">
        <f>210-112.3</f>
        <v>97.7</v>
      </c>
      <c r="Q5" s="1">
        <v>1996</v>
      </c>
      <c r="R5" s="2">
        <f>144+76+136</f>
        <v>356</v>
      </c>
      <c r="S5" s="1">
        <v>1996</v>
      </c>
      <c r="T5" s="2">
        <f>144+76+136</f>
        <v>356</v>
      </c>
      <c r="U5" s="1">
        <v>2015</v>
      </c>
      <c r="V5" s="2">
        <f>86+42</f>
        <v>128</v>
      </c>
      <c r="W5" s="1">
        <v>2015</v>
      </c>
      <c r="X5" s="2">
        <f>86+42</f>
        <v>128</v>
      </c>
      <c r="Y5" s="1">
        <v>2015</v>
      </c>
      <c r="Z5" s="2">
        <f>127</f>
        <v>127</v>
      </c>
      <c r="AA5" s="1">
        <v>2015</v>
      </c>
      <c r="AB5" s="2">
        <f>127</f>
        <v>127</v>
      </c>
    </row>
    <row r="6" spans="1:28" x14ac:dyDescent="0.25">
      <c r="A6" s="1">
        <v>1994</v>
      </c>
      <c r="B6" s="2">
        <v>919.62199999999996</v>
      </c>
      <c r="C6" s="1">
        <v>1994</v>
      </c>
      <c r="D6" s="2">
        <v>919.62199999999996</v>
      </c>
      <c r="E6" s="1">
        <v>1994</v>
      </c>
      <c r="F6" s="6">
        <v>1124.2460000000001</v>
      </c>
      <c r="G6" s="1">
        <v>1994</v>
      </c>
      <c r="H6" s="6">
        <v>1124.2460000000001</v>
      </c>
      <c r="I6" s="1">
        <v>2030</v>
      </c>
      <c r="J6" s="2">
        <f>J2*0.425</f>
        <v>190.7825</v>
      </c>
      <c r="K6" s="1">
        <v>2030</v>
      </c>
      <c r="L6" s="2">
        <f>L2*0.41</f>
        <v>184.04899999999998</v>
      </c>
      <c r="M6" s="1">
        <v>2050</v>
      </c>
      <c r="N6" s="2">
        <f>89-42.8</f>
        <v>46.2</v>
      </c>
      <c r="O6" s="1">
        <v>2050</v>
      </c>
      <c r="P6" s="2">
        <f>21-13.2</f>
        <v>7.8000000000000007</v>
      </c>
      <c r="Q6" s="1">
        <v>1998</v>
      </c>
      <c r="R6" s="2">
        <f>133+64+136</f>
        <v>333</v>
      </c>
      <c r="S6" s="1">
        <v>1998</v>
      </c>
      <c r="T6" s="2">
        <f>133+64+136</f>
        <v>333</v>
      </c>
      <c r="U6" s="1">
        <v>2030</v>
      </c>
      <c r="V6" s="2">
        <f>V2*0.34</f>
        <v>74.800000000000011</v>
      </c>
      <c r="W6" s="1">
        <v>2030</v>
      </c>
      <c r="X6" s="2">
        <f>X2*0.33</f>
        <v>72.600000000000009</v>
      </c>
      <c r="Y6" s="1">
        <v>2020</v>
      </c>
      <c r="Z6" s="2">
        <f>Z2*0.6</f>
        <v>112.2</v>
      </c>
      <c r="AA6" s="1">
        <v>2020</v>
      </c>
      <c r="AB6" s="2">
        <f>AB2*0.6</f>
        <v>112.2</v>
      </c>
    </row>
    <row r="7" spans="1:28" x14ac:dyDescent="0.25">
      <c r="A7" s="1">
        <v>1995</v>
      </c>
      <c r="B7" s="2">
        <v>917.58299999999997</v>
      </c>
      <c r="C7" s="1">
        <v>1995</v>
      </c>
      <c r="D7" s="2">
        <v>917.58299999999997</v>
      </c>
      <c r="E7" s="1">
        <v>1995</v>
      </c>
      <c r="F7" s="6">
        <v>1120.856</v>
      </c>
      <c r="G7" s="1">
        <v>1995</v>
      </c>
      <c r="H7" s="6">
        <v>1120.856</v>
      </c>
      <c r="I7" s="5">
        <v>2050</v>
      </c>
      <c r="J7" s="2">
        <f>J2*0.2</f>
        <v>89.78</v>
      </c>
      <c r="K7" s="5">
        <v>2050</v>
      </c>
      <c r="L7" s="2">
        <f>L2*0.05</f>
        <v>22.445</v>
      </c>
      <c r="N7" s="2"/>
      <c r="P7" s="2"/>
      <c r="Q7" s="1">
        <v>2000</v>
      </c>
      <c r="R7" s="2">
        <f>119+54+130</f>
        <v>303</v>
      </c>
      <c r="S7" s="1">
        <v>2000</v>
      </c>
      <c r="T7" s="2">
        <f>119+54+130</f>
        <v>303</v>
      </c>
      <c r="U7" s="5">
        <v>2050</v>
      </c>
      <c r="V7" s="2">
        <f>V2*0.2</f>
        <v>44</v>
      </c>
      <c r="W7" s="5">
        <v>2050</v>
      </c>
      <c r="X7" s="2">
        <f>X2*0.05</f>
        <v>11</v>
      </c>
      <c r="Y7" s="1">
        <v>2030</v>
      </c>
      <c r="Z7" s="2">
        <f>Z2*0.425</f>
        <v>79.474999999999994</v>
      </c>
      <c r="AA7" s="1">
        <v>2030</v>
      </c>
      <c r="AB7" s="2">
        <f>AB2*0.41</f>
        <v>76.67</v>
      </c>
    </row>
    <row r="8" spans="1:28" x14ac:dyDescent="0.25">
      <c r="A8" s="1">
        <v>1996</v>
      </c>
      <c r="B8" s="2">
        <v>939</v>
      </c>
      <c r="C8" s="1">
        <v>1996</v>
      </c>
      <c r="D8" s="2">
        <v>939</v>
      </c>
      <c r="E8" s="1">
        <v>2000</v>
      </c>
      <c r="F8" s="6">
        <v>1042.9580000000001</v>
      </c>
      <c r="G8" s="1">
        <v>2000</v>
      </c>
      <c r="H8" s="6">
        <v>1042.9580000000001</v>
      </c>
      <c r="M8" s="1"/>
      <c r="N8" s="2"/>
      <c r="O8" s="1"/>
      <c r="P8" s="2"/>
      <c r="Q8" s="1">
        <v>2002</v>
      </c>
      <c r="R8" s="2">
        <f>122+58+122</f>
        <v>302</v>
      </c>
      <c r="S8" s="1">
        <v>2002</v>
      </c>
      <c r="T8" s="2">
        <f>122+58+122</f>
        <v>302</v>
      </c>
      <c r="Y8" s="5">
        <v>2050</v>
      </c>
      <c r="Z8" s="2">
        <f>Z2*0.2</f>
        <v>37.4</v>
      </c>
      <c r="AA8" s="5">
        <v>2050</v>
      </c>
      <c r="AB8" s="2">
        <f>AB2*0.05</f>
        <v>9.35</v>
      </c>
    </row>
    <row r="9" spans="1:28" x14ac:dyDescent="0.25">
      <c r="A9" s="1">
        <v>1997</v>
      </c>
      <c r="B9" s="2">
        <v>907</v>
      </c>
      <c r="C9" s="1">
        <v>1997</v>
      </c>
      <c r="D9" s="2">
        <v>907</v>
      </c>
      <c r="E9" s="1">
        <v>2005</v>
      </c>
      <c r="F9" s="6">
        <v>991.93299999999999</v>
      </c>
      <c r="G9" s="1">
        <v>2005</v>
      </c>
      <c r="H9" s="6">
        <v>991.93299999999999</v>
      </c>
      <c r="M9" s="1"/>
      <c r="N9" s="2"/>
      <c r="O9" s="1"/>
      <c r="P9" s="2"/>
      <c r="Q9" s="1">
        <v>2004</v>
      </c>
      <c r="R9" s="2">
        <f>114+48+118</f>
        <v>280</v>
      </c>
      <c r="S9" s="1">
        <v>2004</v>
      </c>
      <c r="T9" s="2">
        <f>114+48+118</f>
        <v>280</v>
      </c>
    </row>
    <row r="10" spans="1:28" x14ac:dyDescent="0.25">
      <c r="A10" s="1">
        <v>1998</v>
      </c>
      <c r="B10" s="2">
        <v>898</v>
      </c>
      <c r="C10" s="1">
        <v>1998</v>
      </c>
      <c r="D10" s="2">
        <v>898</v>
      </c>
      <c r="E10" s="1">
        <v>2006</v>
      </c>
      <c r="F10" s="6">
        <v>999.22</v>
      </c>
      <c r="G10" s="1">
        <v>2006</v>
      </c>
      <c r="H10" s="6">
        <v>999.22</v>
      </c>
      <c r="M10" s="1"/>
      <c r="N10" s="2"/>
      <c r="O10" s="1"/>
      <c r="P10" s="2"/>
      <c r="Q10" s="1">
        <v>2006</v>
      </c>
      <c r="R10" s="2">
        <f>114+54+120</f>
        <v>288</v>
      </c>
      <c r="S10" s="1">
        <v>2006</v>
      </c>
      <c r="T10" s="2">
        <f>114+54+120</f>
        <v>288</v>
      </c>
    </row>
    <row r="11" spans="1:28" x14ac:dyDescent="0.25">
      <c r="A11" s="1">
        <v>1999</v>
      </c>
      <c r="B11" s="2">
        <v>873</v>
      </c>
      <c r="C11" s="1">
        <v>1999</v>
      </c>
      <c r="D11" s="2">
        <v>873</v>
      </c>
      <c r="E11" s="1">
        <v>2007</v>
      </c>
      <c r="F11" s="6">
        <v>972.34400000000005</v>
      </c>
      <c r="G11" s="1">
        <v>2007</v>
      </c>
      <c r="H11" s="6">
        <v>972.34400000000005</v>
      </c>
      <c r="I11" s="1"/>
      <c r="J11" s="2"/>
      <c r="K11" s="1"/>
      <c r="L11" s="2"/>
      <c r="M11" s="1"/>
      <c r="N11" s="2"/>
      <c r="O11" s="1"/>
      <c r="P11" s="2"/>
      <c r="Q11" s="1">
        <v>2008</v>
      </c>
      <c r="R11" s="2">
        <f>108+50+127</f>
        <v>285</v>
      </c>
      <c r="S11" s="1">
        <v>2008</v>
      </c>
      <c r="T11" s="2">
        <f>108+50+127</f>
        <v>285</v>
      </c>
    </row>
    <row r="12" spans="1:28" x14ac:dyDescent="0.25">
      <c r="A12" s="1">
        <v>2000</v>
      </c>
      <c r="B12" s="2">
        <v>869.93700000000001</v>
      </c>
      <c r="C12" s="1">
        <v>2000</v>
      </c>
      <c r="D12" s="2">
        <v>869.93700000000001</v>
      </c>
      <c r="E12" s="1">
        <v>2008</v>
      </c>
      <c r="F12" s="6">
        <v>974.68200000000002</v>
      </c>
      <c r="G12" s="1">
        <v>2008</v>
      </c>
      <c r="H12" s="6">
        <v>974.68200000000002</v>
      </c>
      <c r="M12" s="1"/>
      <c r="N12" s="2"/>
      <c r="O12" s="1"/>
      <c r="P12" s="2"/>
      <c r="Q12" s="1">
        <v>2010</v>
      </c>
      <c r="R12" s="2">
        <f>107+48+125</f>
        <v>280</v>
      </c>
      <c r="S12" s="1">
        <v>2010</v>
      </c>
      <c r="T12" s="2">
        <f>107+48+125</f>
        <v>280</v>
      </c>
    </row>
    <row r="13" spans="1:28" x14ac:dyDescent="0.25">
      <c r="A13" s="1">
        <v>2001</v>
      </c>
      <c r="B13" s="2">
        <v>890</v>
      </c>
      <c r="C13" s="1">
        <v>2001</v>
      </c>
      <c r="D13" s="2">
        <v>890</v>
      </c>
      <c r="E13" s="1">
        <v>2009</v>
      </c>
      <c r="F13" s="6">
        <v>906.94899999999996</v>
      </c>
      <c r="G13" s="1">
        <v>2009</v>
      </c>
      <c r="H13" s="6">
        <v>906.94899999999996</v>
      </c>
      <c r="I13" s="1"/>
      <c r="J13" s="2"/>
      <c r="K13" s="1"/>
      <c r="L13" s="2"/>
      <c r="M13" s="1"/>
      <c r="N13" s="2"/>
      <c r="O13" s="1"/>
      <c r="P13" s="2"/>
      <c r="Q13" s="1">
        <v>2011</v>
      </c>
      <c r="R13" s="2">
        <f>91+43+126</f>
        <v>260</v>
      </c>
      <c r="S13" s="1">
        <v>2011</v>
      </c>
      <c r="T13" s="2">
        <f>91+43+126</f>
        <v>260</v>
      </c>
    </row>
    <row r="14" spans="1:28" x14ac:dyDescent="0.25">
      <c r="A14" s="1">
        <v>2002</v>
      </c>
      <c r="B14" s="2">
        <v>874</v>
      </c>
      <c r="C14" s="1">
        <v>2002</v>
      </c>
      <c r="D14" s="2">
        <v>874</v>
      </c>
      <c r="E14" s="1">
        <v>2010</v>
      </c>
      <c r="F14" s="6">
        <v>941.75</v>
      </c>
      <c r="G14" s="1">
        <v>2010</v>
      </c>
      <c r="H14" s="6">
        <v>941.75</v>
      </c>
      <c r="I14" s="9"/>
      <c r="J14" s="9"/>
      <c r="K14" s="9"/>
      <c r="L14" s="9"/>
      <c r="M14" s="1"/>
      <c r="N14" s="2"/>
      <c r="O14" s="1"/>
      <c r="P14" s="2"/>
      <c r="Q14" s="1">
        <v>2012</v>
      </c>
      <c r="R14" s="2">
        <f>95+42+121</f>
        <v>258</v>
      </c>
      <c r="S14" s="1">
        <v>2012</v>
      </c>
      <c r="T14" s="2">
        <f>95+42+121</f>
        <v>258</v>
      </c>
    </row>
    <row r="15" spans="1:28" x14ac:dyDescent="0.25">
      <c r="A15" s="1">
        <v>2003</v>
      </c>
      <c r="B15" s="2">
        <v>869</v>
      </c>
      <c r="C15" s="1">
        <v>2003</v>
      </c>
      <c r="D15" s="2">
        <v>869</v>
      </c>
      <c r="E15" s="1">
        <v>2011</v>
      </c>
      <c r="F15" s="6">
        <v>922.36300000000006</v>
      </c>
      <c r="G15" s="1">
        <v>2011</v>
      </c>
      <c r="H15" s="6">
        <v>922.36300000000006</v>
      </c>
      <c r="I15" s="1"/>
      <c r="J15" s="2"/>
      <c r="K15" s="1"/>
      <c r="L15" s="2"/>
      <c r="M15" s="1"/>
      <c r="N15" s="2"/>
      <c r="O15" s="1"/>
      <c r="P15" s="2"/>
      <c r="Q15" s="1">
        <v>2013</v>
      </c>
      <c r="R15" s="2">
        <f>101+45+122</f>
        <v>268</v>
      </c>
      <c r="S15" s="1">
        <v>2013</v>
      </c>
      <c r="T15" s="2">
        <f>101+45+122</f>
        <v>268</v>
      </c>
    </row>
    <row r="16" spans="1:28" x14ac:dyDescent="0.25">
      <c r="A16" s="1">
        <v>2004</v>
      </c>
      <c r="B16" s="2">
        <v>852</v>
      </c>
      <c r="C16" s="1">
        <v>2004</v>
      </c>
      <c r="D16" s="2">
        <v>852</v>
      </c>
      <c r="E16" s="1">
        <v>2012</v>
      </c>
      <c r="F16" s="6">
        <v>926.85</v>
      </c>
      <c r="G16" s="1">
        <v>2012</v>
      </c>
      <c r="H16" s="6">
        <v>926.85</v>
      </c>
      <c r="I16" s="1"/>
      <c r="J16" s="2"/>
      <c r="K16" s="1"/>
      <c r="L16" s="2"/>
      <c r="M16" s="1"/>
      <c r="N16" s="2"/>
      <c r="O16" s="1"/>
      <c r="P16" s="2"/>
      <c r="Q16" s="1">
        <v>2014</v>
      </c>
      <c r="R16" s="2">
        <f>83+42+121</f>
        <v>246</v>
      </c>
      <c r="S16" s="1">
        <v>2014</v>
      </c>
      <c r="T16" s="2">
        <f>83+42+121</f>
        <v>246</v>
      </c>
    </row>
    <row r="17" spans="1:20" x14ac:dyDescent="0.25">
      <c r="A17" s="1">
        <v>2005</v>
      </c>
      <c r="B17" s="2">
        <v>831.74699999999996</v>
      </c>
      <c r="C17" s="1">
        <v>2005</v>
      </c>
      <c r="D17" s="2">
        <v>831.74699999999996</v>
      </c>
      <c r="E17" s="1">
        <v>2013</v>
      </c>
      <c r="F17" s="6">
        <v>945.18600000000004</v>
      </c>
      <c r="G17" s="1">
        <v>2013</v>
      </c>
      <c r="H17" s="6">
        <v>945.18600000000004</v>
      </c>
      <c r="I17" s="1"/>
      <c r="J17" s="2"/>
      <c r="K17" s="1"/>
      <c r="L17" s="2"/>
      <c r="M17" s="1"/>
      <c r="N17" s="2"/>
      <c r="O17" s="1"/>
      <c r="P17" s="2"/>
      <c r="Q17" s="1">
        <v>2015</v>
      </c>
      <c r="R17" s="2">
        <f>86+42+127</f>
        <v>255</v>
      </c>
      <c r="S17" s="1">
        <v>2015</v>
      </c>
      <c r="T17" s="2">
        <f>86+42+127</f>
        <v>255</v>
      </c>
    </row>
    <row r="18" spans="1:20" x14ac:dyDescent="0.25">
      <c r="A18" s="1">
        <v>2006</v>
      </c>
      <c r="B18" s="2">
        <v>841.32799999999997</v>
      </c>
      <c r="C18" s="1">
        <v>2006</v>
      </c>
      <c r="D18" s="2">
        <v>841.32799999999997</v>
      </c>
      <c r="E18" s="1">
        <v>2014</v>
      </c>
      <c r="F18" s="6">
        <v>904.26199999999994</v>
      </c>
      <c r="G18" s="1">
        <v>2014</v>
      </c>
      <c r="H18" s="6">
        <v>904.26199999999994</v>
      </c>
      <c r="I18" s="1"/>
      <c r="J18" s="2"/>
      <c r="K18" s="1"/>
      <c r="L18" s="2"/>
      <c r="M18" s="1"/>
      <c r="N18" s="2"/>
      <c r="O18" s="1"/>
      <c r="P18" s="2"/>
      <c r="Q18" s="1">
        <v>2016</v>
      </c>
      <c r="R18" s="2">
        <f>R17*1.004</f>
        <v>256.02</v>
      </c>
      <c r="S18" s="1">
        <v>2016</v>
      </c>
      <c r="T18" s="2">
        <f>T17*1.004</f>
        <v>256.02</v>
      </c>
    </row>
    <row r="19" spans="1:20" x14ac:dyDescent="0.25">
      <c r="A19" s="1">
        <v>2007</v>
      </c>
      <c r="B19" s="2">
        <v>815.12</v>
      </c>
      <c r="C19" s="1">
        <v>2007</v>
      </c>
      <c r="D19" s="2">
        <v>815.12</v>
      </c>
      <c r="E19" s="1">
        <v>2015</v>
      </c>
      <c r="F19" s="6">
        <v>901.93200000000002</v>
      </c>
      <c r="G19" s="1">
        <v>2015</v>
      </c>
      <c r="H19" s="6">
        <v>901.93200000000002</v>
      </c>
      <c r="I19" s="1"/>
      <c r="J19" s="2"/>
      <c r="K19" s="1"/>
      <c r="L19" s="2"/>
      <c r="M19" s="1"/>
      <c r="N19" s="2"/>
      <c r="O19" s="1"/>
      <c r="P19" s="2"/>
      <c r="Q19" s="1">
        <v>2020</v>
      </c>
      <c r="R19" s="2">
        <f>R2*0.6</f>
        <v>244.2</v>
      </c>
      <c r="S19" s="1">
        <v>2020</v>
      </c>
      <c r="T19" s="2">
        <f>T2*0.6</f>
        <v>244.2</v>
      </c>
    </row>
    <row r="20" spans="1:20" x14ac:dyDescent="0.25">
      <c r="A20" s="1">
        <v>2008</v>
      </c>
      <c r="B20" s="2">
        <v>820.14</v>
      </c>
      <c r="C20" s="1">
        <v>2008</v>
      </c>
      <c r="D20" s="2">
        <v>820.14</v>
      </c>
      <c r="E20" s="1">
        <v>2016</v>
      </c>
      <c r="F20" s="6">
        <v>906</v>
      </c>
      <c r="G20" s="1">
        <v>2016</v>
      </c>
      <c r="H20" s="6">
        <v>906</v>
      </c>
      <c r="I20" s="5"/>
      <c r="J20" s="2"/>
      <c r="K20" s="5"/>
      <c r="L20" s="2"/>
      <c r="M20" s="1"/>
      <c r="N20" s="2"/>
      <c r="O20" s="1"/>
      <c r="P20" s="2"/>
      <c r="Q20" s="1">
        <v>2030</v>
      </c>
      <c r="R20" s="2">
        <f>R2*0.45</f>
        <v>183.15</v>
      </c>
      <c r="S20" s="1">
        <v>2030</v>
      </c>
      <c r="T20" s="2">
        <f>T2*0.45</f>
        <v>183.15</v>
      </c>
    </row>
    <row r="21" spans="1:20" x14ac:dyDescent="0.25">
      <c r="A21" s="1">
        <v>2009</v>
      </c>
      <c r="B21" s="2">
        <v>761.94500000000005</v>
      </c>
      <c r="C21" s="1">
        <v>2009</v>
      </c>
      <c r="D21" s="2">
        <v>761.94500000000005</v>
      </c>
      <c r="E21" s="1">
        <v>2020</v>
      </c>
      <c r="F21" s="2">
        <f>F2*0.6</f>
        <v>750.54899999999998</v>
      </c>
      <c r="G21" s="1">
        <v>2020</v>
      </c>
      <c r="H21" s="2">
        <f>H2*0.6</f>
        <v>750.54899999999998</v>
      </c>
      <c r="M21" s="1"/>
      <c r="N21" s="2"/>
      <c r="O21" s="1"/>
      <c r="P21" s="2"/>
      <c r="Q21" s="1">
        <v>2040</v>
      </c>
      <c r="R21" s="2">
        <f>R2*0.3</f>
        <v>122.1</v>
      </c>
      <c r="S21" s="1">
        <v>2040</v>
      </c>
      <c r="T21" s="2">
        <f>T2*0.3</f>
        <v>122.1</v>
      </c>
    </row>
    <row r="22" spans="1:20" x14ac:dyDescent="0.25">
      <c r="A22" s="1">
        <v>2010</v>
      </c>
      <c r="B22" s="2">
        <v>801.65300000000002</v>
      </c>
      <c r="C22" s="1">
        <v>2010</v>
      </c>
      <c r="D22" s="2">
        <v>801.65300000000002</v>
      </c>
      <c r="E22" s="1">
        <v>2030</v>
      </c>
      <c r="F22" s="2">
        <f>F2*0.45</f>
        <v>562.91174999999998</v>
      </c>
      <c r="G22" s="1">
        <v>2030</v>
      </c>
      <c r="H22" s="2">
        <f>H2*0.45</f>
        <v>562.91174999999998</v>
      </c>
      <c r="M22" s="5"/>
      <c r="N22" s="2"/>
      <c r="O22" s="5"/>
      <c r="P22" s="2"/>
      <c r="Q22" s="5">
        <v>2050</v>
      </c>
      <c r="R22" s="2">
        <f>R2*0.2</f>
        <v>81.400000000000006</v>
      </c>
      <c r="S22" s="5">
        <v>2050</v>
      </c>
      <c r="T22" s="2">
        <f>T2*0.05</f>
        <v>20.350000000000001</v>
      </c>
    </row>
    <row r="23" spans="1:20" x14ac:dyDescent="0.25">
      <c r="A23" s="1">
        <v>2011</v>
      </c>
      <c r="B23" s="2">
        <v>781.42600000000004</v>
      </c>
      <c r="C23" s="1">
        <v>2011</v>
      </c>
      <c r="D23" s="2">
        <v>781.42600000000004</v>
      </c>
      <c r="E23" s="1">
        <v>2040</v>
      </c>
      <c r="F23" s="2">
        <f>F2*0.3</f>
        <v>375.27449999999999</v>
      </c>
      <c r="G23" s="1">
        <v>2040</v>
      </c>
      <c r="H23" s="2">
        <f>H2*0.3</f>
        <v>375.27449999999999</v>
      </c>
    </row>
    <row r="24" spans="1:20" x14ac:dyDescent="0.25">
      <c r="A24" s="1">
        <v>2012</v>
      </c>
      <c r="B24" s="2">
        <v>788.09</v>
      </c>
      <c r="C24" s="1">
        <v>2012</v>
      </c>
      <c r="D24" s="2">
        <v>788.09</v>
      </c>
      <c r="E24" s="5">
        <v>2050</v>
      </c>
      <c r="F24" s="2">
        <f>F2*0.2</f>
        <v>250.18299999999999</v>
      </c>
      <c r="G24" s="5">
        <v>2050</v>
      </c>
      <c r="H24" s="2">
        <f>H2*0.05</f>
        <v>62.545749999999998</v>
      </c>
    </row>
    <row r="25" spans="1:20" x14ac:dyDescent="0.25">
      <c r="A25" s="1">
        <v>2013</v>
      </c>
      <c r="B25" s="2">
        <v>806.18200000000002</v>
      </c>
      <c r="C25" s="1">
        <v>2013</v>
      </c>
      <c r="D25" s="2">
        <v>806.18200000000002</v>
      </c>
    </row>
    <row r="26" spans="1:20" x14ac:dyDescent="0.25">
      <c r="A26" s="1">
        <v>2014</v>
      </c>
      <c r="B26" s="2">
        <v>764.40899999999999</v>
      </c>
      <c r="C26" s="1">
        <v>2014</v>
      </c>
      <c r="D26" s="2">
        <v>764.40899999999999</v>
      </c>
    </row>
    <row r="27" spans="1:20" x14ac:dyDescent="0.25">
      <c r="A27" s="1">
        <v>2015</v>
      </c>
      <c r="B27" s="2">
        <v>762.23099999999999</v>
      </c>
      <c r="C27" s="1">
        <v>2015</v>
      </c>
      <c r="D27" s="2">
        <v>762.23099999999999</v>
      </c>
    </row>
    <row r="28" spans="1:20" x14ac:dyDescent="0.25">
      <c r="A28" s="1">
        <v>2016</v>
      </c>
      <c r="B28" s="2">
        <f>B27*1.004</f>
        <v>765.27992400000005</v>
      </c>
      <c r="C28" s="1">
        <v>2016</v>
      </c>
      <c r="D28" s="2">
        <f>D27*1.004</f>
        <v>765.27992400000005</v>
      </c>
    </row>
    <row r="29" spans="1:20" x14ac:dyDescent="0.25">
      <c r="A29" s="1">
        <v>2020</v>
      </c>
      <c r="B29" s="2">
        <f>B2*0.6</f>
        <v>622.04160000000002</v>
      </c>
      <c r="C29" s="1">
        <v>2020</v>
      </c>
      <c r="D29" s="2">
        <f>D2*0.6</f>
        <v>622.04160000000002</v>
      </c>
    </row>
    <row r="30" spans="1:20" x14ac:dyDescent="0.25">
      <c r="A30" s="1">
        <v>2030</v>
      </c>
      <c r="B30" s="2">
        <f>B2*0.45</f>
        <v>466.53120000000007</v>
      </c>
      <c r="C30" s="1">
        <v>2030</v>
      </c>
      <c r="D30" s="2">
        <f>D2*0.45</f>
        <v>466.53120000000007</v>
      </c>
    </row>
    <row r="31" spans="1:20" x14ac:dyDescent="0.25">
      <c r="A31" s="1">
        <v>2040</v>
      </c>
      <c r="B31" s="2">
        <f>B2*0.3</f>
        <v>311.02080000000001</v>
      </c>
      <c r="C31" s="1">
        <v>2040</v>
      </c>
      <c r="D31" s="2">
        <f>D2*0.3</f>
        <v>311.02080000000001</v>
      </c>
    </row>
    <row r="32" spans="1:20" x14ac:dyDescent="0.25">
      <c r="A32" s="5">
        <v>2050</v>
      </c>
      <c r="B32" s="2">
        <f>B2*0.2</f>
        <v>207.34720000000004</v>
      </c>
      <c r="C32" s="5">
        <v>2050</v>
      </c>
      <c r="D32" s="2">
        <f>D2*0.05</f>
        <v>51.836800000000011</v>
      </c>
    </row>
    <row r="33" spans="2:2" x14ac:dyDescent="0.25">
      <c r="B33" s="3"/>
    </row>
  </sheetData>
  <mergeCells count="16">
    <mergeCell ref="AA1:AB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I14:J14"/>
    <mergeCell ref="K14:L14"/>
    <mergeCell ref="U1:V1"/>
    <mergeCell ref="W1:X1"/>
    <mergeCell ref="Y1:Z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abSelected="1" workbookViewId="0">
      <selection activeCell="J27" sqref="J27"/>
    </sheetView>
  </sheetViews>
  <sheetFormatPr baseColWidth="10" defaultRowHeight="15" x14ac:dyDescent="0.25"/>
  <cols>
    <col min="6" max="6" width="20" bestFit="1" customWidth="1"/>
  </cols>
  <sheetData>
    <row r="2" spans="2:9" x14ac:dyDescent="0.25">
      <c r="B2" s="9" t="s">
        <v>23</v>
      </c>
      <c r="C2" s="9"/>
      <c r="D2" s="9" t="s">
        <v>24</v>
      </c>
      <c r="E2" s="9"/>
      <c r="F2" t="s">
        <v>12</v>
      </c>
    </row>
    <row r="3" spans="2:9" x14ac:dyDescent="0.25">
      <c r="B3" s="1">
        <v>1990</v>
      </c>
      <c r="C3" s="2">
        <f>132+88+187+41.9</f>
        <v>448.9</v>
      </c>
      <c r="D3" s="1">
        <v>1990</v>
      </c>
      <c r="E3" s="2">
        <f>132+88+187+41.9</f>
        <v>448.9</v>
      </c>
      <c r="F3" t="s">
        <v>13</v>
      </c>
    </row>
    <row r="4" spans="2:9" x14ac:dyDescent="0.25">
      <c r="B4" s="1">
        <v>2000</v>
      </c>
      <c r="C4" s="2">
        <f>119+54+130+25.5</f>
        <v>328.5</v>
      </c>
      <c r="D4" s="1">
        <v>2000</v>
      </c>
      <c r="E4" s="2">
        <f>119+54+130+25.5</f>
        <v>328.5</v>
      </c>
      <c r="F4" t="s">
        <v>13</v>
      </c>
    </row>
    <row r="5" spans="2:9" x14ac:dyDescent="0.25">
      <c r="B5" s="1">
        <v>2010</v>
      </c>
      <c r="C5" s="2">
        <f>107+48+125+40.5</f>
        <v>320.5</v>
      </c>
      <c r="D5" s="1">
        <v>2010</v>
      </c>
      <c r="E5" s="2">
        <f>107+48+125+40.5</f>
        <v>320.5</v>
      </c>
      <c r="F5" t="s">
        <v>13</v>
      </c>
    </row>
    <row r="6" spans="2:9" x14ac:dyDescent="0.25">
      <c r="B6" s="1">
        <v>2015</v>
      </c>
      <c r="C6" s="2">
        <f>86+42+127+35.9</f>
        <v>290.89999999999998</v>
      </c>
      <c r="D6" s="1">
        <v>2015</v>
      </c>
      <c r="E6" s="2">
        <f>86+42+127+35.9</f>
        <v>290.89999999999998</v>
      </c>
      <c r="F6" t="s">
        <v>13</v>
      </c>
    </row>
    <row r="7" spans="2:9" x14ac:dyDescent="0.25">
      <c r="B7" s="1">
        <v>2030</v>
      </c>
      <c r="C7" s="2">
        <f>C3*0.425</f>
        <v>190.7825</v>
      </c>
      <c r="D7" s="1">
        <v>2030</v>
      </c>
      <c r="E7" s="2">
        <f>E3*0.41</f>
        <v>184.04899999999998</v>
      </c>
      <c r="F7" t="s">
        <v>14</v>
      </c>
    </row>
    <row r="8" spans="2:9" x14ac:dyDescent="0.25">
      <c r="B8" s="5">
        <v>2050</v>
      </c>
      <c r="C8" s="2">
        <f>C3*(1-0.8765)</f>
        <v>55.439150000000019</v>
      </c>
      <c r="D8" s="5">
        <v>2050</v>
      </c>
      <c r="E8" s="2">
        <f>E3*(1-0.9791)</f>
        <v>9.3820100000000135</v>
      </c>
      <c r="F8" t="s">
        <v>15</v>
      </c>
      <c r="G8" s="2"/>
      <c r="I8" s="2"/>
    </row>
    <row r="10" spans="2:9" x14ac:dyDescent="0.25">
      <c r="B10" t="s">
        <v>25</v>
      </c>
    </row>
    <row r="11" spans="2:9" x14ac:dyDescent="0.25">
      <c r="B11" s="7" t="s">
        <v>16</v>
      </c>
      <c r="C11">
        <v>407</v>
      </c>
    </row>
    <row r="12" spans="2:9" x14ac:dyDescent="0.25">
      <c r="B12" s="7" t="s">
        <v>17</v>
      </c>
      <c r="C12">
        <v>492</v>
      </c>
    </row>
    <row r="13" spans="2:9" x14ac:dyDescent="0.25">
      <c r="B13" s="7" t="s">
        <v>18</v>
      </c>
      <c r="C13">
        <v>374</v>
      </c>
    </row>
    <row r="15" spans="2:9" ht="21" x14ac:dyDescent="0.35">
      <c r="B15" s="8" t="s">
        <v>26</v>
      </c>
    </row>
    <row r="16" spans="2:9" x14ac:dyDescent="0.25">
      <c r="B16" s="1"/>
      <c r="C16" s="2"/>
      <c r="D16" s="1"/>
      <c r="E16" s="2"/>
    </row>
    <row r="17" spans="2:5" x14ac:dyDescent="0.25">
      <c r="B17" s="7" t="s">
        <v>19</v>
      </c>
      <c r="C17" s="2">
        <f>91+43+126</f>
        <v>260</v>
      </c>
      <c r="D17" s="1"/>
      <c r="E17" s="2"/>
    </row>
    <row r="18" spans="2:5" x14ac:dyDescent="0.25">
      <c r="B18" s="7" t="s">
        <v>21</v>
      </c>
      <c r="C18" s="2">
        <v>300</v>
      </c>
      <c r="D18" s="1"/>
      <c r="E18" s="2"/>
    </row>
    <row r="19" spans="2:5" x14ac:dyDescent="0.25">
      <c r="B19" s="7" t="s">
        <v>22</v>
      </c>
      <c r="C19" s="2">
        <v>255.2</v>
      </c>
      <c r="D19" s="1"/>
      <c r="E19" s="2"/>
    </row>
    <row r="20" spans="2:5" x14ac:dyDescent="0.25">
      <c r="B20" s="7" t="s">
        <v>20</v>
      </c>
    </row>
  </sheetData>
  <mergeCells count="2">
    <mergeCell ref="B2:C2"/>
    <mergeCell ref="D2:E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80%_95%</vt:lpstr>
      <vt:lpstr>BioPlanW</vt:lpstr>
    </vt:vector>
  </TitlesOfParts>
  <Company>UFZ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Martin</dc:creator>
  <cp:lastModifiedBy>Matthias Jordan martinm</cp:lastModifiedBy>
  <dcterms:created xsi:type="dcterms:W3CDTF">2017-07-06T06:46:10Z</dcterms:created>
  <dcterms:modified xsi:type="dcterms:W3CDTF">2020-06-29T12:45:43Z</dcterms:modified>
</cp:coreProperties>
</file>