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namedSheetViews/namedSheetView2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atemdistr.sharepoint.com/sites/ComercioExterior/Documentos Compartilhados/Comercio Exterior/4. Exportação/2. Exportação Direta - Bunker - STS/2025/"/>
    </mc:Choice>
  </mc:AlternateContent>
  <xr:revisionPtr revIDLastSave="2942" documentId="14_{023C7F36-A572-49C6-9A63-372DE38B4047}" xr6:coauthVersionLast="47" xr6:coauthVersionMax="47" xr10:uidLastSave="{0964273F-536C-401F-AF88-12AF3A76DBC4}"/>
  <bookViews>
    <workbookView minimized="1" xWindow="9120" yWindow="1440" windowWidth="17280" windowHeight="8880" tabRatio="825" activeTab="1" xr2:uid="{00000000-000D-0000-FFFF-FFFF00000000}"/>
  </bookViews>
  <sheets>
    <sheet name="Bunker - AM" sheetId="1" r:id="rId1"/>
    <sheet name="Bunker - PA" sheetId="2" r:id="rId2"/>
    <sheet name="KPI AM" sheetId="4" r:id="rId3"/>
    <sheet name="KPI PA" sheetId="6" r:id="rId4"/>
    <sheet name="Planilha2" sheetId="7" r:id="rId5"/>
    <sheet name="Planilha1" sheetId="3" state="hidden" r:id="rId6"/>
  </sheets>
  <calcPr calcId="191028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1" i="2" l="1"/>
  <c r="Z41" i="2"/>
  <c r="AB41" i="2"/>
  <c r="AC41" i="2"/>
  <c r="AO41" i="2"/>
  <c r="AP41" i="2"/>
  <c r="AR41" i="2"/>
  <c r="AT41" i="2" s="1"/>
  <c r="AV41" i="2"/>
  <c r="AW41" i="2" s="1"/>
  <c r="AX41" i="2" s="1"/>
  <c r="P101" i="1"/>
  <c r="Y101" i="1"/>
  <c r="AA101" i="1"/>
  <c r="AB101" i="1"/>
  <c r="AN101" i="1"/>
  <c r="AO101" i="1"/>
  <c r="AQ101" i="1"/>
  <c r="AS101" i="1" s="1"/>
  <c r="AU101" i="1"/>
  <c r="AV101" i="1" s="1"/>
  <c r="AW101" i="1" s="1"/>
  <c r="AC2" i="2" l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U97" i="1"/>
  <c r="AV97" i="1" s="1"/>
  <c r="AU100" i="1" l="1"/>
  <c r="AV100" i="1" s="1"/>
  <c r="AW100" i="1" s="1"/>
  <c r="AQ100" i="1"/>
  <c r="AS100" i="1" s="1"/>
  <c r="AO100" i="1"/>
  <c r="AN100" i="1"/>
  <c r="AB100" i="1"/>
  <c r="AA100" i="1"/>
  <c r="Y100" i="1"/>
  <c r="P100" i="1"/>
  <c r="P99" i="1"/>
  <c r="Y99" i="1"/>
  <c r="AA99" i="1"/>
  <c r="AB99" i="1"/>
  <c r="AN99" i="1"/>
  <c r="AO99" i="1"/>
  <c r="AQ99" i="1"/>
  <c r="AS99" i="1" s="1"/>
  <c r="AU99" i="1"/>
  <c r="AV99" i="1" s="1"/>
  <c r="AW99" i="1" s="1"/>
  <c r="AV40" i="2" l="1"/>
  <c r="AW40" i="2" s="1"/>
  <c r="AX40" i="2" s="1"/>
  <c r="AR40" i="2"/>
  <c r="AT40" i="2" s="1"/>
  <c r="AP40" i="2"/>
  <c r="AO40" i="2"/>
  <c r="AB40" i="2"/>
  <c r="Z40" i="2"/>
  <c r="R40" i="2"/>
  <c r="R39" i="2"/>
  <c r="Z39" i="2"/>
  <c r="AB39" i="2"/>
  <c r="AO39" i="2"/>
  <c r="AP39" i="2"/>
  <c r="AR39" i="2"/>
  <c r="AT39" i="2" s="1"/>
  <c r="AV39" i="2"/>
  <c r="AW39" i="2" s="1"/>
  <c r="AX39" i="2" s="1"/>
  <c r="R38" i="2"/>
  <c r="Z38" i="2"/>
  <c r="AB38" i="2"/>
  <c r="AO38" i="2"/>
  <c r="AP38" i="2"/>
  <c r="AR38" i="2"/>
  <c r="AT38" i="2" s="1"/>
  <c r="AV38" i="2"/>
  <c r="AW38" i="2" s="1"/>
  <c r="AX38" i="2" s="1"/>
  <c r="AV37" i="2"/>
  <c r="AW37" i="2" s="1"/>
  <c r="AX37" i="2" s="1"/>
  <c r="AV36" i="2"/>
  <c r="AW36" i="2" s="1"/>
  <c r="AX36" i="2" s="1"/>
  <c r="R37" i="2"/>
  <c r="Z37" i="2"/>
  <c r="AB37" i="2"/>
  <c r="AO37" i="2"/>
  <c r="AP37" i="2"/>
  <c r="AR37" i="2"/>
  <c r="AT37" i="2" s="1"/>
  <c r="P98" i="1"/>
  <c r="Y98" i="1"/>
  <c r="AA98" i="1"/>
  <c r="AB98" i="1"/>
  <c r="AN98" i="1"/>
  <c r="AO98" i="1"/>
  <c r="AQ98" i="1"/>
  <c r="AS98" i="1" s="1"/>
  <c r="AU98" i="1"/>
  <c r="AV98" i="1" s="1"/>
  <c r="AW98" i="1" s="1"/>
  <c r="P97" i="1"/>
  <c r="Y97" i="1"/>
  <c r="AA97" i="1"/>
  <c r="AB97" i="1"/>
  <c r="AN97" i="1"/>
  <c r="AO97" i="1"/>
  <c r="AQ97" i="1"/>
  <c r="AS97" i="1" s="1"/>
  <c r="AW97" i="1"/>
  <c r="R36" i="2"/>
  <c r="Z36" i="2"/>
  <c r="AB36" i="2"/>
  <c r="AO36" i="2"/>
  <c r="AP36" i="2"/>
  <c r="AR36" i="2"/>
  <c r="AT36" i="2" s="1"/>
  <c r="P96" i="1"/>
  <c r="Y96" i="1"/>
  <c r="AA96" i="1"/>
  <c r="AB96" i="1"/>
  <c r="AN96" i="1"/>
  <c r="AO96" i="1"/>
  <c r="AQ96" i="1"/>
  <c r="AS96" i="1" s="1"/>
  <c r="AU96" i="1"/>
  <c r="AV96" i="1" s="1"/>
  <c r="AW96" i="1" s="1"/>
  <c r="AQ22" i="1"/>
  <c r="AQ64" i="1"/>
  <c r="R35" i="2"/>
  <c r="Z35" i="2"/>
  <c r="AB35" i="2"/>
  <c r="AO35" i="2"/>
  <c r="AP35" i="2"/>
  <c r="AR35" i="2"/>
  <c r="AT35" i="2" s="1"/>
  <c r="AV35" i="2"/>
  <c r="AW35" i="2" s="1"/>
  <c r="AX35" i="2" s="1"/>
  <c r="R34" i="2" l="1"/>
  <c r="Z34" i="2"/>
  <c r="AB34" i="2"/>
  <c r="AO34" i="2"/>
  <c r="AP34" i="2"/>
  <c r="AR34" i="2"/>
  <c r="AT34" i="2" s="1"/>
  <c r="AV34" i="2"/>
  <c r="AW34" i="2" s="1"/>
  <c r="AX34" i="2" s="1"/>
  <c r="R33" i="2"/>
  <c r="Z33" i="2"/>
  <c r="AB33" i="2"/>
  <c r="AO33" i="2"/>
  <c r="AP33" i="2"/>
  <c r="AR33" i="2"/>
  <c r="AT33" i="2" s="1"/>
  <c r="AV33" i="2"/>
  <c r="AW33" i="2" s="1"/>
  <c r="AX33" i="2" s="1"/>
  <c r="P95" i="1"/>
  <c r="Y95" i="1"/>
  <c r="AA95" i="1"/>
  <c r="AB95" i="1"/>
  <c r="AN95" i="1"/>
  <c r="AO95" i="1"/>
  <c r="AQ95" i="1"/>
  <c r="AS95" i="1" s="1"/>
  <c r="AU95" i="1"/>
  <c r="AV95" i="1" s="1"/>
  <c r="AW95" i="1" s="1"/>
  <c r="R32" i="2"/>
  <c r="Z32" i="2"/>
  <c r="AB32" i="2"/>
  <c r="AO32" i="2"/>
  <c r="AP32" i="2"/>
  <c r="AR32" i="2"/>
  <c r="AT32" i="2" s="1"/>
  <c r="AV32" i="2"/>
  <c r="AW32" i="2" s="1"/>
  <c r="AX32" i="2" s="1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Y69" i="1"/>
  <c r="AA69" i="1"/>
  <c r="AB69" i="1"/>
  <c r="AN69" i="1"/>
  <c r="AO69" i="1"/>
  <c r="AQ69" i="1"/>
  <c r="AS69" i="1" s="1"/>
  <c r="AU69" i="1"/>
  <c r="AV69" i="1" s="1"/>
  <c r="AW69" i="1" s="1"/>
  <c r="Y94" i="1"/>
  <c r="AA94" i="1"/>
  <c r="AB94" i="1"/>
  <c r="AN94" i="1"/>
  <c r="AO94" i="1"/>
  <c r="AQ94" i="1"/>
  <c r="AS94" i="1" s="1"/>
  <c r="AU94" i="1"/>
  <c r="AV94" i="1" s="1"/>
  <c r="AW94" i="1" s="1"/>
  <c r="Y93" i="1" l="1"/>
  <c r="AA93" i="1"/>
  <c r="AB93" i="1"/>
  <c r="AN93" i="1"/>
  <c r="AO93" i="1"/>
  <c r="AQ93" i="1"/>
  <c r="AS93" i="1" s="1"/>
  <c r="AU93" i="1"/>
  <c r="AV93" i="1" s="1"/>
  <c r="AW93" i="1" s="1"/>
  <c r="Y92" i="1"/>
  <c r="AA92" i="1"/>
  <c r="AB92" i="1"/>
  <c r="AN92" i="1"/>
  <c r="AO92" i="1"/>
  <c r="AQ92" i="1"/>
  <c r="AS92" i="1" s="1"/>
  <c r="AU92" i="1"/>
  <c r="AV92" i="1" s="1"/>
  <c r="AW92" i="1" s="1"/>
  <c r="Y91" i="1"/>
  <c r="AA91" i="1"/>
  <c r="AB91" i="1"/>
  <c r="AN91" i="1"/>
  <c r="AO91" i="1"/>
  <c r="AQ91" i="1"/>
  <c r="AS91" i="1" s="1"/>
  <c r="AU91" i="1"/>
  <c r="AV91" i="1" s="1"/>
  <c r="AW91" i="1" s="1"/>
  <c r="Y90" i="1"/>
  <c r="AA90" i="1"/>
  <c r="AB90" i="1"/>
  <c r="AN90" i="1"/>
  <c r="AO90" i="1"/>
  <c r="AQ90" i="1"/>
  <c r="AS90" i="1" s="1"/>
  <c r="AU90" i="1"/>
  <c r="AV90" i="1" s="1"/>
  <c r="AW90" i="1" s="1"/>
  <c r="Z31" i="2"/>
  <c r="AB31" i="2"/>
  <c r="AO31" i="2"/>
  <c r="AP31" i="2"/>
  <c r="AR31" i="2"/>
  <c r="AT31" i="2" s="1"/>
  <c r="AV31" i="2"/>
  <c r="AW31" i="2" s="1"/>
  <c r="AX31" i="2" s="1"/>
  <c r="Z30" i="2"/>
  <c r="AB30" i="2"/>
  <c r="AO30" i="2"/>
  <c r="AP30" i="2"/>
  <c r="AR30" i="2"/>
  <c r="AT30" i="2" s="1"/>
  <c r="AV30" i="2"/>
  <c r="AW30" i="2" s="1"/>
  <c r="AX30" i="2" s="1"/>
  <c r="Y89" i="1"/>
  <c r="AA89" i="1"/>
  <c r="AB89" i="1"/>
  <c r="AN89" i="1"/>
  <c r="AO89" i="1"/>
  <c r="AQ89" i="1"/>
  <c r="AS89" i="1" s="1"/>
  <c r="AU89" i="1"/>
  <c r="AV89" i="1" s="1"/>
  <c r="AW89" i="1" s="1"/>
  <c r="Z29" i="2"/>
  <c r="AB29" i="2"/>
  <c r="AO29" i="2"/>
  <c r="AP29" i="2"/>
  <c r="AR29" i="2"/>
  <c r="AT29" i="2" s="1"/>
  <c r="AV29" i="2"/>
  <c r="AW29" i="2" s="1"/>
  <c r="AX29" i="2" s="1"/>
  <c r="Y88" i="1"/>
  <c r="AA88" i="1"/>
  <c r="AB88" i="1"/>
  <c r="AN88" i="1"/>
  <c r="AO88" i="1"/>
  <c r="AQ88" i="1"/>
  <c r="AS88" i="1" s="1"/>
  <c r="AU88" i="1"/>
  <c r="AV88" i="1" s="1"/>
  <c r="AW88" i="1" s="1"/>
  <c r="AR19" i="2"/>
  <c r="Z28" i="2" l="1"/>
  <c r="AB28" i="2"/>
  <c r="AO28" i="2"/>
  <c r="AP28" i="2"/>
  <c r="AR28" i="2"/>
  <c r="AT28" i="2" s="1"/>
  <c r="AV28" i="2"/>
  <c r="AW28" i="2" s="1"/>
  <c r="AX28" i="2" s="1"/>
  <c r="AQ49" i="1"/>
  <c r="AS49" i="1" s="1"/>
  <c r="AQ3" i="1"/>
  <c r="AN81" i="1"/>
  <c r="AQ66" i="1" l="1"/>
  <c r="Y87" i="1" l="1"/>
  <c r="AA87" i="1"/>
  <c r="AB87" i="1"/>
  <c r="AN87" i="1"/>
  <c r="AO87" i="1"/>
  <c r="AQ87" i="1"/>
  <c r="AS87" i="1" s="1"/>
  <c r="AU87" i="1"/>
  <c r="AV87" i="1" s="1"/>
  <c r="AW87" i="1" s="1"/>
  <c r="AQ68" i="1" l="1"/>
  <c r="Y86" i="1" l="1"/>
  <c r="AA86" i="1"/>
  <c r="AB86" i="1"/>
  <c r="AN86" i="1"/>
  <c r="AO86" i="1"/>
  <c r="AQ86" i="1"/>
  <c r="AS86" i="1" s="1"/>
  <c r="AU86" i="1"/>
  <c r="AV86" i="1" s="1"/>
  <c r="AW86" i="1" s="1"/>
  <c r="Z27" i="2"/>
  <c r="AB27" i="2"/>
  <c r="AO27" i="2"/>
  <c r="AP27" i="2"/>
  <c r="AR27" i="2"/>
  <c r="AT27" i="2" s="1"/>
  <c r="AV27" i="2"/>
  <c r="AW27" i="2" s="1"/>
  <c r="AX27" i="2" s="1"/>
  <c r="Z26" i="2"/>
  <c r="AB26" i="2"/>
  <c r="AO26" i="2"/>
  <c r="AP26" i="2"/>
  <c r="AR26" i="2"/>
  <c r="AT26" i="2" s="1"/>
  <c r="AV26" i="2"/>
  <c r="AW26" i="2" s="1"/>
  <c r="AX26" i="2" s="1"/>
  <c r="Z25" i="2"/>
  <c r="AB25" i="2"/>
  <c r="AO25" i="2"/>
  <c r="AP25" i="2"/>
  <c r="AR25" i="2"/>
  <c r="AT25" i="2" s="1"/>
  <c r="AV25" i="2"/>
  <c r="AW25" i="2" s="1"/>
  <c r="AX25" i="2" s="1"/>
  <c r="Z24" i="2"/>
  <c r="AB24" i="2"/>
  <c r="AO24" i="2"/>
  <c r="AP24" i="2"/>
  <c r="AR24" i="2"/>
  <c r="AT24" i="2" s="1"/>
  <c r="AV24" i="2"/>
  <c r="AW24" i="2" s="1"/>
  <c r="AX24" i="2" s="1"/>
  <c r="Y85" i="1" l="1"/>
  <c r="AA85" i="1"/>
  <c r="AB85" i="1"/>
  <c r="AN85" i="1"/>
  <c r="AO85" i="1"/>
  <c r="AQ85" i="1"/>
  <c r="AS85" i="1" s="1"/>
  <c r="AU85" i="1"/>
  <c r="AV85" i="1" s="1"/>
  <c r="AW85" i="1" s="1"/>
  <c r="Y84" i="1"/>
  <c r="AA84" i="1"/>
  <c r="AB84" i="1"/>
  <c r="AN84" i="1"/>
  <c r="AO84" i="1"/>
  <c r="AQ84" i="1"/>
  <c r="AS84" i="1" s="1"/>
  <c r="AU84" i="1"/>
  <c r="AV84" i="1" s="1"/>
  <c r="AW84" i="1" s="1"/>
  <c r="AU83" i="1"/>
  <c r="AV83" i="1" s="1"/>
  <c r="AW83" i="1" s="1"/>
  <c r="AQ83" i="1"/>
  <c r="AS83" i="1" s="1"/>
  <c r="AO83" i="1"/>
  <c r="AN83" i="1"/>
  <c r="AB83" i="1"/>
  <c r="AA83" i="1"/>
  <c r="Y83" i="1"/>
  <c r="AU82" i="1"/>
  <c r="AV82" i="1" s="1"/>
  <c r="AW82" i="1" s="1"/>
  <c r="AQ82" i="1"/>
  <c r="AS82" i="1" s="1"/>
  <c r="AO82" i="1"/>
  <c r="AN82" i="1"/>
  <c r="AB82" i="1"/>
  <c r="AA82" i="1"/>
  <c r="Y82" i="1"/>
  <c r="Y81" i="1"/>
  <c r="AA81" i="1"/>
  <c r="AB81" i="1"/>
  <c r="AO81" i="1"/>
  <c r="AQ81" i="1"/>
  <c r="AS81" i="1" s="1"/>
  <c r="AU81" i="1"/>
  <c r="AV81" i="1" s="1"/>
  <c r="AW81" i="1" s="1"/>
  <c r="Z23" i="2"/>
  <c r="AB23" i="2"/>
  <c r="AO23" i="2"/>
  <c r="AP23" i="2"/>
  <c r="AR23" i="2"/>
  <c r="AT23" i="2" s="1"/>
  <c r="AV23" i="2"/>
  <c r="AW23" i="2" s="1"/>
  <c r="AX23" i="2" s="1"/>
  <c r="Z22" i="2"/>
  <c r="AB22" i="2"/>
  <c r="AO22" i="2"/>
  <c r="AP22" i="2"/>
  <c r="AR22" i="2"/>
  <c r="AT22" i="2" s="1"/>
  <c r="AV22" i="2"/>
  <c r="AW22" i="2" s="1"/>
  <c r="AX22" i="2" s="1"/>
  <c r="Y79" i="1" l="1"/>
  <c r="AA79" i="1"/>
  <c r="AB79" i="1"/>
  <c r="AN79" i="1"/>
  <c r="AO79" i="1"/>
  <c r="AQ79" i="1"/>
  <c r="AS79" i="1" s="1"/>
  <c r="AU79" i="1"/>
  <c r="AV79" i="1" s="1"/>
  <c r="AW79" i="1" s="1"/>
  <c r="Y77" i="1"/>
  <c r="AA77" i="1"/>
  <c r="AB77" i="1"/>
  <c r="AN77" i="1"/>
  <c r="AO77" i="1"/>
  <c r="AQ77" i="1"/>
  <c r="AS77" i="1" s="1"/>
  <c r="AU77" i="1"/>
  <c r="AV77" i="1" s="1"/>
  <c r="AW77" i="1" s="1"/>
  <c r="Y78" i="1"/>
  <c r="AA78" i="1"/>
  <c r="AB78" i="1"/>
  <c r="AN78" i="1"/>
  <c r="AO78" i="1"/>
  <c r="AQ78" i="1"/>
  <c r="AS78" i="1" s="1"/>
  <c r="AU78" i="1"/>
  <c r="AV78" i="1" s="1"/>
  <c r="AW78" i="1" s="1"/>
  <c r="AV21" i="2"/>
  <c r="AW21" i="2" s="1"/>
  <c r="AX21" i="2" s="1"/>
  <c r="AR21" i="2"/>
  <c r="AT21" i="2" s="1"/>
  <c r="AP21" i="2"/>
  <c r="AO21" i="2"/>
  <c r="AB21" i="2"/>
  <c r="Z21" i="2"/>
  <c r="AV20" i="2"/>
  <c r="AW20" i="2" s="1"/>
  <c r="AX20" i="2" s="1"/>
  <c r="AR20" i="2"/>
  <c r="AT20" i="2" s="1"/>
  <c r="AP20" i="2"/>
  <c r="AO20" i="2"/>
  <c r="AB20" i="2"/>
  <c r="Z20" i="2"/>
  <c r="AB62" i="1"/>
  <c r="Z19" i="2"/>
  <c r="AB19" i="2"/>
  <c r="AO19" i="2"/>
  <c r="AP19" i="2"/>
  <c r="AT19" i="2"/>
  <c r="AV19" i="2"/>
  <c r="AW19" i="2" s="1"/>
  <c r="AX19" i="2" s="1"/>
  <c r="Y80" i="1"/>
  <c r="AA80" i="1"/>
  <c r="AB80" i="1"/>
  <c r="AN80" i="1"/>
  <c r="AO80" i="1"/>
  <c r="AQ80" i="1"/>
  <c r="AS80" i="1" s="1"/>
  <c r="AU80" i="1"/>
  <c r="AV80" i="1" s="1"/>
  <c r="AW80" i="1" s="1"/>
  <c r="Y76" i="1"/>
  <c r="AA76" i="1"/>
  <c r="AB76" i="1"/>
  <c r="AN76" i="1"/>
  <c r="AO76" i="1"/>
  <c r="AQ76" i="1"/>
  <c r="AS76" i="1" s="1"/>
  <c r="AU76" i="1"/>
  <c r="AV76" i="1" s="1"/>
  <c r="AW76" i="1" s="1"/>
  <c r="Y75" i="1"/>
  <c r="AA75" i="1"/>
  <c r="AB75" i="1"/>
  <c r="AN75" i="1"/>
  <c r="AO75" i="1"/>
  <c r="AQ75" i="1"/>
  <c r="AS75" i="1" s="1"/>
  <c r="AU75" i="1"/>
  <c r="AV75" i="1" s="1"/>
  <c r="AW75" i="1" s="1"/>
  <c r="Y74" i="1"/>
  <c r="AA74" i="1"/>
  <c r="AB74" i="1"/>
  <c r="AN74" i="1"/>
  <c r="AO74" i="1"/>
  <c r="AQ74" i="1"/>
  <c r="AS74" i="1" s="1"/>
  <c r="AU74" i="1"/>
  <c r="AV74" i="1" s="1"/>
  <c r="AW74" i="1" s="1"/>
  <c r="Y73" i="1" l="1"/>
  <c r="AA73" i="1"/>
  <c r="AB73" i="1"/>
  <c r="AN73" i="1"/>
  <c r="AO73" i="1"/>
  <c r="AQ73" i="1"/>
  <c r="AS73" i="1" s="1"/>
  <c r="AU73" i="1"/>
  <c r="AV73" i="1" s="1"/>
  <c r="AW73" i="1" s="1"/>
  <c r="Y72" i="1"/>
  <c r="AA72" i="1"/>
  <c r="AB72" i="1"/>
  <c r="AN72" i="1"/>
  <c r="AO72" i="1"/>
  <c r="AQ72" i="1"/>
  <c r="AS72" i="1" s="1"/>
  <c r="AU72" i="1"/>
  <c r="AV72" i="1" s="1"/>
  <c r="AW72" i="1" s="1"/>
  <c r="Y71" i="1" l="1"/>
  <c r="AA71" i="1"/>
  <c r="AB71" i="1"/>
  <c r="AN71" i="1"/>
  <c r="AO71" i="1"/>
  <c r="AQ71" i="1"/>
  <c r="AS71" i="1" s="1"/>
  <c r="AU71" i="1"/>
  <c r="AV71" i="1" s="1"/>
  <c r="AW71" i="1" s="1"/>
  <c r="Y70" i="1"/>
  <c r="AA70" i="1"/>
  <c r="AB70" i="1"/>
  <c r="AN70" i="1"/>
  <c r="AO70" i="1"/>
  <c r="AQ70" i="1"/>
  <c r="AS70" i="1" s="1"/>
  <c r="AU70" i="1"/>
  <c r="AV70" i="1" s="1"/>
  <c r="AW70" i="1" s="1"/>
  <c r="Y68" i="1" l="1"/>
  <c r="AA68" i="1"/>
  <c r="AB68" i="1"/>
  <c r="AN68" i="1"/>
  <c r="AO68" i="1"/>
  <c r="AS68" i="1"/>
  <c r="AU68" i="1"/>
  <c r="AV68" i="1" s="1"/>
  <c r="AW68" i="1" s="1"/>
  <c r="Y67" i="1"/>
  <c r="AA67" i="1"/>
  <c r="AB67" i="1"/>
  <c r="AN67" i="1"/>
  <c r="AO67" i="1"/>
  <c r="AQ67" i="1"/>
  <c r="AS67" i="1" s="1"/>
  <c r="AU67" i="1"/>
  <c r="AV67" i="1" s="1"/>
  <c r="AW67" i="1" s="1"/>
  <c r="Y66" i="1"/>
  <c r="AA66" i="1"/>
  <c r="AB66" i="1"/>
  <c r="AN66" i="1"/>
  <c r="AO66" i="1"/>
  <c r="AS66" i="1"/>
  <c r="AU66" i="1"/>
  <c r="AV66" i="1" s="1"/>
  <c r="AW66" i="1" s="1"/>
  <c r="Y65" i="1" l="1"/>
  <c r="AA65" i="1"/>
  <c r="AB65" i="1"/>
  <c r="AN65" i="1"/>
  <c r="AO65" i="1"/>
  <c r="AQ65" i="1"/>
  <c r="AS65" i="1" s="1"/>
  <c r="AU65" i="1"/>
  <c r="AV65" i="1" s="1"/>
  <c r="AW65" i="1" s="1"/>
  <c r="Y64" i="1"/>
  <c r="AA64" i="1"/>
  <c r="AN64" i="1"/>
  <c r="AS64" i="1"/>
  <c r="AU64" i="1"/>
  <c r="AV64" i="1" s="1"/>
  <c r="AW64" i="1" s="1"/>
  <c r="Y63" i="1"/>
  <c r="AA63" i="1"/>
  <c r="AB63" i="1"/>
  <c r="AN63" i="1"/>
  <c r="AO63" i="1"/>
  <c r="AQ63" i="1"/>
  <c r="AS63" i="1" s="1"/>
  <c r="AU63" i="1"/>
  <c r="AV63" i="1" s="1"/>
  <c r="AW63" i="1" s="1"/>
  <c r="Z18" i="2"/>
  <c r="AB18" i="2"/>
  <c r="AO18" i="2"/>
  <c r="AP18" i="2"/>
  <c r="AR18" i="2"/>
  <c r="AT18" i="2" s="1"/>
  <c r="AV18" i="2"/>
  <c r="AW18" i="2" s="1"/>
  <c r="AX18" i="2" s="1"/>
  <c r="Y62" i="1"/>
  <c r="AA62" i="1"/>
  <c r="AN62" i="1"/>
  <c r="AO62" i="1"/>
  <c r="AQ62" i="1"/>
  <c r="AS62" i="1" s="1"/>
  <c r="AU62" i="1"/>
  <c r="AV62" i="1" s="1"/>
  <c r="AW62" i="1" s="1"/>
  <c r="Y61" i="1"/>
  <c r="AA61" i="1"/>
  <c r="AB61" i="1"/>
  <c r="AN61" i="1"/>
  <c r="AO61" i="1"/>
  <c r="AQ61" i="1"/>
  <c r="AS61" i="1" s="1"/>
  <c r="AU61" i="1"/>
  <c r="AV61" i="1" s="1"/>
  <c r="AW61" i="1" s="1"/>
  <c r="Y60" i="1" l="1"/>
  <c r="AA60" i="1"/>
  <c r="AB60" i="1"/>
  <c r="AN60" i="1"/>
  <c r="AO60" i="1"/>
  <c r="AQ60" i="1"/>
  <c r="AS60" i="1" s="1"/>
  <c r="AU60" i="1"/>
  <c r="AV60" i="1" s="1"/>
  <c r="AW60" i="1" s="1"/>
  <c r="Z17" i="2"/>
  <c r="AB17" i="2"/>
  <c r="AO17" i="2"/>
  <c r="AP17" i="2"/>
  <c r="AR17" i="2"/>
  <c r="AT17" i="2" s="1"/>
  <c r="AV17" i="2"/>
  <c r="AW17" i="2" s="1"/>
  <c r="AX17" i="2" s="1"/>
  <c r="Z16" i="2"/>
  <c r="AB16" i="2"/>
  <c r="AO16" i="2"/>
  <c r="AP16" i="2"/>
  <c r="AR16" i="2"/>
  <c r="AT16" i="2" s="1"/>
  <c r="AV16" i="2"/>
  <c r="AW16" i="2" s="1"/>
  <c r="AX16" i="2" s="1"/>
  <c r="Z15" i="2"/>
  <c r="AB15" i="2"/>
  <c r="AO15" i="2"/>
  <c r="AP15" i="2"/>
  <c r="AR15" i="2"/>
  <c r="AT15" i="2" s="1"/>
  <c r="AV15" i="2"/>
  <c r="AW15" i="2" s="1"/>
  <c r="AX15" i="2" s="1"/>
  <c r="Z14" i="2"/>
  <c r="AB14" i="2"/>
  <c r="AO14" i="2"/>
  <c r="AP14" i="2"/>
  <c r="AR14" i="2"/>
  <c r="AT14" i="2" s="1"/>
  <c r="AV14" i="2"/>
  <c r="AW14" i="2" s="1"/>
  <c r="AX14" i="2" s="1"/>
  <c r="Z13" i="2"/>
  <c r="AB13" i="2"/>
  <c r="AO13" i="2"/>
  <c r="AP13" i="2"/>
  <c r="AR13" i="2"/>
  <c r="AT13" i="2" s="1"/>
  <c r="AV13" i="2"/>
  <c r="AW13" i="2" s="1"/>
  <c r="AX13" i="2" s="1"/>
  <c r="Y59" i="1"/>
  <c r="AA59" i="1"/>
  <c r="AB59" i="1"/>
  <c r="AN59" i="1"/>
  <c r="AO59" i="1"/>
  <c r="AQ59" i="1"/>
  <c r="AS59" i="1" s="1"/>
  <c r="AU59" i="1"/>
  <c r="AV59" i="1" s="1"/>
  <c r="AW59" i="1" s="1"/>
  <c r="Y58" i="1" l="1"/>
  <c r="AA58" i="1"/>
  <c r="AB58" i="1"/>
  <c r="AN58" i="1"/>
  <c r="AO58" i="1"/>
  <c r="AQ58" i="1"/>
  <c r="AS58" i="1" s="1"/>
  <c r="AU58" i="1"/>
  <c r="AV58" i="1" s="1"/>
  <c r="AW58" i="1" s="1"/>
  <c r="Z12" i="2"/>
  <c r="AB12" i="2"/>
  <c r="AO12" i="2"/>
  <c r="AP12" i="2"/>
  <c r="AR12" i="2"/>
  <c r="AT12" i="2" s="1"/>
  <c r="AV12" i="2"/>
  <c r="AW12" i="2" s="1"/>
  <c r="AX12" i="2" s="1"/>
  <c r="AV3" i="2"/>
  <c r="AW3" i="2" s="1"/>
  <c r="AX3" i="2" s="1"/>
  <c r="AV4" i="2"/>
  <c r="AW4" i="2" s="1"/>
  <c r="AX4" i="2" s="1"/>
  <c r="AV5" i="2"/>
  <c r="AW5" i="2" s="1"/>
  <c r="AX5" i="2" s="1"/>
  <c r="AV6" i="2"/>
  <c r="AW6" i="2" s="1"/>
  <c r="AX6" i="2" s="1"/>
  <c r="AV7" i="2"/>
  <c r="AW7" i="2" s="1"/>
  <c r="AX7" i="2" s="1"/>
  <c r="AV8" i="2"/>
  <c r="AW8" i="2" s="1"/>
  <c r="AX8" i="2" s="1"/>
  <c r="AV9" i="2"/>
  <c r="AW9" i="2" s="1"/>
  <c r="AX9" i="2" s="1"/>
  <c r="AV10" i="2"/>
  <c r="AW10" i="2" s="1"/>
  <c r="AX10" i="2" s="1"/>
  <c r="AV11" i="2"/>
  <c r="AW11" i="2" s="1"/>
  <c r="AX11" i="2" s="1"/>
  <c r="AV2" i="2"/>
  <c r="AW2" i="2" s="1"/>
  <c r="AX2" i="2" s="1"/>
  <c r="AU4" i="1" l="1"/>
  <c r="AV4" i="1" s="1"/>
  <c r="AW4" i="1" s="1"/>
  <c r="AU5" i="1"/>
  <c r="AV5" i="1" s="1"/>
  <c r="AW5" i="1" s="1"/>
  <c r="AU6" i="1"/>
  <c r="AV6" i="1" s="1"/>
  <c r="AW6" i="1" s="1"/>
  <c r="AU8" i="1"/>
  <c r="AV8" i="1" s="1"/>
  <c r="AW8" i="1" s="1"/>
  <c r="AU7" i="1"/>
  <c r="AV7" i="1" s="1"/>
  <c r="AW7" i="1" s="1"/>
  <c r="AU2" i="1"/>
  <c r="AV2" i="1" s="1"/>
  <c r="AW2" i="1" s="1"/>
  <c r="AU11" i="1"/>
  <c r="AV11" i="1" s="1"/>
  <c r="AW11" i="1" s="1"/>
  <c r="AU9" i="1"/>
  <c r="AV9" i="1" s="1"/>
  <c r="AW9" i="1" s="1"/>
  <c r="AU10" i="1"/>
  <c r="AV10" i="1" s="1"/>
  <c r="AW10" i="1" s="1"/>
  <c r="AU14" i="1"/>
  <c r="AV14" i="1" s="1"/>
  <c r="AW14" i="1" s="1"/>
  <c r="AU15" i="1"/>
  <c r="AV15" i="1" s="1"/>
  <c r="AW15" i="1" s="1"/>
  <c r="AU16" i="1"/>
  <c r="AV16" i="1" s="1"/>
  <c r="AW16" i="1" s="1"/>
  <c r="AU12" i="1"/>
  <c r="AV12" i="1" s="1"/>
  <c r="AW12" i="1" s="1"/>
  <c r="AU13" i="1"/>
  <c r="AV13" i="1" s="1"/>
  <c r="AW13" i="1" s="1"/>
  <c r="AU17" i="1"/>
  <c r="AV17" i="1" s="1"/>
  <c r="AW17" i="1" s="1"/>
  <c r="AU18" i="1"/>
  <c r="AV18" i="1" s="1"/>
  <c r="AW18" i="1" s="1"/>
  <c r="AU21" i="1"/>
  <c r="AV21" i="1" s="1"/>
  <c r="AW21" i="1" s="1"/>
  <c r="AU19" i="1"/>
  <c r="AV19" i="1" s="1"/>
  <c r="AW19" i="1" s="1"/>
  <c r="AU20" i="1"/>
  <c r="AV20" i="1" s="1"/>
  <c r="AW20" i="1" s="1"/>
  <c r="AU23" i="1"/>
  <c r="AV23" i="1" s="1"/>
  <c r="AW23" i="1" s="1"/>
  <c r="AU22" i="1"/>
  <c r="AV22" i="1" s="1"/>
  <c r="AW22" i="1" s="1"/>
  <c r="AU26" i="1"/>
  <c r="AV26" i="1" s="1"/>
  <c r="AW26" i="1" s="1"/>
  <c r="AU27" i="1"/>
  <c r="AV27" i="1" s="1"/>
  <c r="AW27" i="1" s="1"/>
  <c r="AU24" i="1"/>
  <c r="AV24" i="1" s="1"/>
  <c r="AW24" i="1" s="1"/>
  <c r="AU25" i="1"/>
  <c r="AV25" i="1" s="1"/>
  <c r="AW25" i="1" s="1"/>
  <c r="AU28" i="1"/>
  <c r="AV28" i="1" s="1"/>
  <c r="AW28" i="1" s="1"/>
  <c r="AU29" i="1"/>
  <c r="AV29" i="1" s="1"/>
  <c r="AW29" i="1" s="1"/>
  <c r="AU30" i="1"/>
  <c r="AV30" i="1" s="1"/>
  <c r="AW30" i="1" s="1"/>
  <c r="AU33" i="1"/>
  <c r="AV33" i="1" s="1"/>
  <c r="AW33" i="1" s="1"/>
  <c r="AU31" i="1"/>
  <c r="AV31" i="1" s="1"/>
  <c r="AW31" i="1" s="1"/>
  <c r="AU32" i="1"/>
  <c r="AV32" i="1" s="1"/>
  <c r="AW32" i="1" s="1"/>
  <c r="AU34" i="1"/>
  <c r="AV34" i="1" s="1"/>
  <c r="AW34" i="1" s="1"/>
  <c r="AU36" i="1"/>
  <c r="AV36" i="1" s="1"/>
  <c r="AW36" i="1" s="1"/>
  <c r="AU35" i="1"/>
  <c r="AV35" i="1" s="1"/>
  <c r="AW35" i="1" s="1"/>
  <c r="AU38" i="1"/>
  <c r="AV38" i="1" s="1"/>
  <c r="AW38" i="1" s="1"/>
  <c r="AU37" i="1"/>
  <c r="AV37" i="1" s="1"/>
  <c r="AW37" i="1" s="1"/>
  <c r="AU39" i="1"/>
  <c r="AV39" i="1" s="1"/>
  <c r="AW39" i="1" s="1"/>
  <c r="AU40" i="1"/>
  <c r="AV40" i="1" s="1"/>
  <c r="AW40" i="1" s="1"/>
  <c r="AU41" i="1"/>
  <c r="AV41" i="1" s="1"/>
  <c r="AW41" i="1" s="1"/>
  <c r="AU42" i="1"/>
  <c r="AV42" i="1" s="1"/>
  <c r="AW42" i="1" s="1"/>
  <c r="AU43" i="1"/>
  <c r="AV43" i="1" s="1"/>
  <c r="AW43" i="1" s="1"/>
  <c r="AU44" i="1"/>
  <c r="AV44" i="1" s="1"/>
  <c r="AW44" i="1" s="1"/>
  <c r="AU46" i="1"/>
  <c r="AV46" i="1" s="1"/>
  <c r="AW46" i="1" s="1"/>
  <c r="AU47" i="1"/>
  <c r="AV47" i="1" s="1"/>
  <c r="AW47" i="1" s="1"/>
  <c r="AU45" i="1"/>
  <c r="AV45" i="1" s="1"/>
  <c r="AW45" i="1" s="1"/>
  <c r="AU48" i="1"/>
  <c r="AV48" i="1" s="1"/>
  <c r="AW48" i="1" s="1"/>
  <c r="AU49" i="1"/>
  <c r="AV49" i="1" s="1"/>
  <c r="AW49" i="1" s="1"/>
  <c r="AU50" i="1"/>
  <c r="AV50" i="1" s="1"/>
  <c r="AW50" i="1" s="1"/>
  <c r="AU51" i="1"/>
  <c r="AV51" i="1" s="1"/>
  <c r="AW51" i="1" s="1"/>
  <c r="AU52" i="1"/>
  <c r="AV52" i="1" s="1"/>
  <c r="AW52" i="1" s="1"/>
  <c r="AU56" i="1"/>
  <c r="AV56" i="1" s="1"/>
  <c r="AW56" i="1" s="1"/>
  <c r="AU55" i="1"/>
  <c r="AV55" i="1" s="1"/>
  <c r="AW55" i="1" s="1"/>
  <c r="AU54" i="1"/>
  <c r="AV54" i="1" s="1"/>
  <c r="AW54" i="1" s="1"/>
  <c r="AU53" i="1"/>
  <c r="AV53" i="1" s="1"/>
  <c r="AW53" i="1" s="1"/>
  <c r="AU57" i="1"/>
  <c r="AV57" i="1" s="1"/>
  <c r="AW57" i="1" s="1"/>
  <c r="AU3" i="1" l="1"/>
  <c r="AV3" i="1" s="1"/>
  <c r="AW3" i="1" s="1"/>
  <c r="Y57" i="1"/>
  <c r="AA57" i="1"/>
  <c r="AB57" i="1"/>
  <c r="AN57" i="1"/>
  <c r="AO57" i="1"/>
  <c r="AQ57" i="1"/>
  <c r="AS57" i="1" s="1"/>
  <c r="AB2" i="2" l="1"/>
  <c r="AB3" i="2"/>
  <c r="AB4" i="2"/>
  <c r="AB5" i="2"/>
  <c r="AB6" i="2"/>
  <c r="AB7" i="2"/>
  <c r="AB8" i="2"/>
  <c r="AB9" i="2"/>
  <c r="AB10" i="2"/>
  <c r="AB11" i="2"/>
  <c r="AA3" i="1"/>
  <c r="AA4" i="1"/>
  <c r="AA5" i="1"/>
  <c r="AA6" i="1"/>
  <c r="AA8" i="1"/>
  <c r="AA7" i="1"/>
  <c r="AA2" i="1"/>
  <c r="AA11" i="1"/>
  <c r="AA9" i="1"/>
  <c r="AA10" i="1"/>
  <c r="AA14" i="1"/>
  <c r="AA15" i="1"/>
  <c r="AA16" i="1"/>
  <c r="AA12" i="1"/>
  <c r="AA13" i="1"/>
  <c r="AA17" i="1"/>
  <c r="AA18" i="1"/>
  <c r="AA21" i="1"/>
  <c r="AA19" i="1"/>
  <c r="AA20" i="1"/>
  <c r="AA23" i="1"/>
  <c r="AA22" i="1"/>
  <c r="AA26" i="1"/>
  <c r="AA27" i="1"/>
  <c r="AA24" i="1"/>
  <c r="AA25" i="1"/>
  <c r="AA28" i="1"/>
  <c r="AA29" i="1"/>
  <c r="AA30" i="1"/>
  <c r="AA33" i="1"/>
  <c r="AA31" i="1"/>
  <c r="AA32" i="1"/>
  <c r="AA34" i="1"/>
  <c r="AA36" i="1"/>
  <c r="AA35" i="1"/>
  <c r="AA38" i="1"/>
  <c r="AA37" i="1"/>
  <c r="AA39" i="1"/>
  <c r="AA40" i="1"/>
  <c r="AA41" i="1"/>
  <c r="AA42" i="1"/>
  <c r="AA43" i="1"/>
  <c r="AA44" i="1"/>
  <c r="AA46" i="1"/>
  <c r="AA47" i="1"/>
  <c r="AA45" i="1"/>
  <c r="AA48" i="1"/>
  <c r="AA49" i="1"/>
  <c r="AA50" i="1"/>
  <c r="AA51" i="1"/>
  <c r="AA52" i="1"/>
  <c r="AA56" i="1"/>
  <c r="AA55" i="1"/>
  <c r="AA54" i="1"/>
  <c r="AA53" i="1"/>
  <c r="Y53" i="1" l="1"/>
  <c r="AB53" i="1"/>
  <c r="AN53" i="1"/>
  <c r="AO53" i="1"/>
  <c r="AQ53" i="1"/>
  <c r="AS53" i="1" s="1"/>
  <c r="Y54" i="1"/>
  <c r="AN54" i="1"/>
  <c r="AO54" i="1"/>
  <c r="AQ54" i="1"/>
  <c r="AS54" i="1" s="1"/>
  <c r="Y55" i="1"/>
  <c r="AN55" i="1"/>
  <c r="AO55" i="1"/>
  <c r="AQ55" i="1"/>
  <c r="AS55" i="1" s="1"/>
  <c r="Y56" i="1"/>
  <c r="AB56" i="1"/>
  <c r="AN56" i="1"/>
  <c r="AO56" i="1"/>
  <c r="AQ56" i="1"/>
  <c r="AS56" i="1" s="1"/>
  <c r="Z11" i="2"/>
  <c r="AO11" i="2"/>
  <c r="AP11" i="2"/>
  <c r="AR11" i="2"/>
  <c r="AT11" i="2" s="1"/>
  <c r="Z10" i="2"/>
  <c r="AO10" i="2"/>
  <c r="AP10" i="2"/>
  <c r="AR10" i="2"/>
  <c r="AT10" i="2" s="1"/>
  <c r="Y52" i="1"/>
  <c r="AB52" i="1"/>
  <c r="AN52" i="1"/>
  <c r="AO52" i="1"/>
  <c r="AQ52" i="1"/>
  <c r="AS52" i="1" s="1"/>
  <c r="Y51" i="1"/>
  <c r="AB51" i="1"/>
  <c r="AN51" i="1"/>
  <c r="AO51" i="1"/>
  <c r="AQ51" i="1"/>
  <c r="AS51" i="1" s="1"/>
  <c r="Y50" i="1"/>
  <c r="AB50" i="1"/>
  <c r="AN50" i="1"/>
  <c r="AO50" i="1"/>
  <c r="AQ50" i="1"/>
  <c r="AS50" i="1" s="1"/>
  <c r="Z9" i="2"/>
  <c r="AO9" i="2"/>
  <c r="AP9" i="2"/>
  <c r="AR9" i="2"/>
  <c r="AT9" i="2" s="1"/>
  <c r="H10" i="3"/>
  <c r="H11" i="3"/>
  <c r="H9" i="3"/>
  <c r="J4" i="3"/>
  <c r="J5" i="3"/>
  <c r="J3" i="3"/>
  <c r="Y49" i="1"/>
  <c r="AB49" i="1"/>
  <c r="AN49" i="1"/>
  <c r="AO49" i="1"/>
  <c r="Y48" i="1"/>
  <c r="AB48" i="1"/>
  <c r="AN48" i="1"/>
  <c r="AO48" i="1"/>
  <c r="AQ48" i="1"/>
  <c r="AS48" i="1" s="1"/>
  <c r="Y45" i="1" l="1"/>
  <c r="AB45" i="1"/>
  <c r="AN45" i="1"/>
  <c r="AO45" i="1"/>
  <c r="AQ45" i="1"/>
  <c r="AS45" i="1" s="1"/>
  <c r="Z8" i="2"/>
  <c r="AO8" i="2"/>
  <c r="AP8" i="2"/>
  <c r="AR8" i="2"/>
  <c r="AT8" i="2" s="1"/>
  <c r="Z7" i="2" l="1"/>
  <c r="AO7" i="2"/>
  <c r="AP7" i="2"/>
  <c r="AR7" i="2"/>
  <c r="AT7" i="2" s="1"/>
  <c r="AQ46" i="1" l="1"/>
  <c r="AS46" i="1" s="1"/>
  <c r="AQ47" i="1"/>
  <c r="AS47" i="1" s="1"/>
  <c r="AO46" i="1"/>
  <c r="AO47" i="1"/>
  <c r="AN46" i="1"/>
  <c r="AN47" i="1"/>
  <c r="AB46" i="1"/>
  <c r="AB47" i="1"/>
  <c r="Y46" i="1"/>
  <c r="Y47" i="1"/>
  <c r="AQ43" i="1"/>
  <c r="AS43" i="1" s="1"/>
  <c r="AQ44" i="1"/>
  <c r="AS44" i="1" s="1"/>
  <c r="AO43" i="1"/>
  <c r="AO44" i="1"/>
  <c r="AN43" i="1"/>
  <c r="AN44" i="1"/>
  <c r="AB43" i="1"/>
  <c r="AB44" i="1"/>
  <c r="Y44" i="1"/>
  <c r="Y43" i="1"/>
  <c r="Z6" i="2"/>
  <c r="AO6" i="2"/>
  <c r="AP6" i="2"/>
  <c r="AR6" i="2"/>
  <c r="AT6" i="2" s="1"/>
  <c r="Z5" i="2"/>
  <c r="AO5" i="2"/>
  <c r="AP5" i="2"/>
  <c r="AR5" i="2"/>
  <c r="AT5" i="2" s="1"/>
  <c r="Z4" i="2"/>
  <c r="AO4" i="2"/>
  <c r="AP4" i="2"/>
  <c r="AR4" i="2"/>
  <c r="AT4" i="2" s="1"/>
  <c r="Z3" i="2"/>
  <c r="AO3" i="2"/>
  <c r="AP3" i="2"/>
  <c r="AR3" i="2"/>
  <c r="AT3" i="2" s="1"/>
  <c r="Y42" i="1"/>
  <c r="AB42" i="1"/>
  <c r="AN42" i="1"/>
  <c r="AO42" i="1"/>
  <c r="AQ42" i="1"/>
  <c r="AS42" i="1" s="1"/>
  <c r="Y41" i="1"/>
  <c r="AB41" i="1"/>
  <c r="AN41" i="1"/>
  <c r="AO41" i="1"/>
  <c r="AQ41" i="1"/>
  <c r="AS41" i="1" s="1"/>
  <c r="Y40" i="1"/>
  <c r="AB40" i="1"/>
  <c r="AN40" i="1"/>
  <c r="AO40" i="1"/>
  <c r="AQ40" i="1"/>
  <c r="AS40" i="1" s="1"/>
  <c r="AR2" i="2"/>
  <c r="AT2" i="2" s="1"/>
  <c r="AP2" i="2"/>
  <c r="AO2" i="2"/>
  <c r="Z2" i="2"/>
  <c r="Y39" i="1" l="1"/>
  <c r="AB39" i="1"/>
  <c r="AN39" i="1"/>
  <c r="AO39" i="1"/>
  <c r="AQ39" i="1"/>
  <c r="AS39" i="1" s="1"/>
  <c r="Y37" i="1"/>
  <c r="AB37" i="1"/>
  <c r="AN37" i="1"/>
  <c r="AO37" i="1"/>
  <c r="AQ37" i="1"/>
  <c r="AS37" i="1" s="1"/>
  <c r="Y38" i="1"/>
  <c r="AB38" i="1"/>
  <c r="AN38" i="1"/>
  <c r="AO38" i="1"/>
  <c r="AQ38" i="1"/>
  <c r="AS38" i="1" s="1"/>
  <c r="AQ24" i="1"/>
  <c r="Y35" i="1"/>
  <c r="AB35" i="1"/>
  <c r="AN35" i="1"/>
  <c r="AO35" i="1"/>
  <c r="AQ35" i="1"/>
  <c r="AS35" i="1" s="1"/>
  <c r="Y36" i="1"/>
  <c r="AB36" i="1"/>
  <c r="AN36" i="1"/>
  <c r="AO36" i="1"/>
  <c r="AQ36" i="1"/>
  <c r="Y34" i="1"/>
  <c r="AB34" i="1"/>
  <c r="AN34" i="1"/>
  <c r="AO34" i="1"/>
  <c r="AQ34" i="1"/>
  <c r="AS34" i="1" s="1"/>
  <c r="Y32" i="1"/>
  <c r="AB32" i="1"/>
  <c r="AN32" i="1"/>
  <c r="AO32" i="1"/>
  <c r="AQ32" i="1"/>
  <c r="AS32" i="1" s="1"/>
  <c r="Y31" i="1" l="1"/>
  <c r="AB31" i="1"/>
  <c r="AN31" i="1"/>
  <c r="AO31" i="1"/>
  <c r="AQ31" i="1"/>
  <c r="AS31" i="1" s="1"/>
  <c r="AB33" i="1" l="1"/>
  <c r="AB30" i="1"/>
  <c r="AB29" i="1"/>
  <c r="AB28" i="1"/>
  <c r="AB24" i="1"/>
  <c r="AB27" i="1"/>
  <c r="AB20" i="1"/>
  <c r="AB19" i="1"/>
  <c r="AB25" i="1"/>
  <c r="Y33" i="1"/>
  <c r="AN33" i="1"/>
  <c r="AO33" i="1"/>
  <c r="AQ33" i="1"/>
  <c r="AS33" i="1" s="1"/>
  <c r="Y30" i="1"/>
  <c r="AN30" i="1"/>
  <c r="AO30" i="1"/>
  <c r="AQ30" i="1"/>
  <c r="AS30" i="1" s="1"/>
  <c r="Y29" i="1"/>
  <c r="AN29" i="1"/>
  <c r="AO29" i="1"/>
  <c r="AQ29" i="1"/>
  <c r="AS29" i="1" s="1"/>
  <c r="Y28" i="1"/>
  <c r="AN28" i="1"/>
  <c r="AO28" i="1"/>
  <c r="AQ28" i="1"/>
  <c r="AS28" i="1" s="1"/>
  <c r="Y25" i="1" l="1"/>
  <c r="AN25" i="1"/>
  <c r="AO25" i="1"/>
  <c r="AQ25" i="1"/>
  <c r="AS25" i="1" s="1"/>
  <c r="Y24" i="1"/>
  <c r="AN24" i="1"/>
  <c r="AO24" i="1"/>
  <c r="Y27" i="1"/>
  <c r="AN27" i="1"/>
  <c r="AO27" i="1"/>
  <c r="AQ27" i="1"/>
  <c r="AS27" i="1" s="1"/>
  <c r="AB26" i="1"/>
  <c r="AB23" i="1"/>
  <c r="Y26" i="1" l="1"/>
  <c r="AN26" i="1"/>
  <c r="AO26" i="1"/>
  <c r="AQ26" i="1"/>
  <c r="AS26" i="1" s="1"/>
  <c r="Y7" i="1"/>
  <c r="AB7" i="1"/>
  <c r="AN7" i="1"/>
  <c r="AO7" i="1"/>
  <c r="AQ7" i="1"/>
  <c r="AS7" i="1" s="1"/>
  <c r="AQ6" i="1"/>
  <c r="Y22" i="1" l="1"/>
  <c r="AN22" i="1"/>
  <c r="AS22" i="1"/>
  <c r="Y23" i="1"/>
  <c r="AN23" i="1"/>
  <c r="AO23" i="1"/>
  <c r="AQ23" i="1"/>
  <c r="AS23" i="1" s="1"/>
  <c r="Y20" i="1" l="1"/>
  <c r="AN20" i="1"/>
  <c r="AO20" i="1"/>
  <c r="AQ20" i="1"/>
  <c r="AS20" i="1" s="1"/>
  <c r="Y19" i="1"/>
  <c r="AN19" i="1"/>
  <c r="AO19" i="1"/>
  <c r="AQ19" i="1"/>
  <c r="AS19" i="1" s="1"/>
  <c r="Y21" i="1" l="1"/>
  <c r="AN21" i="1"/>
  <c r="AO21" i="1"/>
  <c r="AQ21" i="1"/>
  <c r="AS21" i="1" s="1"/>
  <c r="Y18" i="1"/>
  <c r="AB18" i="1"/>
  <c r="AN18" i="1"/>
  <c r="AO18" i="1"/>
  <c r="AQ18" i="1"/>
  <c r="AS18" i="1" s="1"/>
  <c r="Y17" i="1"/>
  <c r="AB17" i="1"/>
  <c r="AN17" i="1"/>
  <c r="AO17" i="1"/>
  <c r="AQ17" i="1"/>
  <c r="AS17" i="1" s="1"/>
  <c r="Y13" i="1"/>
  <c r="AB13" i="1"/>
  <c r="AN13" i="1"/>
  <c r="AO13" i="1"/>
  <c r="AQ13" i="1"/>
  <c r="Y12" i="1"/>
  <c r="AB12" i="1"/>
  <c r="AN12" i="1"/>
  <c r="AO12" i="1"/>
  <c r="AQ12" i="1"/>
  <c r="Y16" i="1" l="1"/>
  <c r="AB16" i="1"/>
  <c r="AN16" i="1"/>
  <c r="AO16" i="1"/>
  <c r="AQ16" i="1"/>
  <c r="AS16" i="1" s="1"/>
  <c r="Y15" i="1"/>
  <c r="AB15" i="1"/>
  <c r="AN15" i="1"/>
  <c r="AO15" i="1"/>
  <c r="AQ15" i="1"/>
  <c r="Y14" i="1" l="1"/>
  <c r="AB14" i="1"/>
  <c r="AN14" i="1"/>
  <c r="AO14" i="1"/>
  <c r="AQ14" i="1"/>
  <c r="Y10" i="1"/>
  <c r="AB10" i="1"/>
  <c r="AN10" i="1"/>
  <c r="AO10" i="1"/>
  <c r="AQ10" i="1"/>
  <c r="AS10" i="1" s="1"/>
  <c r="Y9" i="1"/>
  <c r="AB9" i="1"/>
  <c r="AN9" i="1"/>
  <c r="AO9" i="1"/>
  <c r="AQ9" i="1"/>
  <c r="AS9" i="1" s="1"/>
  <c r="Y11" i="1" l="1"/>
  <c r="AB11" i="1"/>
  <c r="AN11" i="1"/>
  <c r="AO11" i="1"/>
  <c r="AQ11" i="1"/>
  <c r="AS11" i="1" s="1"/>
  <c r="AQ2" i="1"/>
  <c r="AS2" i="1" s="1"/>
  <c r="AO2" i="1"/>
  <c r="AN2" i="1"/>
  <c r="AB2" i="1"/>
  <c r="Y2" i="1"/>
  <c r="AQ8" i="1"/>
  <c r="AS8" i="1" s="1"/>
  <c r="AO8" i="1"/>
  <c r="AN8" i="1"/>
  <c r="AB8" i="1"/>
  <c r="Y8" i="1"/>
  <c r="AS6" i="1"/>
  <c r="AO6" i="1"/>
  <c r="AN6" i="1"/>
  <c r="AB6" i="1"/>
  <c r="Y6" i="1"/>
  <c r="AQ5" i="1"/>
  <c r="AS5" i="1" s="1"/>
  <c r="AO5" i="1"/>
  <c r="AN5" i="1"/>
  <c r="AB5" i="1"/>
  <c r="Y5" i="1"/>
  <c r="AQ4" i="1"/>
  <c r="AS4" i="1" s="1"/>
  <c r="AO4" i="1"/>
  <c r="AN4" i="1"/>
  <c r="AB4" i="1"/>
  <c r="Y4" i="1"/>
  <c r="AO3" i="1"/>
  <c r="AN3" i="1"/>
  <c r="AB3" i="1"/>
  <c r="Y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tc={CBF04C68-9858-4098-92B7-D9A2114ED073}</author>
    <author>tc={18485056-03C7-4173-BA24-D48B22CF0ADF}</author>
    <author>tc={7D64E066-8B74-41C6-9621-56DF68B599F7}</author>
    <author>tc={1A019337-6468-4C38-80C0-3BFB749447A2}</author>
    <author>tc={D93CD161-6562-46D0-B8D5-2CD08D45A68E}</author>
    <author>tc={1CCE80BA-0369-48F2-909D-28311C7B5694}</author>
    <author>tc={7B4009B3-9F9F-46C0-836C-2EA57A1159D6}</author>
    <author>tc={ABA6FC83-C93E-413B-A763-850BAD0806CD}</author>
    <author>tc={13E4B304-3B3D-4593-A9C5-7AF24F7207DD}</author>
    <author>tc={F8863370-C624-4148-B49B-02C3A6286338}</author>
    <author>tc={03ED6ADC-75A6-4833-814F-C91E20BC5297}</author>
    <author>tc={76E09924-A73D-4E95-B501-42E858ECAEB1}</author>
    <author>Richard da Conceição Martins</author>
  </authors>
  <commentList>
    <comment ref="AD1" authorId="0" shapeId="0" xr:uid="{CBF04C68-9858-4098-92B7-D9A2114ED07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Entrega do documentos (AFB e BDN) para o despachante (via física) </t>
      </text>
    </comment>
    <comment ref="A3" authorId="1" shapeId="0" xr:uid="{18485056-03C7-4173-BA24-D48B22CF0AD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Atualizado 11/02. </t>
      </text>
    </comment>
    <comment ref="A4" authorId="2" shapeId="0" xr:uid="{7D64E066-8B74-41C6-9621-56DF68B599F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Atualizado 11/02. </t>
      </text>
    </comment>
    <comment ref="A5" authorId="3" shapeId="0" xr:uid="{1A019337-6468-4C38-80C0-3BFB749447A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Atualizado 11/02. </t>
      </text>
    </comment>
    <comment ref="A6" authorId="4" shapeId="0" xr:uid="{D93CD161-6562-46D0-B8D5-2CD08D45A68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Atualizado 11/02. </t>
      </text>
    </comment>
    <comment ref="A8" authorId="5" shapeId="0" xr:uid="{1CCE80BA-0369-48F2-909D-28311C7B569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Atualizado 11/02. </t>
      </text>
    </comment>
    <comment ref="A12" authorId="6" shapeId="0" xr:uid="{7B4009B3-9F9F-46C0-836C-2EA57A1159D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Atualizado 11/02. </t>
      </text>
    </comment>
    <comment ref="A13" authorId="7" shapeId="0" xr:uid="{ABA6FC83-C93E-413B-A763-850BAD0806C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Atualizado 11/02. </t>
      </text>
    </comment>
    <comment ref="A14" authorId="8" shapeId="0" xr:uid="{13E4B304-3B3D-4593-A9C5-7AF24F7207D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Atualizado 11/02. </t>
      </text>
    </comment>
    <comment ref="A15" authorId="9" shapeId="0" xr:uid="{F8863370-C624-4148-B49B-02C3A628633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Atualizado 11/02. </t>
      </text>
    </comment>
    <comment ref="A17" authorId="10" shapeId="0" xr:uid="{03ED6ADC-75A6-4833-814F-C91E20BC529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Atualizado 17/02. </t>
      </text>
    </comment>
    <comment ref="A18" authorId="11" shapeId="0" xr:uid="{76E09924-A73D-4E95-B501-42E858ECAEB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Atualizado 11/02. </t>
      </text>
    </comment>
    <comment ref="A89" authorId="12" shapeId="0" xr:uid="{F9C68688-A6F5-4F4B-8759-AC574A7FDC6A}">
      <text>
        <r>
          <rPr>
            <b/>
            <sz val="9"/>
            <color indexed="81"/>
            <rFont val="Segoe UI"/>
            <charset val="1"/>
          </rPr>
          <t>Richard da Conceição Martins:</t>
        </r>
        <r>
          <rPr>
            <sz val="9"/>
            <color indexed="81"/>
            <rFont val="Segoe UI"/>
            <charset val="1"/>
          </rPr>
          <t xml:space="preserve">
27/10 Att. Será faturado na quarta 29/10</t>
        </r>
      </text>
    </comment>
    <comment ref="A93" authorId="12" shapeId="0" xr:uid="{FEF26654-56C9-4135-846A-D9CEA158B638}">
      <text>
        <r>
          <rPr>
            <b/>
            <sz val="9"/>
            <color indexed="81"/>
            <rFont val="Segoe UI"/>
            <charset val="1"/>
          </rPr>
          <t>Richard da Conceição Martins:</t>
        </r>
        <r>
          <rPr>
            <sz val="9"/>
            <color indexed="81"/>
            <rFont val="Segoe UI"/>
            <charset val="1"/>
          </rPr>
          <t xml:space="preserve">
27/10 Att. Segue em Ag. para faturamento NF</t>
        </r>
      </text>
    </comment>
    <comment ref="A99" authorId="12" shapeId="0" xr:uid="{62E825A0-74FC-473C-8DED-C7E8062387B6}">
      <text>
        <r>
          <rPr>
            <b/>
            <sz val="9"/>
            <color indexed="81"/>
            <rFont val="Segoe UI"/>
            <family val="2"/>
          </rPr>
          <t>Richard da Conceição Martins: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Calibri"/>
            <family val="2"/>
          </rPr>
          <t>- AG. Ass. Será somente dia 28/10 pela RFB
Necessidade de abastecimento 29/10
Previsão de Atracação :29/10/2025   23:00:00 h</t>
        </r>
      </text>
    </comment>
    <comment ref="A100" authorId="12" shapeId="0" xr:uid="{37DF5218-1486-4DD2-B14E-3426EF65993C}">
      <text>
        <r>
          <rPr>
            <b/>
            <sz val="9"/>
            <color indexed="81"/>
            <rFont val="Segoe UI"/>
            <family val="2"/>
          </rPr>
          <t>Richard da Conceição Martins: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Calibri"/>
            <family val="2"/>
          </rPr>
          <t>- AG. Ass. Será somente dia 28/10 pela RFB
Necessidade de abastecimento 29/10
Previsão de Atracação :29/10/2025   23:00:00 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da Conceição Martins</author>
  </authors>
  <commentList>
    <comment ref="A37" authorId="0" shapeId="0" xr:uid="{5058298D-5F96-45D2-9374-99CD51FBCA69}">
      <text>
        <r>
          <rPr>
            <b/>
            <sz val="9"/>
            <color indexed="81"/>
            <rFont val="Segoe UI"/>
            <family val="2"/>
          </rPr>
          <t>Richard da Conceição Martins: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Calibri"/>
            <family val="2"/>
          </rPr>
          <t xml:space="preserve">
- AG. Abastecimento / AG. NF VENDA 
Necessidade de abastecimento 28/10
Previsão de Atracação :29/10/2025   12:00:00 h</t>
        </r>
      </text>
    </comment>
    <comment ref="A38" authorId="0" shapeId="0" xr:uid="{8A5F6D08-8FFC-4128-A2B3-23CB805082C5}">
      <text>
        <r>
          <rPr>
            <b/>
            <sz val="9"/>
            <color indexed="81"/>
            <rFont val="Segoe UI"/>
            <family val="2"/>
          </rPr>
          <t>Richard da Conceição Martins: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Calibri"/>
            <family val="2"/>
          </rPr>
          <t>Necessidade de abastecimento 18/10
Previsão de Atracação :17/10/2025   12:00:00 h</t>
        </r>
      </text>
    </comment>
    <comment ref="A39" authorId="0" shapeId="0" xr:uid="{8C38B0F5-2B7D-4456-B328-9066B00EC1B0}">
      <text>
        <r>
          <rPr>
            <b/>
            <sz val="9"/>
            <color indexed="81"/>
            <rFont val="Segoe UI"/>
            <family val="2"/>
          </rPr>
          <t>Richard da Conceição Martins: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Calibri"/>
            <family val="2"/>
          </rPr>
          <t>Necessidade de abastecimento 18/10
Previsão de Atracação :17/10/2025   12:00:00 h</t>
        </r>
      </text>
    </comment>
    <comment ref="A41" authorId="0" shapeId="0" xr:uid="{BE0AB8C6-902F-43E3-9185-5687DC8CA8F3}">
      <text>
        <r>
          <rPr>
            <b/>
            <sz val="9"/>
            <color indexed="81"/>
            <rFont val="Segoe UI"/>
            <family val="2"/>
          </rPr>
          <t>Richard da Conceição Martins:</t>
        </r>
        <r>
          <rPr>
            <sz val="9"/>
            <color indexed="81"/>
            <rFont val="Segoe UI"/>
            <family val="2"/>
          </rPr>
          <t xml:space="preserve">
AG. Ass. Da escala
Necessidade de abastecimento 30/10</t>
        </r>
      </text>
    </comment>
  </commentList>
</comments>
</file>

<file path=xl/sharedStrings.xml><?xml version="1.0" encoding="utf-8"?>
<sst xmlns="http://schemas.openxmlformats.org/spreadsheetml/2006/main" count="2923" uniqueCount="930">
  <si>
    <t>STATUS</t>
  </si>
  <si>
    <t>Analista</t>
  </si>
  <si>
    <t>PROCESSO</t>
  </si>
  <si>
    <t>PRODUTO</t>
  </si>
  <si>
    <t>TIPO DE NAVEGAÇÃO</t>
  </si>
  <si>
    <t>Local de Abastecimento</t>
  </si>
  <si>
    <t>CLIENT</t>
  </si>
  <si>
    <t>Escala</t>
  </si>
  <si>
    <t>IMO</t>
  </si>
  <si>
    <t>TIPO DE EMBARCAÇÃO2</t>
  </si>
  <si>
    <t>AGENT</t>
  </si>
  <si>
    <t xml:space="preserve">DATA NFL </t>
  </si>
  <si>
    <t>AFB N°</t>
  </si>
  <si>
    <t>DATA AFB</t>
  </si>
  <si>
    <t>VOLUME NO STEM</t>
  </si>
  <si>
    <t>VOL NF</t>
  </si>
  <si>
    <t>UNIDADE</t>
  </si>
  <si>
    <t>VOLUME CARREGADO</t>
  </si>
  <si>
    <t>Diferença Volume</t>
  </si>
  <si>
    <t>CARREGAMENTO</t>
  </si>
  <si>
    <t>Prazo emissão DU-E</t>
  </si>
  <si>
    <t>BDN N°</t>
  </si>
  <si>
    <t>Entrega do fisico (AFB e BDN)</t>
  </si>
  <si>
    <t>NF DEV N°</t>
  </si>
  <si>
    <t>DATA NF DEV N°</t>
  </si>
  <si>
    <t>NF EXP N°</t>
  </si>
  <si>
    <t>DATA NF EXP</t>
  </si>
  <si>
    <t>DUE N°</t>
  </si>
  <si>
    <t>DATA</t>
  </si>
  <si>
    <t>DESEMBARAÇO</t>
  </si>
  <si>
    <t>AVERBAÇÃO</t>
  </si>
  <si>
    <t>INVOICE Nº</t>
  </si>
  <si>
    <t>DATA DA INVOICE</t>
  </si>
  <si>
    <t>PREÇO</t>
  </si>
  <si>
    <t>VALOR TOTAL  USD</t>
  </si>
  <si>
    <t>TAXA</t>
  </si>
  <si>
    <t>VALOR TOTAL REAL</t>
  </si>
  <si>
    <t>CONCLUÍDO</t>
  </si>
  <si>
    <t>VLSFO</t>
  </si>
  <si>
    <t>CABOTAGEM</t>
  </si>
  <si>
    <t>REFMAN</t>
  </si>
  <si>
    <t>Oil/Chemical Tanker</t>
  </si>
  <si>
    <t>KRUEGER</t>
  </si>
  <si>
    <t>TON</t>
  </si>
  <si>
    <t>LONGO CURSO</t>
  </si>
  <si>
    <t>WILSON SONS</t>
  </si>
  <si>
    <t>LSMGO</t>
  </si>
  <si>
    <t>ISS</t>
  </si>
  <si>
    <t>PORTO ROADWAY</t>
  </si>
  <si>
    <t>BUNKER ONE GULF OF MEXICO</t>
  </si>
  <si>
    <t>NORTH STAR</t>
  </si>
  <si>
    <t xml:space="preserve">MONJASA S.A </t>
  </si>
  <si>
    <t>VIKING SEA</t>
  </si>
  <si>
    <t>NAVEMAZONIA</t>
  </si>
  <si>
    <t>JOSE AIUB</t>
  </si>
  <si>
    <t>WILHELMSEN</t>
  </si>
  <si>
    <t>MGO</t>
  </si>
  <si>
    <t>DESPACHANTE</t>
  </si>
  <si>
    <t>NFL AFB N°</t>
  </si>
  <si>
    <t>Elton</t>
  </si>
  <si>
    <t>TRANS TEC INTERNATIONAL SRL</t>
  </si>
  <si>
    <t>FUNDEIO REAM</t>
  </si>
  <si>
    <t>10773-1</t>
  </si>
  <si>
    <t>LAVIRK</t>
  </si>
  <si>
    <t>10771-1</t>
  </si>
  <si>
    <t>10772-1</t>
  </si>
  <si>
    <t>SIRENA</t>
  </si>
  <si>
    <t>10768-1</t>
  </si>
  <si>
    <t>10770-1</t>
  </si>
  <si>
    <t>EASTERLY LIME GALAXY</t>
  </si>
  <si>
    <t>10788-1</t>
  </si>
  <si>
    <t>INSIGNIA</t>
  </si>
  <si>
    <t>10769-1</t>
  </si>
  <si>
    <t>009/2025</t>
  </si>
  <si>
    <t>018/2025</t>
  </si>
  <si>
    <t>013/2025</t>
  </si>
  <si>
    <t>015-2025</t>
  </si>
  <si>
    <t>021-2025</t>
  </si>
  <si>
    <t>10883-1</t>
  </si>
  <si>
    <t>032/2025</t>
  </si>
  <si>
    <t>028/2025</t>
  </si>
  <si>
    <t>584/2024</t>
  </si>
  <si>
    <t>FUNDEIO MANAUS</t>
  </si>
  <si>
    <t>BBC SCANDINAVIA</t>
  </si>
  <si>
    <t>BRZILIAN PORT AGENTS</t>
  </si>
  <si>
    <t>10853-1</t>
  </si>
  <si>
    <t>033/2025</t>
  </si>
  <si>
    <t>10854-1</t>
  </si>
  <si>
    <t>034/2025</t>
  </si>
  <si>
    <t>COMPANHIA DE NAVEGAÇÃO NORSUL</t>
  </si>
  <si>
    <t>TELLUS</t>
  </si>
  <si>
    <t>COSTA SHIPPING</t>
  </si>
  <si>
    <t>10904-1</t>
  </si>
  <si>
    <t>10905-1</t>
  </si>
  <si>
    <t>AURORA</t>
  </si>
  <si>
    <t>10956-1</t>
  </si>
  <si>
    <t>047/2025</t>
  </si>
  <si>
    <t>039/2025</t>
  </si>
  <si>
    <t>038/2025</t>
  </si>
  <si>
    <t>10961-1</t>
  </si>
  <si>
    <t>10959-1</t>
  </si>
  <si>
    <t>25BR000133825-9</t>
  </si>
  <si>
    <t>10821-1</t>
  </si>
  <si>
    <t>10822-1</t>
  </si>
  <si>
    <t>25BR000124004-6</t>
  </si>
  <si>
    <t>10980-1</t>
  </si>
  <si>
    <t>10993-1</t>
  </si>
  <si>
    <t>10981-1</t>
  </si>
  <si>
    <t>10994-1</t>
  </si>
  <si>
    <t>SEAVEN GLORY</t>
  </si>
  <si>
    <t>11030-1</t>
  </si>
  <si>
    <t>CONQUEST</t>
  </si>
  <si>
    <t>10906-1</t>
  </si>
  <si>
    <t>050/2025</t>
  </si>
  <si>
    <t>25BR000161674-7</t>
  </si>
  <si>
    <t>25BR000162057-4</t>
  </si>
  <si>
    <t>10974-1</t>
  </si>
  <si>
    <t>11032-1</t>
  </si>
  <si>
    <t>25BR000169756-9</t>
  </si>
  <si>
    <t>10975-1</t>
  </si>
  <si>
    <t>11033-1</t>
  </si>
  <si>
    <t>25BR000169575-2</t>
  </si>
  <si>
    <t>NA</t>
  </si>
  <si>
    <t>051/2025</t>
  </si>
  <si>
    <t>10907-1</t>
  </si>
  <si>
    <t>11025-1</t>
  </si>
  <si>
    <t>053/2025</t>
  </si>
  <si>
    <t>11026-1</t>
  </si>
  <si>
    <t>054/2025</t>
  </si>
  <si>
    <t>Ana</t>
  </si>
  <si>
    <t>FUNDEIO ITA</t>
  </si>
  <si>
    <t>PANSTELLAR</t>
  </si>
  <si>
    <t>FEDOR</t>
  </si>
  <si>
    <t>BASEBLUE</t>
  </si>
  <si>
    <t>11135-1</t>
  </si>
  <si>
    <t>070/2025</t>
  </si>
  <si>
    <t>11133-1</t>
  </si>
  <si>
    <t>11132-1</t>
  </si>
  <si>
    <t>10963-1</t>
  </si>
  <si>
    <t>10948-1</t>
  </si>
  <si>
    <t>11102-1</t>
  </si>
  <si>
    <t>11114-1</t>
  </si>
  <si>
    <t>FUNDEIO NOVO REMANSO</t>
  </si>
  <si>
    <t>BBG HONG KONG</t>
  </si>
  <si>
    <t>11163-1</t>
  </si>
  <si>
    <t>073/2025</t>
  </si>
  <si>
    <t>11153-1</t>
  </si>
  <si>
    <t>077/2025</t>
  </si>
  <si>
    <t>10962-1</t>
  </si>
  <si>
    <t>10935-1</t>
  </si>
  <si>
    <t>25BR000121480-0</t>
  </si>
  <si>
    <t>25BR000263794-2</t>
  </si>
  <si>
    <t>10965-1</t>
  </si>
  <si>
    <t>10937-1</t>
  </si>
  <si>
    <t>11097-1</t>
  </si>
  <si>
    <t>25BR000218115-9</t>
  </si>
  <si>
    <t>11103-1</t>
  </si>
  <si>
    <t>11210-1</t>
  </si>
  <si>
    <t>25BR000280233-1</t>
  </si>
  <si>
    <t>Bulk Carrier</t>
  </si>
  <si>
    <t>Crude Oil Tanker</t>
  </si>
  <si>
    <t>Cement Carrier</t>
  </si>
  <si>
    <t xml:space="preserve">COMPANHIA DE NAVEGAÇÃO NORSUL </t>
  </si>
  <si>
    <t>11227-1</t>
  </si>
  <si>
    <t>084/2025</t>
  </si>
  <si>
    <t>083/2025</t>
  </si>
  <si>
    <t>11261-1</t>
  </si>
  <si>
    <t>11260-1</t>
  </si>
  <si>
    <t>MINERVA RITA</t>
  </si>
  <si>
    <t>11266-1</t>
  </si>
  <si>
    <t>086/2025</t>
  </si>
  <si>
    <t>25BR000309027-0</t>
  </si>
  <si>
    <t>11275-1</t>
  </si>
  <si>
    <t>11228-1</t>
  </si>
  <si>
    <t>100/2025</t>
  </si>
  <si>
    <t>11229-1</t>
  </si>
  <si>
    <t>101/2025</t>
  </si>
  <si>
    <t>096/2025</t>
  </si>
  <si>
    <t>11361-1</t>
  </si>
  <si>
    <t>11362-1</t>
  </si>
  <si>
    <t>11367-1</t>
  </si>
  <si>
    <t>11406-1</t>
  </si>
  <si>
    <t>11389-1</t>
  </si>
  <si>
    <t xml:space="preserve">YIANNIS B </t>
  </si>
  <si>
    <t>11294-1</t>
  </si>
  <si>
    <t>111/2025</t>
  </si>
  <si>
    <t>TERMINAL ATEM</t>
  </si>
  <si>
    <t>MINERVA BUNKERING PTE LIMITED</t>
  </si>
  <si>
    <t>DUBAI GREEN</t>
  </si>
  <si>
    <t>11372-1</t>
  </si>
  <si>
    <t>116/2025</t>
  </si>
  <si>
    <t>11373-1</t>
  </si>
  <si>
    <t>117/2025</t>
  </si>
  <si>
    <t>11424-1</t>
  </si>
  <si>
    <t xml:space="preserve">VESSEL </t>
  </si>
  <si>
    <t>11484-1</t>
  </si>
  <si>
    <t>11483-1</t>
  </si>
  <si>
    <t>11502-1</t>
  </si>
  <si>
    <t>11490-1</t>
  </si>
  <si>
    <t>11501-1</t>
  </si>
  <si>
    <t>11491-1</t>
  </si>
  <si>
    <t>126/2025</t>
  </si>
  <si>
    <t>11451-1</t>
  </si>
  <si>
    <t>11452-1</t>
  </si>
  <si>
    <t>AZAMARA JOURNEY</t>
  </si>
  <si>
    <t>11425-1</t>
  </si>
  <si>
    <t>137/2025</t>
  </si>
  <si>
    <t>SILVER RAY</t>
  </si>
  <si>
    <t>COSTA AMAZONICA</t>
  </si>
  <si>
    <t>11426-1</t>
  </si>
  <si>
    <t>138/2025</t>
  </si>
  <si>
    <t>11517-1</t>
  </si>
  <si>
    <t>AG NF FINAL</t>
  </si>
  <si>
    <t>CHEMTRANS TAURUS</t>
  </si>
  <si>
    <t>PORTO ATEM</t>
  </si>
  <si>
    <t>11475-1</t>
  </si>
  <si>
    <t>11473-1</t>
  </si>
  <si>
    <t>11654-1</t>
  </si>
  <si>
    <t>11453-1</t>
  </si>
  <si>
    <t>11474-1</t>
  </si>
  <si>
    <t>154/2025</t>
  </si>
  <si>
    <t>146/2025</t>
  </si>
  <si>
    <t>157/2025</t>
  </si>
  <si>
    <t>Chave DU-E</t>
  </si>
  <si>
    <t>25YUA139462282</t>
  </si>
  <si>
    <t>25BR000490522-7</t>
  </si>
  <si>
    <t>25DDD139475821</t>
  </si>
  <si>
    <t>11603-1</t>
  </si>
  <si>
    <t>11518-1</t>
  </si>
  <si>
    <t>11519-1</t>
  </si>
  <si>
    <t>25ALS139474256</t>
  </si>
  <si>
    <t>25BR000490365-8</t>
  </si>
  <si>
    <t>25TYJ139463963</t>
  </si>
  <si>
    <t>25BR000489336-9</t>
  </si>
  <si>
    <t>11605-1</t>
  </si>
  <si>
    <t>11604-1</t>
  </si>
  <si>
    <t>11624-1</t>
  </si>
  <si>
    <t>MSC YANG R</t>
  </si>
  <si>
    <t>SUPER TERMINAIS</t>
  </si>
  <si>
    <t xml:space="preserve">MSC MEDITERRANEAN </t>
  </si>
  <si>
    <t>11579-1</t>
  </si>
  <si>
    <t>170/2025</t>
  </si>
  <si>
    <t>VOLENDAM</t>
  </si>
  <si>
    <t>ROADWAY</t>
  </si>
  <si>
    <t>Bunker One Gulf of Mexico</t>
  </si>
  <si>
    <t>11527-1</t>
  </si>
  <si>
    <t>11710-1</t>
  </si>
  <si>
    <t>11812-1</t>
  </si>
  <si>
    <t>11667-1</t>
  </si>
  <si>
    <t>BALSA</t>
  </si>
  <si>
    <t>CONDUTOR</t>
  </si>
  <si>
    <t>VESSEL NAME</t>
  </si>
  <si>
    <t>NFL N°</t>
  </si>
  <si>
    <t>PERMISSÃO</t>
  </si>
  <si>
    <t>-</t>
  </si>
  <si>
    <t>N/A</t>
  </si>
  <si>
    <t>W M F EXPRESS</t>
  </si>
  <si>
    <t>PA20250001</t>
  </si>
  <si>
    <t>ANA</t>
  </si>
  <si>
    <t>PORTO VILA DO CONDE</t>
  </si>
  <si>
    <t>PARÁ 2014</t>
  </si>
  <si>
    <t>JORGE FELIPE</t>
  </si>
  <si>
    <t>OILMAR DMCC</t>
  </si>
  <si>
    <t>HABIBS</t>
  </si>
  <si>
    <t>001/2025</t>
  </si>
  <si>
    <t>CURITIBA X</t>
  </si>
  <si>
    <t>11745-1</t>
  </si>
  <si>
    <t>183/2025</t>
  </si>
  <si>
    <t>11802-1</t>
  </si>
  <si>
    <t>11746-1</t>
  </si>
  <si>
    <t>182/2025</t>
  </si>
  <si>
    <t>11644-1</t>
  </si>
  <si>
    <t>25BR000589757-0</t>
  </si>
  <si>
    <t>25WQQ140468175</t>
  </si>
  <si>
    <t>11670-1</t>
  </si>
  <si>
    <t>25BR000610424-8</t>
  </si>
  <si>
    <t>25IBP140674840</t>
  </si>
  <si>
    <t>174/2025</t>
  </si>
  <si>
    <t>175/2025</t>
  </si>
  <si>
    <t>11737-1</t>
  </si>
  <si>
    <t>11741-2</t>
  </si>
  <si>
    <t>11738-1</t>
  </si>
  <si>
    <t>11739-1</t>
  </si>
  <si>
    <t>PA20250002</t>
  </si>
  <si>
    <t>ELTON</t>
  </si>
  <si>
    <t>PA20250003</t>
  </si>
  <si>
    <t>AMAPÁ 2014</t>
  </si>
  <si>
    <t>BRÁS PAULA DA SILVA</t>
  </si>
  <si>
    <t>MV FREEDOM</t>
  </si>
  <si>
    <t>FUNDEIO</t>
  </si>
  <si>
    <t>11822-1</t>
  </si>
  <si>
    <t>203/2025</t>
  </si>
  <si>
    <t>11832-1</t>
  </si>
  <si>
    <t>201/2025</t>
  </si>
  <si>
    <t>UBC TACOMA</t>
  </si>
  <si>
    <t>WILLIAMS SERVIÇOS</t>
  </si>
  <si>
    <t>25BR000643931-2</t>
  </si>
  <si>
    <t>25ATK141009913</t>
  </si>
  <si>
    <t>002/2025</t>
  </si>
  <si>
    <t>003/2025</t>
  </si>
  <si>
    <t>PA20250004</t>
  </si>
  <si>
    <t>WHITE WHALE</t>
  </si>
  <si>
    <t>SERVEPORTO AGENCIA</t>
  </si>
  <si>
    <t>004/2025</t>
  </si>
  <si>
    <t>PA20250005</t>
  </si>
  <si>
    <t>MV FIDELITY</t>
  </si>
  <si>
    <t>CANCELADO</t>
  </si>
  <si>
    <t>005/2025</t>
  </si>
  <si>
    <t>25BR000698463-9</t>
  </si>
  <si>
    <t>25KXV141555233</t>
  </si>
  <si>
    <t>25BR000698387-0</t>
  </si>
  <si>
    <t>25OVK141554474</t>
  </si>
  <si>
    <t>DUCHESS EMERALD</t>
  </si>
  <si>
    <t>CROSS OFFICE</t>
  </si>
  <si>
    <t>11965-1</t>
  </si>
  <si>
    <t>TRUSTN TRADER</t>
  </si>
  <si>
    <t>11992-1</t>
  </si>
  <si>
    <t>25BR000750199-2</t>
  </si>
  <si>
    <t>25BR000644039-6</t>
  </si>
  <si>
    <t>11803-1</t>
  </si>
  <si>
    <t>25BR000644107-4</t>
  </si>
  <si>
    <t>25QSF141011675</t>
  </si>
  <si>
    <t>11782-1</t>
  </si>
  <si>
    <t>227/2025</t>
  </si>
  <si>
    <t>228/2025</t>
  </si>
  <si>
    <t>Devbulk Sinem</t>
  </si>
  <si>
    <t>LBH BRASIL AGENCIAMENTO</t>
  </si>
  <si>
    <t>006/2025</t>
  </si>
  <si>
    <t>12012-1</t>
  </si>
  <si>
    <t>25BR000779105-2</t>
  </si>
  <si>
    <t>PA20250007</t>
  </si>
  <si>
    <t>INTEGR8 FUELS PTE. LTD</t>
  </si>
  <si>
    <t>MAGELLAN II</t>
  </si>
  <si>
    <t>AGENCIA MARITIMA CARGONAVE LTDA</t>
  </si>
  <si>
    <t>12027-1</t>
  </si>
  <si>
    <t>25BR000779170-2</t>
  </si>
  <si>
    <t>25JDG142362307</t>
  </si>
  <si>
    <t>25BR000800168-3</t>
  </si>
  <si>
    <t>CHAVE DA DU-E</t>
  </si>
  <si>
    <t>25QQH142572280</t>
  </si>
  <si>
    <t>240/2025</t>
  </si>
  <si>
    <t>AMFITRITI</t>
  </si>
  <si>
    <t>12007-1</t>
  </si>
  <si>
    <t>HANSEATIC NATURE</t>
  </si>
  <si>
    <t>12070-1</t>
  </si>
  <si>
    <t>12065-1</t>
  </si>
  <si>
    <t>007/2025</t>
  </si>
  <si>
    <t>25TSR142072597</t>
  </si>
  <si>
    <t>25IHL142361653</t>
  </si>
  <si>
    <t>25BR000750039-2</t>
  </si>
  <si>
    <t>25BZX142070993</t>
  </si>
  <si>
    <t>PA20250006</t>
  </si>
  <si>
    <t>16-01</t>
  </si>
  <si>
    <t>25BR000817138-4</t>
  </si>
  <si>
    <t>25OVV142741987</t>
  </si>
  <si>
    <t>EXPORTADOR</t>
  </si>
  <si>
    <t>REAM</t>
  </si>
  <si>
    <t>PA20250008</t>
  </si>
  <si>
    <t>ATEM</t>
  </si>
  <si>
    <t>17-1</t>
  </si>
  <si>
    <t>244/2025</t>
  </si>
  <si>
    <t>242/2025</t>
  </si>
  <si>
    <t>246/2025</t>
  </si>
  <si>
    <t>PRETTY LADY</t>
  </si>
  <si>
    <t>12081-1</t>
  </si>
  <si>
    <t>248/2025</t>
  </si>
  <si>
    <t>VS PROSPERA</t>
  </si>
  <si>
    <t>12084-1</t>
  </si>
  <si>
    <t>257/2025</t>
  </si>
  <si>
    <t>12083-1</t>
  </si>
  <si>
    <t>255/2025</t>
  </si>
  <si>
    <t>BUNKER ONE (USA) INC</t>
  </si>
  <si>
    <t>FRATELLI COSULICH UNIPESSOAL S.A</t>
  </si>
  <si>
    <t>25BR000826395-5</t>
  </si>
  <si>
    <t>25DIP142834551</t>
  </si>
  <si>
    <t>SONAN BUNKERS UK LIMITED</t>
  </si>
  <si>
    <t>9293959   </t>
  </si>
  <si>
    <t>FOTUO</t>
  </si>
  <si>
    <t xml:space="preserve">UNIMAR </t>
  </si>
  <si>
    <t>PA20250009</t>
  </si>
  <si>
    <t>FUNDEIO VDC</t>
  </si>
  <si>
    <t>MV OMEGA STAR</t>
  </si>
  <si>
    <t>008/2025</t>
  </si>
  <si>
    <t>PA20250010</t>
  </si>
  <si>
    <t>ARAGONBORG</t>
  </si>
  <si>
    <t>WILHELMSEN </t>
  </si>
  <si>
    <t>CAMPO GRANDE X</t>
  </si>
  <si>
    <t>PORTO DE MANAUS</t>
  </si>
  <si>
    <t>CUIABÁ X</t>
  </si>
  <si>
    <t>12135-1</t>
  </si>
  <si>
    <t>12136-1</t>
  </si>
  <si>
    <t>REFINARIA</t>
  </si>
  <si>
    <t>L M NAVEGACAO E TRANSPORTE LTDA</t>
  </si>
  <si>
    <t>12140-1</t>
  </si>
  <si>
    <t>BRAVO 13</t>
  </si>
  <si>
    <t>12144-1</t>
  </si>
  <si>
    <t>Mês/Carregamento</t>
  </si>
  <si>
    <t>Rótulos de Linha</t>
  </si>
  <si>
    <t>Total Geral</t>
  </si>
  <si>
    <t>Rótulos de Coluna</t>
  </si>
  <si>
    <t>JAN</t>
  </si>
  <si>
    <t>FEV</t>
  </si>
  <si>
    <t>MAR</t>
  </si>
  <si>
    <t>ABR</t>
  </si>
  <si>
    <t>MAI</t>
  </si>
  <si>
    <t>Contagem de PROCESSO</t>
  </si>
  <si>
    <t>Previsto</t>
  </si>
  <si>
    <t>Realizado</t>
  </si>
  <si>
    <t>Resultado</t>
  </si>
  <si>
    <t>Resultado2</t>
  </si>
  <si>
    <t>Atendido</t>
  </si>
  <si>
    <t>Não atendido</t>
  </si>
  <si>
    <t>PA20250011</t>
  </si>
  <si>
    <t>ANNA MARRA</t>
  </si>
  <si>
    <t>Bunker One (USA) Inc</t>
  </si>
  <si>
    <t>010/2025</t>
  </si>
  <si>
    <t>JORGE AMADO</t>
  </si>
  <si>
    <t>PETROLEO BRASILEIRO S/A</t>
  </si>
  <si>
    <t>12275-1</t>
  </si>
  <si>
    <t xml:space="preserve">CONCLUÍDO </t>
  </si>
  <si>
    <t>12242-1</t>
  </si>
  <si>
    <t>25BR000898545-4</t>
  </si>
  <si>
    <t>25HHN143556059</t>
  </si>
  <si>
    <t>12243-1</t>
  </si>
  <si>
    <t>25BR000898755-4</t>
  </si>
  <si>
    <t>12153-1</t>
  </si>
  <si>
    <t>25BR000860647-0</t>
  </si>
  <si>
    <t>25PFN143177074</t>
  </si>
  <si>
    <t>12154-1</t>
  </si>
  <si>
    <t>12157-1</t>
  </si>
  <si>
    <t>12177-1</t>
  </si>
  <si>
    <t>12158-1</t>
  </si>
  <si>
    <t>25BR000872557-6</t>
  </si>
  <si>
    <t>25GHH143296170</t>
  </si>
  <si>
    <t>12155-1</t>
  </si>
  <si>
    <t>12162-1</t>
  </si>
  <si>
    <t>12156-1</t>
  </si>
  <si>
    <t>12168-1</t>
  </si>
  <si>
    <t>25BR000919308-0</t>
  </si>
  <si>
    <t>25ZIG143763682</t>
  </si>
  <si>
    <t>12174-1</t>
  </si>
  <si>
    <t>12180-1</t>
  </si>
  <si>
    <t>25BR000919357-8</t>
  </si>
  <si>
    <t>25SOG143764174</t>
  </si>
  <si>
    <t>263/2025</t>
  </si>
  <si>
    <t>261/2025</t>
  </si>
  <si>
    <t>25BR000961271-6</t>
  </si>
  <si>
    <t>25TMA144183310</t>
  </si>
  <si>
    <t>25BR000935253-6</t>
  </si>
  <si>
    <t>25UCF143923132</t>
  </si>
  <si>
    <t>63409-1</t>
  </si>
  <si>
    <t>25BR000864650-1</t>
  </si>
  <si>
    <t>25LES143217106</t>
  </si>
  <si>
    <t>12257-1</t>
  </si>
  <si>
    <t>279/2025</t>
  </si>
  <si>
    <t>ASPHALT SONATA</t>
  </si>
  <si>
    <t>PA20250012</t>
  </si>
  <si>
    <t>NAVI STAR</t>
  </si>
  <si>
    <t>011/2025</t>
  </si>
  <si>
    <t>PA20250013</t>
  </si>
  <si>
    <t>PA20250014</t>
  </si>
  <si>
    <t>PAUÍ 3000</t>
  </si>
  <si>
    <t>BBC AQUAMARINE</t>
  </si>
  <si>
    <t>ZY IDOL</t>
  </si>
  <si>
    <t>Rafael Marques de Lima</t>
  </si>
  <si>
    <t>Monjasa Latam Limited</t>
  </si>
  <si>
    <t>12364-1</t>
  </si>
  <si>
    <t>293/2025</t>
  </si>
  <si>
    <t>290/2025</t>
  </si>
  <si>
    <t>12444-1</t>
  </si>
  <si>
    <t>25BR001011194-6</t>
  </si>
  <si>
    <t>25OHR144682546</t>
  </si>
  <si>
    <t>12358-1</t>
  </si>
  <si>
    <t>25BR000975986-5</t>
  </si>
  <si>
    <t>25FAD144330461</t>
  </si>
  <si>
    <t>12356-1</t>
  </si>
  <si>
    <t>25BR000961631-2</t>
  </si>
  <si>
    <t>25NVY144186913</t>
  </si>
  <si>
    <t>PA20250015</t>
  </si>
  <si>
    <t>012/2025</t>
  </si>
  <si>
    <t>31-1</t>
  </si>
  <si>
    <t>PA20250016</t>
  </si>
  <si>
    <t>Ultrabulk A/S</t>
  </si>
  <si>
    <t>BUNUN XCEL</t>
  </si>
  <si>
    <t>GEM SHIPPING</t>
  </si>
  <si>
    <t>25HPB145398965</t>
  </si>
  <si>
    <t xml:space="preserve"> 25BR001082836-0</t>
  </si>
  <si>
    <t>M/V FAGELGRACHT</t>
  </si>
  <si>
    <t>12670-1</t>
  </si>
  <si>
    <t>ORION</t>
  </si>
  <si>
    <t xml:space="preserve">CURITIBA X </t>
  </si>
  <si>
    <t>PA20250017</t>
  </si>
  <si>
    <t>336/2025</t>
  </si>
  <si>
    <t>Alterna Energy Pte. Ltd</t>
  </si>
  <si>
    <t>12681-1</t>
  </si>
  <si>
    <t>339/2025</t>
  </si>
  <si>
    <t>BRAXCOM</t>
  </si>
  <si>
    <t>12746-1</t>
  </si>
  <si>
    <t>340/2025</t>
  </si>
  <si>
    <t>DISCOVERER</t>
  </si>
  <si>
    <t>12829-1</t>
  </si>
  <si>
    <t>12857-1</t>
  </si>
  <si>
    <t>12844-1</t>
  </si>
  <si>
    <t>ACRE 2010</t>
  </si>
  <si>
    <t>Weco Bulk A/S</t>
  </si>
  <si>
    <t>MV ALONI</t>
  </si>
  <si>
    <t>016/2025</t>
  </si>
  <si>
    <t>38-1</t>
  </si>
  <si>
    <t>015/2025</t>
  </si>
  <si>
    <t>37-1</t>
  </si>
  <si>
    <t>25BR001228958-0</t>
  </si>
  <si>
    <t>25BCU146860182</t>
  </si>
  <si>
    <t>32-1</t>
  </si>
  <si>
    <t>25BR001082411-0</t>
  </si>
  <si>
    <t>25WEF145394714</t>
  </si>
  <si>
    <t>356/2025</t>
  </si>
  <si>
    <t>355/2025</t>
  </si>
  <si>
    <t>CANADÁ X</t>
  </si>
  <si>
    <t>12914-1</t>
  </si>
  <si>
    <t>MINERVA VASO</t>
  </si>
  <si>
    <t>MINERVA MARINE</t>
  </si>
  <si>
    <t>12924-1</t>
  </si>
  <si>
    <t>347/2025</t>
  </si>
  <si>
    <t>LILA ACE</t>
  </si>
  <si>
    <t>M CRISTINO</t>
  </si>
  <si>
    <t>Transportadora Bons Amigos</t>
  </si>
  <si>
    <t>12947-1</t>
  </si>
  <si>
    <t>365/2025</t>
  </si>
  <si>
    <t>12842-1</t>
  </si>
  <si>
    <t>25BR001240016-3</t>
  </si>
  <si>
    <t>25NQC146970760</t>
  </si>
  <si>
    <t>12453-1</t>
  </si>
  <si>
    <t>25BR001078601-3</t>
  </si>
  <si>
    <t>25GYS145356618</t>
  </si>
  <si>
    <t>12758-1</t>
  </si>
  <si>
    <t>25BR001219229-3</t>
  </si>
  <si>
    <t>25JLG146762890</t>
  </si>
  <si>
    <t>12759-1</t>
  </si>
  <si>
    <t>12897-1</t>
  </si>
  <si>
    <t>25BR001252491-1</t>
  </si>
  <si>
    <t>25YXZ147095510</t>
  </si>
  <si>
    <t>12964-1</t>
  </si>
  <si>
    <t>12963-1</t>
  </si>
  <si>
    <t>25BR001300315-0</t>
  </si>
  <si>
    <t>25BTW147573756</t>
  </si>
  <si>
    <t>360/2025</t>
  </si>
  <si>
    <t>363/2025</t>
  </si>
  <si>
    <t>12989-1</t>
  </si>
  <si>
    <t>370/2025</t>
  </si>
  <si>
    <t>13059-1</t>
  </si>
  <si>
    <t>375/2025</t>
  </si>
  <si>
    <t>ORIENT POWER</t>
  </si>
  <si>
    <t>NOVO REMANSO</t>
  </si>
  <si>
    <t>WAYPOINT</t>
  </si>
  <si>
    <t>13062-1</t>
  </si>
  <si>
    <t>MV CHRYSANTHE</t>
  </si>
  <si>
    <t>JOÃO PESSOA X</t>
  </si>
  <si>
    <t>MINERVA VIRGO</t>
  </si>
  <si>
    <t>Sekavin S.A</t>
  </si>
  <si>
    <t>13106-1</t>
  </si>
  <si>
    <t>380/2025</t>
  </si>
  <si>
    <t>13282-1</t>
  </si>
  <si>
    <t>JUN</t>
  </si>
  <si>
    <t>JUL</t>
  </si>
  <si>
    <t>Contagem de DATA AFB</t>
  </si>
  <si>
    <t>PA20250018</t>
  </si>
  <si>
    <t>VALOR</t>
  </si>
  <si>
    <t>BUNKER PARTNER DMCC</t>
  </si>
  <si>
    <t>CORAL ISLAND</t>
  </si>
  <si>
    <t>PA20250019</t>
  </si>
  <si>
    <t>017/2025</t>
  </si>
  <si>
    <t>PA20250020</t>
  </si>
  <si>
    <t>SEA ROSE</t>
  </si>
  <si>
    <t>019/2025</t>
  </si>
  <si>
    <t>13424-1</t>
  </si>
  <si>
    <t>421/2025</t>
  </si>
  <si>
    <t>BRAVO V</t>
  </si>
  <si>
    <t>13517-1</t>
  </si>
  <si>
    <t>25BR001592673-5</t>
  </si>
  <si>
    <t>25SVR150497330</t>
  </si>
  <si>
    <t>420/2025</t>
  </si>
  <si>
    <t>13425-1</t>
  </si>
  <si>
    <t>13500-1</t>
  </si>
  <si>
    <t>426/2025</t>
  </si>
  <si>
    <t>13638-1</t>
  </si>
  <si>
    <t>PA20250021</t>
  </si>
  <si>
    <t>BASEBLUE LTD</t>
  </si>
  <si>
    <t>GLOBAL AGENCIA</t>
  </si>
  <si>
    <t>020/2025</t>
  </si>
  <si>
    <t>PA20250022</t>
  </si>
  <si>
    <t>25BR001610259-0</t>
  </si>
  <si>
    <t>25KBJ150673197</t>
  </si>
  <si>
    <t>401/2025</t>
  </si>
  <si>
    <t>SEA LION</t>
  </si>
  <si>
    <t>ITACOATIARA</t>
  </si>
  <si>
    <t>13601-1</t>
  </si>
  <si>
    <t>441/2025</t>
  </si>
  <si>
    <t>13621-1</t>
  </si>
  <si>
    <t>442/2025</t>
  </si>
  <si>
    <t>ARAUCA</t>
  </si>
  <si>
    <t xml:space="preserve">GLOBAL MARINE FUELS </t>
  </si>
  <si>
    <t>13645-1</t>
  </si>
  <si>
    <t>453/2025</t>
  </si>
  <si>
    <t>13285-1</t>
  </si>
  <si>
    <t>400/2025</t>
  </si>
  <si>
    <t>13284-1</t>
  </si>
  <si>
    <t>416/2025</t>
  </si>
  <si>
    <t>13590-1</t>
  </si>
  <si>
    <t>25BR001567721-2</t>
  </si>
  <si>
    <t>25QZM150247813</t>
  </si>
  <si>
    <t>25BR001594706-6</t>
  </si>
  <si>
    <t>25UXT150517667</t>
  </si>
  <si>
    <t>CAPE TAFT</t>
  </si>
  <si>
    <t>Richard</t>
  </si>
  <si>
    <t>13726-1</t>
  </si>
  <si>
    <t>13725-1</t>
  </si>
  <si>
    <t>CROSS OFFICE OU</t>
  </si>
  <si>
    <t>STEFANOS</t>
  </si>
  <si>
    <t>Alphamar</t>
  </si>
  <si>
    <t>PA20250023</t>
  </si>
  <si>
    <t>022/2025</t>
  </si>
  <si>
    <t>PA20250024</t>
  </si>
  <si>
    <t>STAR TOKYO</t>
  </si>
  <si>
    <t>Wilson Sons</t>
  </si>
  <si>
    <t>PA20250025</t>
  </si>
  <si>
    <t>PA20250026</t>
  </si>
  <si>
    <t>023/2025</t>
  </si>
  <si>
    <t>CYTA</t>
  </si>
  <si>
    <t>GEM Shipping</t>
  </si>
  <si>
    <t>024/2025</t>
  </si>
  <si>
    <t>25BR001658399-8</t>
  </si>
  <si>
    <t>25AUR151154592</t>
  </si>
  <si>
    <t>456/2025</t>
  </si>
  <si>
    <t>455/2025</t>
  </si>
  <si>
    <t>MV DANAE</t>
  </si>
  <si>
    <t>460/466</t>
  </si>
  <si>
    <t>25BR001364145-8</t>
  </si>
  <si>
    <t>25GIO148212056</t>
  </si>
  <si>
    <t>13145-1</t>
  </si>
  <si>
    <t>25BR001403053-3</t>
  </si>
  <si>
    <t>25KJH148601133</t>
  </si>
  <si>
    <t>25BR001412802-9</t>
  </si>
  <si>
    <t>25RRV148698625</t>
  </si>
  <si>
    <t>13219-1</t>
  </si>
  <si>
    <t>13236-1</t>
  </si>
  <si>
    <t>390/2025</t>
  </si>
  <si>
    <t>395/2025</t>
  </si>
  <si>
    <t>25BR001519795-4</t>
  </si>
  <si>
    <t>25HFB149768554</t>
  </si>
  <si>
    <t>13476-1</t>
  </si>
  <si>
    <t>13507-1</t>
  </si>
  <si>
    <t>25BR001523894-4</t>
  </si>
  <si>
    <t>25MLS149809544</t>
  </si>
  <si>
    <t>OCEAN BREEZE</t>
  </si>
  <si>
    <t>TFG Marine Pte Lt</t>
  </si>
  <si>
    <t>25BR000131462-7</t>
  </si>
  <si>
    <t>25BR000121815-6</t>
  </si>
  <si>
    <t>25BR000366321-1</t>
  </si>
  <si>
    <t>25BR000366042-5</t>
  </si>
  <si>
    <t>25BR000377042-5</t>
  </si>
  <si>
    <t>25BR000403298-3</t>
  </si>
  <si>
    <t>25BR000472503-2</t>
  </si>
  <si>
    <t>25BR000489168-4</t>
  </si>
  <si>
    <t>25OXE135885227</t>
  </si>
  <si>
    <t>25ACK135785400</t>
  </si>
  <si>
    <t>25YGC135788752</t>
  </si>
  <si>
    <t>25OWG135810642</t>
  </si>
  <si>
    <t>25JMF135908855</t>
  </si>
  <si>
    <t>25CGL136187345</t>
  </si>
  <si>
    <t>25ETC136191172</t>
  </si>
  <si>
    <t>25FDJ136268167</t>
  </si>
  <si>
    <t>25SVI136266350</t>
  </si>
  <si>
    <t>25HUO136751755</t>
  </si>
  <si>
    <t>25KWP137372936</t>
  </si>
  <si>
    <t>25GBG137208540</t>
  </si>
  <si>
    <t>25RPU137660877</t>
  </si>
  <si>
    <t>25VCX138233816</t>
  </si>
  <si>
    <t>25IAR138231023</t>
  </si>
  <si>
    <t>25GWM138341023</t>
  </si>
  <si>
    <t>25CEU138603583</t>
  </si>
  <si>
    <t>25LYP139295637</t>
  </si>
  <si>
    <t>25BR000948210-3</t>
  </si>
  <si>
    <t>25HMT144052704</t>
  </si>
  <si>
    <t>12977-1</t>
  </si>
  <si>
    <t>25BR001343896-2</t>
  </si>
  <si>
    <t>25XZR148009560</t>
  </si>
  <si>
    <t>13198-1</t>
  </si>
  <si>
    <t>25BR001672274-2</t>
  </si>
  <si>
    <t>25BYB151293347</t>
  </si>
  <si>
    <t>13632-1</t>
  </si>
  <si>
    <t>11613-1</t>
  </si>
  <si>
    <t>11622-1</t>
  </si>
  <si>
    <t>11093-1</t>
  </si>
  <si>
    <t>11084-1</t>
  </si>
  <si>
    <t>11085-1</t>
  </si>
  <si>
    <t>11091-1</t>
  </si>
  <si>
    <t>11010-1</t>
  </si>
  <si>
    <t>11021-1</t>
  </si>
  <si>
    <t>11009-1</t>
  </si>
  <si>
    <t>11020-1</t>
  </si>
  <si>
    <t>10964-1</t>
  </si>
  <si>
    <t>10960-1</t>
  </si>
  <si>
    <t>11781-1</t>
  </si>
  <si>
    <t>12898-1</t>
  </si>
  <si>
    <t>12978-1</t>
  </si>
  <si>
    <t>48-1</t>
  </si>
  <si>
    <t>13801-1</t>
  </si>
  <si>
    <t>PA20250027</t>
  </si>
  <si>
    <t>MDS Anna</t>
  </si>
  <si>
    <t>ORION RODOS</t>
  </si>
  <si>
    <t>Fratelli Cosulich Unipessoal S.A.</t>
  </si>
  <si>
    <t>46-1 / 47-1</t>
  </si>
  <si>
    <t>44-1</t>
  </si>
  <si>
    <t>025/2025</t>
  </si>
  <si>
    <t>DRYDEL SHIPPING SINGAPORE PTE. LTD</t>
  </si>
  <si>
    <t>Agri Port Services Brasil</t>
  </si>
  <si>
    <t>25BR001690713-0</t>
  </si>
  <si>
    <t>25NRL151477731</t>
  </si>
  <si>
    <t>13727-1</t>
  </si>
  <si>
    <t>13841-1</t>
  </si>
  <si>
    <t>13840-1</t>
  </si>
  <si>
    <t>463/2025</t>
  </si>
  <si>
    <t>AGO</t>
  </si>
  <si>
    <t>25BR001705866-8</t>
  </si>
  <si>
    <t>25ZWG151627857</t>
  </si>
  <si>
    <t>13872-1</t>
  </si>
  <si>
    <t>13871-1</t>
  </si>
  <si>
    <t>462/2025</t>
  </si>
  <si>
    <t>CATTLE FORCE</t>
  </si>
  <si>
    <t>25BR001611442-4</t>
  </si>
  <si>
    <t>25JFI150685020</t>
  </si>
  <si>
    <t>41-1</t>
  </si>
  <si>
    <t>25BR001246571-0</t>
  </si>
  <si>
    <t>25SAH147036319</t>
  </si>
  <si>
    <t>25BR000986522-3</t>
  </si>
  <si>
    <t>25AZK144435824</t>
  </si>
  <si>
    <t>26-1</t>
  </si>
  <si>
    <t>29-1</t>
  </si>
  <si>
    <t>25BR001045994-2</t>
  </si>
  <si>
    <t>25HDS145030542</t>
  </si>
  <si>
    <t>13-1</t>
  </si>
  <si>
    <t>14-1</t>
  </si>
  <si>
    <t>11-1</t>
  </si>
  <si>
    <t>45672-1</t>
  </si>
  <si>
    <t>45682-1</t>
  </si>
  <si>
    <t>45678-1</t>
  </si>
  <si>
    <t>25BR001570357-4</t>
  </si>
  <si>
    <t>25KEX150274179</t>
  </si>
  <si>
    <t>39-1</t>
  </si>
  <si>
    <t>49-1</t>
  </si>
  <si>
    <t>50-1</t>
  </si>
  <si>
    <t>25BR001727260-0</t>
  </si>
  <si>
    <t>25INZ151841794</t>
  </si>
  <si>
    <t>PA20250028</t>
  </si>
  <si>
    <t>EVA GLOBAL</t>
  </si>
  <si>
    <t>25BR001727490-5</t>
  </si>
  <si>
    <t>25VXX151844092</t>
  </si>
  <si>
    <t>25BR001736218-9</t>
  </si>
  <si>
    <t>25TBV151931378</t>
  </si>
  <si>
    <t>13826-1</t>
  </si>
  <si>
    <t>13825-1</t>
  </si>
  <si>
    <t>13823-1</t>
  </si>
  <si>
    <t>13824-1</t>
  </si>
  <si>
    <t>25BR001743265-9</t>
  </si>
  <si>
    <t>25UDE152001846</t>
  </si>
  <si>
    <t>476/2025</t>
  </si>
  <si>
    <t>13900-1</t>
  </si>
  <si>
    <t>13963-1</t>
  </si>
  <si>
    <t>MONJASA S.A</t>
  </si>
  <si>
    <t>PA20250029</t>
  </si>
  <si>
    <t>PA20250030</t>
  </si>
  <si>
    <t>UBC Tilbury</t>
  </si>
  <si>
    <t>Williams Brazil</t>
  </si>
  <si>
    <t>026/2025</t>
  </si>
  <si>
    <t>53-1</t>
  </si>
  <si>
    <t>13947-1</t>
  </si>
  <si>
    <t>25BR001765916-5</t>
  </si>
  <si>
    <t>25KRR152228352</t>
  </si>
  <si>
    <t>25BR001746559-0</t>
  </si>
  <si>
    <t>25BEB152034787</t>
  </si>
  <si>
    <t>BRAVO IV</t>
  </si>
  <si>
    <t>13970-1</t>
  </si>
  <si>
    <t>481/2025</t>
  </si>
  <si>
    <t>25BR001774877-0</t>
  </si>
  <si>
    <t>25OUX152317967</t>
  </si>
  <si>
    <t>GINGA MARITA</t>
  </si>
  <si>
    <t>14028-1</t>
  </si>
  <si>
    <t>14029-1</t>
  </si>
  <si>
    <t>MEDI OITA</t>
  </si>
  <si>
    <t>INTEGR8 FUELS PTE. LTD.</t>
  </si>
  <si>
    <t>COSCO SHIPPING (South America) Co.Ltd</t>
  </si>
  <si>
    <t>14035-1</t>
  </si>
  <si>
    <t>Heavy Lift Vessel</t>
  </si>
  <si>
    <t>Passenger Ship</t>
  </si>
  <si>
    <t>Oil Products Tanker</t>
  </si>
  <si>
    <t>Container Ship</t>
  </si>
  <si>
    <t>TUG</t>
  </si>
  <si>
    <t>LPG Tanker</t>
  </si>
  <si>
    <t>Asphalt/Bitumen Tanker</t>
  </si>
  <si>
    <t>11441194 </t>
  </si>
  <si>
    <t>482/2025</t>
  </si>
  <si>
    <t>AMAZONICA AGENCIA MARITIMA LTDA</t>
  </si>
  <si>
    <t>General Cargo</t>
  </si>
  <si>
    <t>021/2025</t>
  </si>
  <si>
    <t>027/2025</t>
  </si>
  <si>
    <t>25BR001422864-3</t>
  </si>
  <si>
    <t>25JUY148799243</t>
  </si>
  <si>
    <t>25BR001466542-3</t>
  </si>
  <si>
    <t>25URK149236021</t>
  </si>
  <si>
    <t>SET</t>
  </si>
  <si>
    <t>14092-1</t>
  </si>
  <si>
    <t>25LVQ141010997</t>
  </si>
  <si>
    <t>25KBU143558159</t>
  </si>
  <si>
    <t>ASOPOS</t>
  </si>
  <si>
    <t>NOVUM ENERGY TRADING CORP</t>
  </si>
  <si>
    <t>25BR000877501-8</t>
  </si>
  <si>
    <t>25MLX143345619</t>
  </si>
  <si>
    <t>14101-1</t>
  </si>
  <si>
    <t>55-1</t>
  </si>
  <si>
    <t>14109-1</t>
  </si>
  <si>
    <t>487/2025</t>
  </si>
  <si>
    <t>489/2025</t>
  </si>
  <si>
    <t>13200-1</t>
  </si>
  <si>
    <t>13195-1</t>
  </si>
  <si>
    <t>Saving Real</t>
  </si>
  <si>
    <t>PA20250031</t>
  </si>
  <si>
    <t>Bunker One (USA) Inc.</t>
  </si>
  <si>
    <t>PORT NAVIGATOR</t>
  </si>
  <si>
    <t>Serveporto Group</t>
  </si>
  <si>
    <t>25BR001828521-8</t>
  </si>
  <si>
    <t>25MXA152854407</t>
  </si>
  <si>
    <t>492/2025</t>
  </si>
  <si>
    <t>029/2025</t>
  </si>
  <si>
    <t>14135-1</t>
  </si>
  <si>
    <t>14141-1</t>
  </si>
  <si>
    <t>14165-1</t>
  </si>
  <si>
    <t>14164-1</t>
  </si>
  <si>
    <t>AG BDN</t>
  </si>
  <si>
    <t>14169-1</t>
  </si>
  <si>
    <t>56-1</t>
  </si>
  <si>
    <t>14179-1</t>
  </si>
  <si>
    <t>14103-1</t>
  </si>
  <si>
    <t>14102-1</t>
  </si>
  <si>
    <t>25BR001857794-4</t>
  </si>
  <si>
    <t>25IKV153147135</t>
  </si>
  <si>
    <t>496/2025</t>
  </si>
  <si>
    <t>497/2025</t>
  </si>
  <si>
    <t>25BR001865375-6</t>
  </si>
  <si>
    <t>25RKV153222943</t>
  </si>
  <si>
    <t>25BR001866141-4</t>
  </si>
  <si>
    <t>25XGM153230601</t>
  </si>
  <si>
    <t>25BR001865803-0</t>
  </si>
  <si>
    <t>25IVN153227228</t>
  </si>
  <si>
    <t>57-1</t>
  </si>
  <si>
    <t>25BR001865739-5</t>
  </si>
  <si>
    <t>25ZYR153226582</t>
  </si>
  <si>
    <t>PA20250032</t>
  </si>
  <si>
    <t>PA20250033</t>
  </si>
  <si>
    <t>MV Juruti</t>
  </si>
  <si>
    <t>PORTO ICOARACI</t>
  </si>
  <si>
    <t>ODELMAR</t>
  </si>
  <si>
    <t>14213-1</t>
  </si>
  <si>
    <t>14212-1</t>
  </si>
  <si>
    <t>PA20250034</t>
  </si>
  <si>
    <t>AMAZON COURAGE</t>
  </si>
  <si>
    <t>BUNKER ONE COMB E LUBRIF LTDA</t>
  </si>
  <si>
    <t>25BR001882405-4</t>
  </si>
  <si>
    <t>25SLB153393241</t>
  </si>
  <si>
    <t>Eastern Mediterranean Maritime Limited</t>
  </si>
  <si>
    <t>IRINI</t>
  </si>
  <si>
    <t>14217-1</t>
  </si>
  <si>
    <t>Valor anterior</t>
  </si>
  <si>
    <t>502/2025</t>
  </si>
  <si>
    <t>030/2025</t>
  </si>
  <si>
    <t>PA20250035</t>
  </si>
  <si>
    <t>25BR001895523-0</t>
  </si>
  <si>
    <t>25UDP153524427</t>
  </si>
  <si>
    <t>14215-1</t>
  </si>
  <si>
    <t>14210-1</t>
  </si>
  <si>
    <t>MV HAO FENG HAI</t>
  </si>
  <si>
    <t>FLEX COMMODITIES DMCC</t>
  </si>
  <si>
    <t>BPA - Brazilian Port Agency.</t>
  </si>
  <si>
    <t>14253-1</t>
  </si>
  <si>
    <t>PA20250036</t>
  </si>
  <si>
    <t>PORTO DE SANTAREM</t>
  </si>
  <si>
    <t>LEONA XVII</t>
  </si>
  <si>
    <t>IVS PROGRESS</t>
  </si>
  <si>
    <t>Cargill Ocean Transportation</t>
  </si>
  <si>
    <t>59-1</t>
  </si>
  <si>
    <t>035/2025</t>
  </si>
  <si>
    <t>036/2025</t>
  </si>
  <si>
    <t>PA20250037</t>
  </si>
  <si>
    <t>POSIDONIA SHIPPING &amp; TRADING LTDA</t>
  </si>
  <si>
    <t>AMAZON PIONEER</t>
  </si>
  <si>
    <t>PA20250038</t>
  </si>
  <si>
    <t>14275-1</t>
  </si>
  <si>
    <t>AG ESCALA - AG. AFB</t>
  </si>
  <si>
    <t>040/2025</t>
  </si>
  <si>
    <t>041/2025</t>
  </si>
  <si>
    <t>PA20250039</t>
  </si>
  <si>
    <t>HANZE GENUA</t>
  </si>
  <si>
    <t>512/2025</t>
  </si>
  <si>
    <t>66-1</t>
  </si>
  <si>
    <t>67-1</t>
  </si>
  <si>
    <t>14355-1</t>
  </si>
  <si>
    <t>14354-1</t>
  </si>
  <si>
    <t>EDUARDO MORAES DA CUNHA</t>
  </si>
  <si>
    <t>RUNA</t>
  </si>
  <si>
    <t>MARITIME LEAD</t>
  </si>
  <si>
    <t>UNIMAR AGENCIAMENTOS MARITIMOS LTDA</t>
  </si>
  <si>
    <t>14372-1</t>
  </si>
  <si>
    <t>14373-1</t>
  </si>
  <si>
    <t>510/2025</t>
  </si>
  <si>
    <t>045/2025</t>
  </si>
  <si>
    <t>CUIABA X</t>
  </si>
  <si>
    <t>14423-1</t>
  </si>
  <si>
    <t>516/2025</t>
  </si>
  <si>
    <t>14403-1</t>
  </si>
  <si>
    <t>25BR001978982-1</t>
  </si>
  <si>
    <t>25MML154359012</t>
  </si>
  <si>
    <t>25BR001979354-3</t>
  </si>
  <si>
    <t>25YGA154362730</t>
  </si>
  <si>
    <t>25BR001981964-0</t>
  </si>
  <si>
    <t>25QFK154388837</t>
  </si>
  <si>
    <t>AG AV DUE</t>
  </si>
  <si>
    <t>25BR001974566-2</t>
  </si>
  <si>
    <t>25CZD154314850</t>
  </si>
  <si>
    <t>PA20250040</t>
  </si>
  <si>
    <t>AG ESCALA</t>
  </si>
  <si>
    <t>PACIFIC 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</si>
</sst>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0"/>
    <numFmt numFmtId="165" formatCode="_-[$$-409]* #,##0.00_ ;_-[$$-409]* \-#,##0.00\ ;_-[$$-409]* &quot;-&quot;??_ ;_-@_ "/>
    <numFmt numFmtId="166" formatCode="0.000"/>
    <numFmt numFmtId="167" formatCode="[$-416]d\-mmm\-yy;@"/>
    <numFmt numFmtId="168" formatCode="0.0000"/>
    <numFmt numFmtId="169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9"/>
      <name val="Aptos Narrow"/>
      <family val="2"/>
      <scheme val="minor"/>
    </font>
    <font>
      <sz val="9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4">
    <fill>
      <patternFill patternType="none"/>
    </fill>
    <fill>
      <patternFill patternType="gray125"/>
    </fill>
    <fill>
      <patternFill patternType="solid">
        <fgColor rgb="FFD5338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6">
    <xf numFmtId="0" fontId="0" fillId="0" borderId="0" xfId="0"/>
    <xf numFmtId="44" fontId="2" fillId="3" borderId="0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7" fontId="2" fillId="6" borderId="0" xfId="0" applyNumberFormat="1" applyFont="1" applyFill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168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/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6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2" fontId="3" fillId="7" borderId="0" xfId="0" applyNumberFormat="1" applyFont="1" applyFill="1" applyAlignment="1">
      <alignment horizontal="center" vertical="center"/>
    </xf>
    <xf numFmtId="167" fontId="3" fillId="7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7" fontId="2" fillId="6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8" fontId="2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4" fontId="4" fillId="0" borderId="0" xfId="1" applyFont="1" applyBorder="1" applyAlignment="1">
      <alignment horizontal="center" vertical="center"/>
    </xf>
    <xf numFmtId="165" fontId="4" fillId="0" borderId="0" xfId="1" applyNumberFormat="1" applyFont="1" applyFill="1" applyAlignment="1">
      <alignment horizontal="center" vertical="center"/>
    </xf>
    <xf numFmtId="44" fontId="4" fillId="0" borderId="0" xfId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167" fontId="2" fillId="8" borderId="0" xfId="0" applyNumberFormat="1" applyFont="1" applyFill="1" applyAlignment="1">
      <alignment horizontal="center" vertical="center" wrapText="1"/>
    </xf>
    <xf numFmtId="165" fontId="2" fillId="8" borderId="0" xfId="0" applyNumberFormat="1" applyFont="1" applyFill="1" applyAlignment="1">
      <alignment horizontal="center" vertical="center" wrapText="1"/>
    </xf>
    <xf numFmtId="168" fontId="2" fillId="8" borderId="0" xfId="0" applyNumberFormat="1" applyFont="1" applyFill="1" applyAlignment="1">
      <alignment horizontal="center" vertical="center" wrapText="1"/>
    </xf>
    <xf numFmtId="44" fontId="2" fillId="8" borderId="0" xfId="1" applyFont="1" applyFill="1" applyBorder="1" applyAlignment="1">
      <alignment horizontal="center" vertical="center" wrapText="1"/>
    </xf>
    <xf numFmtId="2" fontId="2" fillId="8" borderId="0" xfId="0" applyNumberFormat="1" applyFont="1" applyFill="1" applyAlignment="1">
      <alignment horizontal="center" vertical="center" wrapText="1"/>
    </xf>
    <xf numFmtId="166" fontId="2" fillId="8" borderId="0" xfId="0" applyNumberFormat="1" applyFont="1" applyFill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167" fontId="2" fillId="8" borderId="2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wrapText="1"/>
    </xf>
    <xf numFmtId="0" fontId="4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7" fontId="4" fillId="9" borderId="2" xfId="0" applyNumberFormat="1" applyFont="1" applyFill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167" fontId="3" fillId="4" borderId="2" xfId="0" applyNumberFormat="1" applyFont="1" applyFill="1" applyBorder="1" applyAlignment="1">
      <alignment horizontal="center" vertical="center" wrapText="1"/>
    </xf>
    <xf numFmtId="167" fontId="3" fillId="10" borderId="2" xfId="0" applyNumberFormat="1" applyFont="1" applyFill="1" applyBorder="1" applyAlignment="1">
      <alignment horizontal="center" vertical="center"/>
    </xf>
    <xf numFmtId="167" fontId="3" fillId="4" borderId="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7" fontId="2" fillId="2" borderId="2" xfId="0" applyNumberFormat="1" applyFont="1" applyFill="1" applyBorder="1" applyAlignment="1">
      <alignment horizontal="center" vertical="center"/>
    </xf>
    <xf numFmtId="167" fontId="3" fillId="7" borderId="2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7" fontId="2" fillId="7" borderId="0" xfId="0" applyNumberFormat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11" borderId="0" xfId="1" applyNumberFormat="1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4" fillId="11" borderId="0" xfId="1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4" fillId="0" borderId="0" xfId="0" quotePrefix="1" applyNumberFormat="1" applyFont="1" applyAlignment="1">
      <alignment horizontal="center" vertical="center"/>
    </xf>
    <xf numFmtId="0" fontId="8" fillId="9" borderId="3" xfId="0" applyFont="1" applyFill="1" applyBorder="1"/>
    <xf numFmtId="0" fontId="8" fillId="9" borderId="4" xfId="0" applyFont="1" applyFill="1" applyBorder="1" applyAlignment="1">
      <alignment horizontal="left"/>
    </xf>
    <xf numFmtId="0" fontId="8" fillId="9" borderId="4" xfId="0" applyFont="1" applyFill="1" applyBorder="1"/>
    <xf numFmtId="0" fontId="5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4" fontId="4" fillId="12" borderId="0" xfId="0" applyNumberFormat="1" applyFont="1" applyFill="1" applyAlignment="1">
      <alignment horizontal="center" vertical="center"/>
    </xf>
    <xf numFmtId="167" fontId="4" fillId="12" borderId="0" xfId="0" applyNumberFormat="1" applyFont="1" applyFill="1" applyAlignment="1">
      <alignment horizontal="center" vertical="center"/>
    </xf>
    <xf numFmtId="16" fontId="4" fillId="12" borderId="0" xfId="0" applyNumberFormat="1" applyFont="1" applyFill="1" applyAlignment="1">
      <alignment horizontal="center" vertical="center"/>
    </xf>
    <xf numFmtId="2" fontId="4" fillId="12" borderId="0" xfId="0" applyNumberFormat="1" applyFont="1" applyFill="1" applyAlignment="1">
      <alignment horizontal="center" vertical="center"/>
    </xf>
    <xf numFmtId="164" fontId="4" fillId="12" borderId="0" xfId="0" applyNumberFormat="1" applyFont="1" applyFill="1" applyAlignment="1">
      <alignment horizontal="center" vertical="center"/>
    </xf>
    <xf numFmtId="166" fontId="4" fillId="12" borderId="0" xfId="0" applyNumberFormat="1" applyFont="1" applyFill="1" applyAlignment="1">
      <alignment horizontal="center" vertical="center"/>
    </xf>
    <xf numFmtId="165" fontId="4" fillId="12" borderId="0" xfId="1" applyNumberFormat="1" applyFont="1" applyFill="1" applyAlignment="1">
      <alignment horizontal="center" vertical="center"/>
    </xf>
    <xf numFmtId="165" fontId="4" fillId="12" borderId="0" xfId="0" applyNumberFormat="1" applyFont="1" applyFill="1" applyAlignment="1">
      <alignment horizontal="center" vertical="center"/>
    </xf>
    <xf numFmtId="168" fontId="4" fillId="12" borderId="0" xfId="0" applyNumberFormat="1" applyFont="1" applyFill="1" applyAlignment="1">
      <alignment horizontal="center" vertical="center"/>
    </xf>
    <xf numFmtId="44" fontId="4" fillId="12" borderId="0" xfId="1" applyFont="1" applyFill="1" applyAlignment="1">
      <alignment horizontal="center" vertical="center"/>
    </xf>
    <xf numFmtId="0" fontId="4" fillId="12" borderId="0" xfId="1" applyNumberFormat="1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4" fontId="4" fillId="13" borderId="0" xfId="0" applyNumberFormat="1" applyFont="1" applyFill="1" applyAlignment="1">
      <alignment horizontal="center" vertical="center"/>
    </xf>
    <xf numFmtId="167" fontId="4" fillId="13" borderId="0" xfId="0" applyNumberFormat="1" applyFont="1" applyFill="1" applyAlignment="1">
      <alignment horizontal="center" vertical="center"/>
    </xf>
    <xf numFmtId="16" fontId="4" fillId="13" borderId="0" xfId="0" applyNumberFormat="1" applyFont="1" applyFill="1" applyAlignment="1">
      <alignment horizontal="center" vertical="center"/>
    </xf>
    <xf numFmtId="2" fontId="4" fillId="13" borderId="0" xfId="0" applyNumberFormat="1" applyFont="1" applyFill="1" applyAlignment="1">
      <alignment horizontal="center" vertical="center"/>
    </xf>
    <xf numFmtId="164" fontId="4" fillId="13" borderId="0" xfId="0" applyNumberFormat="1" applyFont="1" applyFill="1" applyAlignment="1">
      <alignment horizontal="center" vertical="center"/>
    </xf>
    <xf numFmtId="166" fontId="4" fillId="13" borderId="0" xfId="0" applyNumberFormat="1" applyFont="1" applyFill="1" applyAlignment="1">
      <alignment horizontal="center" vertical="center"/>
    </xf>
    <xf numFmtId="49" fontId="4" fillId="13" borderId="0" xfId="0" applyNumberFormat="1" applyFont="1" applyFill="1" applyAlignment="1">
      <alignment horizontal="center" vertical="center"/>
    </xf>
    <xf numFmtId="165" fontId="4" fillId="13" borderId="0" xfId="1" applyNumberFormat="1" applyFont="1" applyFill="1" applyAlignment="1">
      <alignment horizontal="center" vertical="center"/>
    </xf>
    <xf numFmtId="165" fontId="4" fillId="13" borderId="0" xfId="0" applyNumberFormat="1" applyFont="1" applyFill="1" applyAlignment="1">
      <alignment horizontal="center" vertical="center"/>
    </xf>
    <xf numFmtId="168" fontId="4" fillId="13" borderId="0" xfId="0" applyNumberFormat="1" applyFont="1" applyFill="1" applyAlignment="1">
      <alignment horizontal="center" vertical="center"/>
    </xf>
    <xf numFmtId="44" fontId="4" fillId="13" borderId="0" xfId="1" applyFont="1" applyFill="1" applyAlignment="1">
      <alignment horizontal="center" vertical="center"/>
    </xf>
    <xf numFmtId="0" fontId="4" fillId="13" borderId="0" xfId="1" applyNumberFormat="1" applyFont="1" applyFill="1" applyAlignment="1">
      <alignment horizontal="center" vertical="center"/>
    </xf>
    <xf numFmtId="169" fontId="2" fillId="8" borderId="0" xfId="0" applyNumberFormat="1" applyFont="1" applyFill="1" applyAlignment="1">
      <alignment horizontal="center" vertical="center" wrapText="1"/>
    </xf>
    <xf numFmtId="169" fontId="4" fillId="0" borderId="0" xfId="0" applyNumberFormat="1" applyFont="1" applyAlignment="1">
      <alignment horizontal="center" vertical="center"/>
    </xf>
    <xf numFmtId="169" fontId="5" fillId="0" borderId="0" xfId="0" applyNumberFormat="1" applyFont="1"/>
    <xf numFmtId="169" fontId="2" fillId="5" borderId="0" xfId="0" applyNumberFormat="1" applyFont="1" applyFill="1" applyAlignment="1">
      <alignment horizontal="center" vertical="center"/>
    </xf>
    <xf numFmtId="169" fontId="4" fillId="12" borderId="0" xfId="0" applyNumberFormat="1" applyFont="1" applyFill="1" applyAlignment="1">
      <alignment horizontal="center" vertical="center"/>
    </xf>
    <xf numFmtId="169" fontId="4" fillId="13" borderId="0" xfId="0" applyNumberFormat="1" applyFont="1" applyFill="1" applyAlignment="1">
      <alignment horizontal="center" vertical="center"/>
    </xf>
    <xf numFmtId="0" fontId="6" fillId="0" borderId="0" xfId="0" applyFont="1"/>
    <xf numFmtId="0" fontId="4" fillId="0" borderId="0" xfId="0" applyFont="1"/>
    <xf numFmtId="49" fontId="5" fillId="0" borderId="0" xfId="0" applyNumberFormat="1" applyFont="1"/>
    <xf numFmtId="0" fontId="4" fillId="0" borderId="0" xfId="1" applyNumberFormat="1" applyFont="1" applyFill="1" applyAlignment="1">
      <alignment horizontal="center" vertical="center"/>
    </xf>
  </cellXfs>
  <cellStyles count="6">
    <cellStyle name="Moeda" xfId="1" builtinId="4"/>
    <cellStyle name="Moeda 2" xfId="3" xr:uid="{AA574E3A-C458-496E-AC85-67E582F3538A}"/>
    <cellStyle name="Moeda 3" xfId="5" xr:uid="{BA390E50-DDE8-4605-9784-FCC6217135B0}"/>
    <cellStyle name="Normal" xfId="0" builtinId="0"/>
    <cellStyle name="Vírgula 2" xfId="2" xr:uid="{332EA1EF-CAC6-49CE-904E-088BC9EB717F}"/>
    <cellStyle name="Vírgula 3" xfId="4" xr:uid="{E9B64EE7-FF06-4C5E-B412-73376BD7DB1C}"/>
  </cellStyles>
  <dxfs count="1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8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5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5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6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4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9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9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9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8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8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5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5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5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5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6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6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4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4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7" formatCode="[$-416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9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9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9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</dxf>
    <dxf>
      <fill>
        <patternFill>
          <fgColor auto="1"/>
          <bgColor theme="4" tint="0.79998168889431442"/>
        </patternFill>
      </fill>
    </dxf>
  </dxfs>
  <tableStyles count="2" defaultTableStyle="TableStyleMedium2" defaultPivotStyle="PivotStyleLight16">
    <tableStyle name="Estilo de Tabela 1" pivot="0" count="1" xr9:uid="{55C513E8-9249-41F3-B353-75D0D08F1006}">
      <tableStyleElement type="wholeTable" dxfId="151"/>
    </tableStyle>
    <tableStyle name="Invisible" pivot="0" table="0" count="0" xr9:uid="{0FB9C52F-C25F-49E2-B8B0-B653E1C77733}"/>
  </tableStyles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[1.Follow Up Export REAM 2025.1.xlsx]KPI AM!Tabela dinâmica1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Janeiro</a:t>
            </a:r>
            <a:r>
              <a:rPr lang="pt-BR" baseline="0"/>
              <a:t> a Julho - 2025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AM'!$B$3:$B$4</c:f>
              <c:strCache>
                <c:ptCount val="1"/>
                <c:pt idx="0">
                  <c:v>LSMGO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AM'!$A$5:$A$13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'KPI AM'!$B$5:$B$13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7-4BFB-9D83-03C61873679C}"/>
            </c:ext>
          </c:extLst>
        </c:ser>
        <c:ser>
          <c:idx val="1"/>
          <c:order val="1"/>
          <c:tx>
            <c:strRef>
              <c:f>'KPI AM'!$C$3:$C$4</c:f>
              <c:strCache>
                <c:ptCount val="1"/>
                <c:pt idx="0">
                  <c:v>VLSFO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AM'!$A$5:$A$13</c:f>
              <c:strCache>
                <c:ptCount val="8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'KPI AM'!$C$5:$C$13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7</c:v>
                </c:pt>
                <c:pt idx="3">
                  <c:v>2</c:v>
                </c:pt>
                <c:pt idx="4">
                  <c:v>6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A1E-4EA6-A081-B709822810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3953792"/>
        <c:axId val="473951872"/>
      </c:barChart>
      <c:catAx>
        <c:axId val="4739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951872"/>
        <c:crosses val="autoZero"/>
        <c:auto val="1"/>
        <c:lblAlgn val="ctr"/>
        <c:lblOffset val="100"/>
        <c:noMultiLvlLbl val="0"/>
      </c:catAx>
      <c:valAx>
        <c:axId val="4739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953792"/>
        <c:crosses val="autoZero"/>
        <c:crossBetween val="between"/>
        <c:majorUnit val="3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[1.Follow Up Export REAM 2025.1.xlsx]KPI AM!Tabela dinâmica2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SLA - DU-E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AM'!$B$21:$B$22</c:f>
              <c:strCache>
                <c:ptCount val="1"/>
                <c:pt idx="0">
                  <c:v>Atendido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'KPI AM'!$A$23:$A$32</c:f>
              <c:multiLvlStrCache>
                <c:ptCount val="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</c:lvl>
                <c:lvl>
                  <c:pt idx="0">
                    <c:v>LONGO CURSO</c:v>
                  </c:pt>
                </c:lvl>
              </c:multiLvlStrCache>
            </c:multiLvlStrRef>
          </c:cat>
          <c:val>
            <c:numRef>
              <c:f>'KPI AM'!$B$23:$B$32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10</c:v>
                </c:pt>
                <c:pt idx="5">
                  <c:v>2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C-45BE-ABAE-56B48808D340}"/>
            </c:ext>
          </c:extLst>
        </c:ser>
        <c:ser>
          <c:idx val="1"/>
          <c:order val="1"/>
          <c:tx>
            <c:strRef>
              <c:f>'KPI AM'!$C$21:$C$22</c:f>
              <c:strCache>
                <c:ptCount val="1"/>
                <c:pt idx="0">
                  <c:v>Não atendido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'KPI AM'!$A$23:$A$32</c:f>
              <c:multiLvlStrCache>
                <c:ptCount val="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</c:lvl>
                <c:lvl>
                  <c:pt idx="0">
                    <c:v>LONGO CURSO</c:v>
                  </c:pt>
                </c:lvl>
              </c:multiLvlStrCache>
            </c:multiLvlStrRef>
          </c:cat>
          <c:val>
            <c:numRef>
              <c:f>'KPI AM'!$C$23:$C$32</c:f>
              <c:numCache>
                <c:formatCode>General</c:formatCode>
                <c:ptCount val="8"/>
                <c:pt idx="1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C-45BE-ABAE-56B48808D3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906831"/>
        <c:axId val="120907311"/>
      </c:barChart>
      <c:catAx>
        <c:axId val="1209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07311"/>
        <c:crosses val="autoZero"/>
        <c:auto val="1"/>
        <c:lblAlgn val="ctr"/>
        <c:lblOffset val="100"/>
        <c:noMultiLvlLbl val="0"/>
      </c:catAx>
      <c:valAx>
        <c:axId val="1209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06831"/>
        <c:crosses val="autoZero"/>
        <c:crossBetween val="between"/>
        <c:majorUnit val="3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[1.Follow Up Export REAM 2025.1.xlsx]KPI PA!Tabela dinâmica2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VOLUME ABASTECIDO 2025 - 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PA'!$B$3:$B$4</c:f>
              <c:strCache>
                <c:ptCount val="1"/>
                <c:pt idx="0">
                  <c:v>LSMGO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 PA'!$A$5:$A$11</c:f>
              <c:strCache>
                <c:ptCount val="6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SET</c:v>
                </c:pt>
              </c:strCache>
            </c:strRef>
          </c:cat>
          <c:val>
            <c:numRef>
              <c:f>'KPI PA'!$B$5:$B$11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1-49E1-91B8-B515CF3A785A}"/>
            </c:ext>
          </c:extLst>
        </c:ser>
        <c:ser>
          <c:idx val="1"/>
          <c:order val="1"/>
          <c:tx>
            <c:strRef>
              <c:f>'KPI PA'!$C$3:$C$4</c:f>
              <c:strCache>
                <c:ptCount val="1"/>
                <c:pt idx="0">
                  <c:v>VLSFO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PA'!$A$5:$A$11</c:f>
              <c:strCache>
                <c:ptCount val="6"/>
                <c:pt idx="0">
                  <c:v>ABR</c:v>
                </c:pt>
                <c:pt idx="1">
                  <c:v>MAI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SET</c:v>
                </c:pt>
              </c:strCache>
            </c:strRef>
          </c:cat>
          <c:val>
            <c:numRef>
              <c:f>'KPI PA'!$C$5:$C$11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1-49E1-91B8-B515CF3A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341776"/>
        <c:axId val="1847342256"/>
      </c:barChart>
      <c:catAx>
        <c:axId val="18473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342256"/>
        <c:crosses val="autoZero"/>
        <c:auto val="1"/>
        <c:lblAlgn val="ctr"/>
        <c:lblOffset val="100"/>
        <c:noMultiLvlLbl val="0"/>
      </c:catAx>
      <c:valAx>
        <c:axId val="1847342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341776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[1.Follow Up Export REAM 2025.1.xlsx]KPI PA!Tabela dinâmica3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SLA</a:t>
            </a:r>
            <a:r>
              <a:rPr lang="pt-BR" baseline="0"/>
              <a:t> - DU-E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PA'!$B$16:$B$17</c:f>
              <c:strCache>
                <c:ptCount val="1"/>
                <c:pt idx="0">
                  <c:v>LSMGO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PA'!$A$18:$A$19</c:f>
              <c:strCache>
                <c:ptCount val="1"/>
                <c:pt idx="0">
                  <c:v>LONGO CURSO</c:v>
                </c:pt>
              </c:strCache>
            </c:strRef>
          </c:cat>
          <c:val>
            <c:numRef>
              <c:f>'KPI PA'!$B$18:$B$19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0-4F5B-A3FA-53C63351E551}"/>
            </c:ext>
          </c:extLst>
        </c:ser>
        <c:ser>
          <c:idx val="1"/>
          <c:order val="1"/>
          <c:tx>
            <c:strRef>
              <c:f>'KPI PA'!$C$16:$C$17</c:f>
              <c:strCache>
                <c:ptCount val="1"/>
                <c:pt idx="0">
                  <c:v>MGO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PA'!$A$18:$A$19</c:f>
              <c:strCache>
                <c:ptCount val="1"/>
                <c:pt idx="0">
                  <c:v>LONGO CURSO</c:v>
                </c:pt>
              </c:strCache>
            </c:strRef>
          </c:cat>
          <c:val>
            <c:numRef>
              <c:f>'KPI PA'!$C$18:$C$19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0-4F5B-A3FA-53C63351E551}"/>
            </c:ext>
          </c:extLst>
        </c:ser>
        <c:ser>
          <c:idx val="2"/>
          <c:order val="2"/>
          <c:tx>
            <c:strRef>
              <c:f>'KPI PA'!$D$16:$D$17</c:f>
              <c:strCache>
                <c:ptCount val="1"/>
                <c:pt idx="0">
                  <c:v>VLSFO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PA'!$A$18:$A$19</c:f>
              <c:strCache>
                <c:ptCount val="1"/>
                <c:pt idx="0">
                  <c:v>LONGO CURSO</c:v>
                </c:pt>
              </c:strCache>
            </c:strRef>
          </c:cat>
          <c:val>
            <c:numRef>
              <c:f>'KPI PA'!$D$18:$D$19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0-4F5B-A3FA-53C63351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1327"/>
        <c:axId val="51454687"/>
      </c:barChart>
      <c:catAx>
        <c:axId val="514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54687"/>
        <c:crosses val="autoZero"/>
        <c:auto val="1"/>
        <c:lblAlgn val="ctr"/>
        <c:lblOffset val="100"/>
        <c:noMultiLvlLbl val="0"/>
      </c:catAx>
      <c:valAx>
        <c:axId val="514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51327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Processos Bunker 2025 - Belém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Planilha2!$A$16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Planilha2!$B$15:$D$15</c:f>
              <c:strCache>
                <c:ptCount val="3"/>
                <c:pt idx="0">
                  <c:v>LSMGO</c:v>
                </c:pt>
                <c:pt idx="1">
                  <c:v>VLSFO</c:v>
                </c:pt>
                <c:pt idx="2">
                  <c:v>Total Geral</c:v>
                </c:pt>
              </c:strCache>
            </c:strRef>
          </c:cat>
          <c:val>
            <c:numRef>
              <c:f>Planilha2!$B$16:$D$16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2-457E-93AD-77AB2E0C8711}"/>
            </c:ext>
          </c:extLst>
        </c:ser>
        <c:ser>
          <c:idx val="1"/>
          <c:order val="1"/>
          <c:tx>
            <c:strRef>
              <c:f>Planilha2!$A$17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Planilha2!$B$15:$D$15</c:f>
              <c:strCache>
                <c:ptCount val="3"/>
                <c:pt idx="0">
                  <c:v>LSMGO</c:v>
                </c:pt>
                <c:pt idx="1">
                  <c:v>VLSFO</c:v>
                </c:pt>
                <c:pt idx="2">
                  <c:v>Total Geral</c:v>
                </c:pt>
              </c:strCache>
            </c:strRef>
          </c:cat>
          <c:val>
            <c:numRef>
              <c:f>Planilha2!$B$17:$D$17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2-457E-93AD-77AB2E0C8711}"/>
            </c:ext>
          </c:extLst>
        </c:ser>
        <c:ser>
          <c:idx val="2"/>
          <c:order val="2"/>
          <c:tx>
            <c:strRef>
              <c:f>Planilha2!$A$18</c:f>
              <c:strCache>
                <c:ptCount val="1"/>
                <c:pt idx="0">
                  <c:v>Total Geral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Planilha2!$B$15:$D$15</c:f>
              <c:strCache>
                <c:ptCount val="3"/>
                <c:pt idx="0">
                  <c:v>LSMGO</c:v>
                </c:pt>
                <c:pt idx="1">
                  <c:v>VLSFO</c:v>
                </c:pt>
                <c:pt idx="2">
                  <c:v>Total Geral</c:v>
                </c:pt>
              </c:strCache>
            </c:strRef>
          </c:cat>
          <c:val>
            <c:numRef>
              <c:f>Planilha2!$B$18:$D$18</c:f>
              <c:numCache>
                <c:formatCode>General</c:formatCode>
                <c:ptCount val="3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B2-457E-93AD-77AB2E0C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262864"/>
        <c:axId val="1016263824"/>
      </c:barChart>
      <c:catAx>
        <c:axId val="10162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6263824"/>
        <c:crosses val="autoZero"/>
        <c:auto val="1"/>
        <c:lblAlgn val="ctr"/>
        <c:lblOffset val="100"/>
        <c:noMultiLvlLbl val="0"/>
      </c:catAx>
      <c:valAx>
        <c:axId val="10162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6262864"/>
        <c:crosses val="autoZero"/>
        <c:crossBetween val="between"/>
        <c:majorUnit val="3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129541</xdr:colOff>
      <xdr:row>2</xdr:row>
      <xdr:rowOff>0</xdr:rowOff>
    </xdr:from>
    <xdr:to>
      <xdr:col>8</xdr:col>
      <xdr:colOff>556260</xdr:colOff>
      <xdr:row>20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576BE8-7C36-0B2F-48DA-740EC6EEE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21</xdr:row>
      <xdr:rowOff>54291</xdr:rowOff>
    </xdr:from>
    <xdr:to>
      <xdr:col>11</xdr:col>
      <xdr:colOff>142875</xdr:colOff>
      <xdr:row>36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767124-4841-FA40-FE65-CD17252C1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487682</xdr:colOff>
      <xdr:row>0</xdr:row>
      <xdr:rowOff>62865</xdr:rowOff>
    </xdr:from>
    <xdr:to>
      <xdr:col>8</xdr:col>
      <xdr:colOff>495300</xdr:colOff>
      <xdr:row>18</xdr:row>
      <xdr:rowOff>32385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97436871-7578-4CCB-4C82-A8E485E42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487679</xdr:colOff>
      <xdr:row>18</xdr:row>
      <xdr:rowOff>114300</xdr:rowOff>
    </xdr:from>
    <xdr:to>
      <xdr:col>8</xdr:col>
      <xdr:colOff>514349</xdr:colOff>
      <xdr:row>36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159BFD-1A58-4639-FD42-154292993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3</xdr:row>
      <xdr:rowOff>49530</xdr:rowOff>
    </xdr:from>
    <xdr:to>
      <xdr:col>15</xdr:col>
      <xdr:colOff>114300</xdr:colOff>
      <xdr:row>20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77D473-F47E-1740-0A6E-A8C3DEACA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3D5329F9-BE28-4BA2-A1D7-8DE8F0CE9CAC}">
    <nsvFilter filterId="{FF36FDF7-375C-43D6-9093-1CA55526EB78}" ref="A1:AW101" tableId="1"/>
  </namedSheetView>
  <namedSheetView name="Richard" id="{75C1E8EC-9F9E-400C-8454-1B2C1401627B}">
    <nsvFilter filterId="{FF36FDF7-375C-43D6-9093-1CA55526EB78}" ref="A1:AW101" tableId="1"/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Richard" id="{0658D8EA-9BFF-4029-AB97-FDA4232E5FFE}">
    <nsvFilter filterId="{170A08BC-2006-4C76-8BA7-E73D969E1FA2}" ref="A1:AX41" tableId="2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Ana Paula Cavalcante da Silva" id="{93B15D6D-6C3E-43EE-8812-A0CD19086372}" userId="S::ana.cavalcante@ream.com.br::e59ccf3d-4ca2-412a-8b70-ad5d54eccf67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Paula Cavalcante da Silva" refreshedDate="45797.641136342594" createdVersion="8" refreshedVersion="8" minRefreshableVersion="3" recordCount="11" xr:uid="{AE4C0409-9E6F-4261-A2BA-6606FDCD9D72}">
  <cacheSource type="worksheet">
    <worksheetSource ref="B1:AX1048576" sheet="Bunker - PA"/>
  </cacheSource>
  <cacheFields count="46">
    <cacheField name="Analista" numFmtId="0">
      <sharedItems containsBlank="1"/>
    </cacheField>
    <cacheField name="EXPORTADOR" numFmtId="0">
      <sharedItems containsBlank="1"/>
    </cacheField>
    <cacheField name="PROCESSO" numFmtId="0">
      <sharedItems containsBlank="1"/>
    </cacheField>
    <cacheField name="PRODUTO" numFmtId="0">
      <sharedItems containsBlank="1" count="4">
        <s v="LSMGO"/>
        <s v="VLSFO"/>
        <s v="MGO"/>
        <m/>
      </sharedItems>
    </cacheField>
    <cacheField name="TIPO DE NAVEGAÇÃO" numFmtId="0">
      <sharedItems containsBlank="1" count="2">
        <s v="LONGO CURSO"/>
        <m/>
      </sharedItems>
    </cacheField>
    <cacheField name="Local de Abastecimento" numFmtId="0">
      <sharedItems containsBlank="1"/>
    </cacheField>
    <cacheField name="BALSA" numFmtId="0">
      <sharedItems containsBlank="1"/>
    </cacheField>
    <cacheField name="CONDUTOR" numFmtId="0">
      <sharedItems containsBlank="1"/>
    </cacheField>
    <cacheField name="CLIENT" numFmtId="0">
      <sharedItems containsBlank="1"/>
    </cacheField>
    <cacheField name="Escala" numFmtId="0">
      <sharedItems containsBlank="1" containsMixedTypes="1" containsNumber="1" containsInteger="1" minValue="25000127472" maxValue="25000207450"/>
    </cacheField>
    <cacheField name="IMO" numFmtId="0">
      <sharedItems containsBlank="1" containsMixedTypes="1" containsNumber="1" containsInteger="1" minValue="7104972" maxValue="9876048"/>
    </cacheField>
    <cacheField name="VESSEL NAME" numFmtId="0">
      <sharedItems containsBlank="1"/>
    </cacheField>
    <cacheField name="AGENT" numFmtId="0">
      <sharedItems containsBlank="1"/>
    </cacheField>
    <cacheField name="BROKER" numFmtId="0">
      <sharedItems containsBlank="1"/>
    </cacheField>
    <cacheField name="NFL N°" numFmtId="0">
      <sharedItems containsBlank="1"/>
    </cacheField>
    <cacheField name="DATA NFL " numFmtId="0">
      <sharedItems containsBlank="1"/>
    </cacheField>
    <cacheField name="PERMISSÃO" numFmtId="0">
      <sharedItems containsBlank="1"/>
    </cacheField>
    <cacheField name="DATA " numFmtId="0">
      <sharedItems containsNonDate="0" containsDate="1" containsString="0" containsBlank="1" minDate="2025-04-04T00:00:00" maxDate="2025-05-13T00:00:00"/>
    </cacheField>
    <cacheField name="VOLUME NO STEM" numFmtId="0">
      <sharedItems containsString="0" containsBlank="1" containsNumber="1" containsInteger="1" minValue="50" maxValue="550"/>
    </cacheField>
    <cacheField name="UNIDADE" numFmtId="0">
      <sharedItems containsBlank="1"/>
    </cacheField>
    <cacheField name="VOLUME CARREGADO" numFmtId="0">
      <sharedItems containsString="0" containsBlank="1" containsNumber="1" minValue="50.006" maxValue="500.267"/>
    </cacheField>
    <cacheField name="Diferença Volume" numFmtId="0">
      <sharedItems containsString="0" containsBlank="1" containsNumber="1" minValue="-0.19700000000000273" maxValue="99.966999999999985"/>
    </cacheField>
    <cacheField name="CARREGAMENTO" numFmtId="0">
      <sharedItems containsNonDate="0" containsDate="1" containsString="0" containsBlank="1" minDate="2025-04-06T00:00:00" maxDate="2025-05-14T00:00:00"/>
    </cacheField>
    <cacheField name="Mês/Carregamento" numFmtId="0">
      <sharedItems containsBlank="1" count="3">
        <s v="ABR"/>
        <s v="MAI"/>
        <m/>
      </sharedItems>
    </cacheField>
    <cacheField name="Prazo emissão DU-E" numFmtId="0">
      <sharedItems containsNonDate="0" containsDate="1" containsString="0" containsBlank="1" minDate="2025-04-20T00:00:00" maxDate="2025-05-28T00:00:00"/>
    </cacheField>
    <cacheField name="BDN N°" numFmtId="0">
      <sharedItems containsBlank="1" containsMixedTypes="1" containsNumber="1" containsInteger="1" minValue="282" maxValue="319"/>
    </cacheField>
    <cacheField name="Entrega do fisico (AFB e BDN)" numFmtId="0">
      <sharedItems containsBlank="1"/>
    </cacheField>
    <cacheField name="NF DEV N°" numFmtId="0">
      <sharedItems containsBlank="1"/>
    </cacheField>
    <cacheField name="DATA NF DEV N°" numFmtId="0">
      <sharedItems containsBlank="1"/>
    </cacheField>
    <cacheField name="NF EXP N°" numFmtId="0">
      <sharedItems containsBlank="1" containsMixedTypes="1" containsNumber="1" containsInteger="1" minValue="11" maxValue="45672"/>
    </cacheField>
    <cacheField name="DATA NF EXP" numFmtId="0">
      <sharedItems containsNonDate="0" containsDate="1" containsString="0" containsBlank="1" minDate="2025-02-07T00:00:00" maxDate="2025-05-03T00:00:00"/>
    </cacheField>
    <cacheField name="DUE N°" numFmtId="0">
      <sharedItems containsBlank="1"/>
    </cacheField>
    <cacheField name="CHAVE DA DU-E" numFmtId="0">
      <sharedItems containsBlank="1"/>
    </cacheField>
    <cacheField name="DATA" numFmtId="0">
      <sharedItems containsDate="1" containsString="0" containsBlank="1" containsMixedTypes="1" minDate="2025-04-28T00:00:00" maxDate="1900-01-03T22:51:04"/>
    </cacheField>
    <cacheField name="DESEMBARAÇO" numFmtId="0">
      <sharedItems containsDate="1" containsString="0" containsBlank="1" containsMixedTypes="1" minDate="2025-04-30T00:00:00" maxDate="1900-01-03T22:51:04"/>
    </cacheField>
    <cacheField name="AVERBAÇÃO" numFmtId="0">
      <sharedItems containsDate="1" containsString="0" containsBlank="1" containsMixedTypes="1" minDate="2025-04-30T00:00:00" maxDate="1900-01-03T22:51:04"/>
    </cacheField>
    <cacheField name="INVOICE Nº" numFmtId="0">
      <sharedItems containsBlank="1"/>
    </cacheField>
    <cacheField name="DATA DA INVOICE" numFmtId="0">
      <sharedItems containsNonDate="0" containsDate="1" containsString="0" containsBlank="1" minDate="1899-12-30T00:00:00" maxDate="2025-05-03T00:00:00"/>
    </cacheField>
    <cacheField name="PREÇO" numFmtId="0">
      <sharedItems containsString="0" containsBlank="1" containsNumber="1" minValue="562.38" maxValue="865"/>
    </cacheField>
    <cacheField name="VALOR TOTAL  USD" numFmtId="0">
      <sharedItems containsString="0" containsBlank="1" containsNumber="1" minValue="40004.800000000003" maxValue="285272.25407999998"/>
    </cacheField>
    <cacheField name="TAXA" numFmtId="0">
      <sharedItems containsString="0" containsBlank="1" containsNumber="1" minValue="5.6460999999999997" maxValue="5.8552999999999997"/>
    </cacheField>
    <cacheField name="VALOR TOTAL REAL" numFmtId="0">
      <sharedItems containsString="0" containsBlank="1" containsNumber="1" minValue="0" maxValue="957811.18764240004"/>
    </cacheField>
    <cacheField name="Previsto" numFmtId="0">
      <sharedItems containsString="0" containsBlank="1" containsNumber="1" containsInteger="1" minValue="14" maxValue="14"/>
    </cacheField>
    <cacheField name="Realizado" numFmtId="0">
      <sharedItems containsString="0" containsBlank="1" containsNumber="1" containsInteger="1" minValue="-45790" maxValue="22"/>
    </cacheField>
    <cacheField name="Resultado" numFmtId="0">
      <sharedItems containsString="0" containsBlank="1" containsNumber="1" containsInteger="1" minValue="-45804" maxValue="8"/>
    </cacheField>
    <cacheField name="Resultado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ton Miguel do Vale" refreshedDate="45883.353697453706" createdVersion="8" refreshedVersion="8" minRefreshableVersion="3" recordCount="76" xr:uid="{396A3401-0E96-46B1-9DA2-907753DBD494}">
  <cacheSource type="worksheet">
    <worksheetSource ref="B1:AV1048576" sheet="Bunker - AM"/>
  </cacheSource>
  <cacheFields count="45">
    <cacheField name="Analista" numFmtId="0">
      <sharedItems containsBlank="1"/>
    </cacheField>
    <cacheField name="PROCESSO" numFmtId="0">
      <sharedItems containsString="0" containsBlank="1" containsNumber="1" containsInteger="1" minValue="20240107" maxValue="20250070"/>
    </cacheField>
    <cacheField name="PRODUTO" numFmtId="0">
      <sharedItems containsBlank="1" count="3">
        <s v="LSMGO"/>
        <s v="VLSFO"/>
        <m/>
      </sharedItems>
    </cacheField>
    <cacheField name="TIPO DE NAVEGAÇÃO" numFmtId="0">
      <sharedItems containsBlank="1" count="3">
        <s v="CABOTAGEM"/>
        <s v="LONGO CURSO"/>
        <m/>
      </sharedItems>
    </cacheField>
    <cacheField name="IMO" numFmtId="0">
      <sharedItems containsBlank="1" containsMixedTypes="1" containsNumber="1" containsInteger="1" minValue="7801738" maxValue="11481889"/>
    </cacheField>
    <cacheField name="VESSEL " numFmtId="0">
      <sharedItems containsBlank="1"/>
    </cacheField>
    <cacheField name="Local de Abastecimento" numFmtId="0">
      <sharedItems containsBlank="1"/>
    </cacheField>
    <cacheField name="CLIENT" numFmtId="0">
      <sharedItems containsBlank="1"/>
    </cacheField>
    <cacheField name="Escala" numFmtId="0">
      <sharedItems containsString="0" containsBlank="1" containsNumber="1" containsInteger="1" minValue="24000482290" maxValue="25000371187"/>
    </cacheField>
    <cacheField name="TIPO DE EMBARCAÇÃO2" numFmtId="0">
      <sharedItems containsBlank="1"/>
    </cacheField>
    <cacheField name="AGENT" numFmtId="0">
      <sharedItems containsBlank="1"/>
    </cacheField>
    <cacheField name="DESPACHANTE" numFmtId="0">
      <sharedItems containsBlank="1"/>
    </cacheField>
    <cacheField name="NFL AFB N°" numFmtId="0">
      <sharedItems containsBlank="1"/>
    </cacheField>
    <cacheField name="DATA NFL " numFmtId="0">
      <sharedItems containsNonDate="0" containsDate="1" containsString="0" containsBlank="1" minDate="2025-01-03T00:00:00" maxDate="2025-08-02T00:00:00"/>
    </cacheField>
    <cacheField name="AFB N°" numFmtId="0">
      <sharedItems containsBlank="1"/>
    </cacheField>
    <cacheField name="DATA AFB" numFmtId="0">
      <sharedItems containsNonDate="0" containsDate="1" containsString="0" containsBlank="1" minDate="2024-12-19T00:00:00" maxDate="2025-08-05T00:00:00"/>
    </cacheField>
    <cacheField name="VOLUME NO STEM" numFmtId="0">
      <sharedItems containsString="0" containsBlank="1" containsNumber="1" minValue="20" maxValue="1050"/>
    </cacheField>
    <cacheField name="VOL NF" numFmtId="0">
      <sharedItems containsString="0" containsBlank="1" containsNumber="1" minValue="30" maxValue="1100"/>
    </cacheField>
    <cacheField name="UNIDADE" numFmtId="0">
      <sharedItems containsBlank="1"/>
    </cacheField>
    <cacheField name="VOLUME CARREGADO" numFmtId="0">
      <sharedItems containsString="0" containsBlank="1" containsNumber="1" minValue="8.5410000000000004" maxValue="1002.937"/>
    </cacheField>
    <cacheField name="Diferença Volume" numFmtId="0">
      <sharedItems containsString="0" containsBlank="1" containsNumber="1" minValue="-9.6000000000000014" maxValue="500"/>
    </cacheField>
    <cacheField name="CARREGAMENTO" numFmtId="0">
      <sharedItems containsNonDate="0" containsDate="1" containsString="0" containsBlank="1" minDate="2024-12-19T00:00:00" maxDate="2025-08-05T00:00:00"/>
    </cacheField>
    <cacheField name="Mês/Carregamento" numFmtId="0">
      <sharedItems containsBlank="1" count="11">
        <s v="DEZ"/>
        <s v="JAN"/>
        <s v="FEV"/>
        <s v=""/>
        <s v="MAR"/>
        <s v="ABR"/>
        <s v="MAI"/>
        <s v="JUN"/>
        <s v="JUL"/>
        <s v="AGO"/>
        <m/>
      </sharedItems>
    </cacheField>
    <cacheField name="Prazo emissão DU-E" numFmtId="0">
      <sharedItems containsNonDate="0" containsDate="1" containsString="0" containsBlank="1" minDate="1900-01-13T00:00:00" maxDate="2025-08-19T00:00:00"/>
    </cacheField>
    <cacheField name="BDN N°" numFmtId="0">
      <sharedItems containsString="0" containsBlank="1" containsNumber="1" containsInteger="1" minValue="126" maxValue="198"/>
    </cacheField>
    <cacheField name="Entrega do fisico (AFB e BDN)" numFmtId="0">
      <sharedItems containsNonDate="0" containsDate="1" containsString="0" containsBlank="1" minDate="2025-01-16T00:00:00" maxDate="2025-05-27T00:00:00"/>
    </cacheField>
    <cacheField name="NF DEV N°" numFmtId="0">
      <sharedItems containsBlank="1"/>
    </cacheField>
    <cacheField name="DATA NF DEV N°" numFmtId="0">
      <sharedItems containsDate="1" containsBlank="1" containsMixedTypes="1" minDate="2025-01-09T00:00:00" maxDate="2025-07-15T00:00:00"/>
    </cacheField>
    <cacheField name="NF EXP N°" numFmtId="0">
      <sharedItems containsBlank="1"/>
    </cacheField>
    <cacheField name="DATA NF EXP" numFmtId="0">
      <sharedItems containsDate="1" containsBlank="1" containsMixedTypes="1" minDate="2025-01-10T00:00:00" maxDate="2025-07-10T00:00:00"/>
    </cacheField>
    <cacheField name="DUE N°" numFmtId="0">
      <sharedItems containsBlank="1"/>
    </cacheField>
    <cacheField name="Chave DU-E" numFmtId="0">
      <sharedItems containsBlank="1"/>
    </cacheField>
    <cacheField name="DATA" numFmtId="0">
      <sharedItems containsDate="1" containsBlank="1" containsMixedTypes="1" minDate="2025-01-23T00:00:00" maxDate="2025-07-18T00:00:00"/>
    </cacheField>
    <cacheField name="DESEMBARAÇO" numFmtId="0">
      <sharedItems containsDate="1" containsBlank="1" containsMixedTypes="1" minDate="2025-01-23T00:00:00" maxDate="2025-07-18T00:00:00"/>
    </cacheField>
    <cacheField name="AVERBAÇÃO" numFmtId="0">
      <sharedItems containsDate="1" containsBlank="1" containsMixedTypes="1" minDate="2025-01-23T00:00:00" maxDate="2025-07-18T00:00:00"/>
    </cacheField>
    <cacheField name="INVOICE Nº" numFmtId="0">
      <sharedItems containsString="0" containsBlank="1" containsNumber="1" containsInteger="1" minValue="20240107" maxValue="20250070"/>
    </cacheField>
    <cacheField name="DATA DA INVOICE" numFmtId="0">
      <sharedItems containsDate="1" containsBlank="1" containsMixedTypes="1" minDate="1899-12-30T00:00:00" maxDate="2025-07-10T00:00:00"/>
    </cacheField>
    <cacheField name="PREÇO" numFmtId="0">
      <sharedItems containsBlank="1" containsMixedTypes="1" containsNumber="1" minValue="525" maxValue="6150"/>
    </cacheField>
    <cacheField name="VALOR TOTAL  USD" numFmtId="0">
      <sharedItems containsBlank="1" containsMixedTypes="1" containsNumber="1" minValue="0" maxValue="590280.04"/>
    </cacheField>
    <cacheField name="TAXA" numFmtId="0">
      <sharedItems containsBlank="1" containsMixedTypes="1" containsNumber="1" minValue="0" maxValue="6.1315"/>
    </cacheField>
    <cacheField name="VALOR TOTAL REAL" numFmtId="0">
      <sharedItems containsBlank="1" containsMixedTypes="1" containsNumber="1" minValue="0" maxValue="3448164.0010167998"/>
    </cacheField>
    <cacheField name="Previsto" numFmtId="0">
      <sharedItems containsString="0" containsBlank="1" containsNumber="1" containsInteger="1" minValue="14" maxValue="14"/>
    </cacheField>
    <cacheField name="Realizado" numFmtId="0">
      <sharedItems containsBlank="1" containsMixedTypes="1" containsNumber="1" containsInteger="1" minValue="-45873" maxValue="16"/>
    </cacheField>
    <cacheField name="Resultado" numFmtId="0">
      <sharedItems containsBlank="1" containsMixedTypes="1" containsNumber="1" containsInteger="1" minValue="-45875" maxValue="2"/>
    </cacheField>
    <cacheField name="Resultado2" numFmtId="0">
      <sharedItems containsBlank="1" count="4">
        <e v="#VALUE!"/>
        <s v="Atendido"/>
        <s v="Não atendid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ton Miguel do Vale" refreshedDate="45915.384224652778" createdVersion="8" refreshedVersion="8" minRefreshableVersion="3" recordCount="28" xr:uid="{0000902C-5797-4B71-A215-61E24FB41799}">
  <cacheSource type="worksheet">
    <worksheetSource ref="B1:AC1048576" sheet="Bunker - PA"/>
  </cacheSource>
  <cacheFields count="26">
    <cacheField name="Analista" numFmtId="0">
      <sharedItems containsBlank="1"/>
    </cacheField>
    <cacheField name="EXPORTADOR" numFmtId="0">
      <sharedItems containsBlank="1"/>
    </cacheField>
    <cacheField name="PROCESSO" numFmtId="0">
      <sharedItems containsBlank="1"/>
    </cacheField>
    <cacheField name="PRODUTO" numFmtId="0">
      <sharedItems containsBlank="1" count="4">
        <s v="LSMGO"/>
        <s v="VLSFO"/>
        <s v="MGO"/>
        <m/>
      </sharedItems>
    </cacheField>
    <cacheField name="TIPO DE NAVEGAÇÃO" numFmtId="0">
      <sharedItems containsBlank="1"/>
    </cacheField>
    <cacheField name="Local de Abastecimento" numFmtId="0">
      <sharedItems containsBlank="1"/>
    </cacheField>
    <cacheField name="BALSA" numFmtId="0">
      <sharedItems containsBlank="1"/>
    </cacheField>
    <cacheField name="CONDUTOR" numFmtId="0">
      <sharedItems containsBlank="1"/>
    </cacheField>
    <cacheField name="CLIENT" numFmtId="0">
      <sharedItems containsBlank="1"/>
    </cacheField>
    <cacheField name="Escala" numFmtId="0">
      <sharedItems containsBlank="1" containsMixedTypes="1" containsNumber="1" containsInteger="1" minValue="25000127472" maxValue="25000443080"/>
    </cacheField>
    <cacheField name="IMO" numFmtId="0">
      <sharedItems containsBlank="1" containsMixedTypes="1" containsNumber="1" containsInteger="1" minValue="1015313" maxValue="9959307"/>
    </cacheField>
    <cacheField name="VESSEL NAME" numFmtId="0">
      <sharedItems containsBlank="1" containsMixedTypes="1" containsNumber="1" containsInteger="1" minValue="0" maxValue="0"/>
    </cacheField>
    <cacheField name="AGENT" numFmtId="0">
      <sharedItems containsBlank="1"/>
    </cacheField>
    <cacheField name="DESPACHANTE" numFmtId="0">
      <sharedItems containsBlank="1"/>
    </cacheField>
    <cacheField name="VALOR" numFmtId="169">
      <sharedItems containsString="0" containsBlank="1" containsNumber="1" minValue="2000" maxValue="4250.3999999999996"/>
    </cacheField>
    <cacheField name="NFL N°" numFmtId="0">
      <sharedItems containsBlank="1"/>
    </cacheField>
    <cacheField name="DATA NFL " numFmtId="0">
      <sharedItems containsBlank="1"/>
    </cacheField>
    <cacheField name="PERMISSÃO" numFmtId="0">
      <sharedItems containsBlank="1"/>
    </cacheField>
    <cacheField name="DATA AFB" numFmtId="0">
      <sharedItems containsNonDate="0" containsDate="1" containsString="0" containsBlank="1" minDate="2025-04-04T00:00:00" maxDate="2025-09-11T00:00:00"/>
    </cacheField>
    <cacheField name="VOLUME NO STEM" numFmtId="0">
      <sharedItems containsString="0" containsBlank="1" containsNumber="1" containsInteger="1" minValue="40" maxValue="700"/>
    </cacheField>
    <cacheField name="UNIDADE" numFmtId="0">
      <sharedItems containsBlank="1"/>
    </cacheField>
    <cacheField name="VOLUME CARREGADO" numFmtId="0">
      <sharedItems containsString="0" containsBlank="1" containsNumber="1" minValue="49.805999999999997" maxValue="550.66700000000003"/>
    </cacheField>
    <cacheField name="Diferença Volume" numFmtId="0">
      <sharedItems containsString="0" containsBlank="1" containsNumber="1" minValue="-15.055000000000007" maxValue="700"/>
    </cacheField>
    <cacheField name="CARREGAMENTO" numFmtId="0">
      <sharedItems containsNonDate="0" containsDate="1" containsString="0" containsBlank="1" minDate="2025-04-06T00:00:00" maxDate="2025-09-14T00:00:00"/>
    </cacheField>
    <cacheField name="Mês/Carregamento" numFmtId="0">
      <sharedItems containsBlank="1" count="8">
        <s v="ABR"/>
        <s v="MAI"/>
        <s v=""/>
        <s v="JUN"/>
        <s v="JUL"/>
        <s v="AGO"/>
        <s v="SET"/>
        <m/>
      </sharedItems>
    </cacheField>
    <cacheField name="Prazo emissão DU-E" numFmtId="0">
      <sharedItems containsNonDate="0" containsDate="1" containsString="0" containsBlank="1" minDate="1900-01-13T00:00:00" maxDate="2025-09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ANA"/>
    <s v="REAM"/>
    <s v="PA20250001"/>
    <x v="0"/>
    <x v="0"/>
    <s v="PORTO VILA DO CONDE"/>
    <s v="PARÁ 2014"/>
    <s v="JORGE FELIPE"/>
    <s v="OILMAR DMCC"/>
    <n v="25000127472"/>
    <n v="9004413"/>
    <s v="W M F EXPRESS"/>
    <s v="HABIBS"/>
    <s v="KRUEGER"/>
    <s v="-"/>
    <s v="-"/>
    <s v="001/2025"/>
    <d v="2025-04-04T00:00:00"/>
    <n v="50"/>
    <s v="TON"/>
    <n v="50.197000000000003"/>
    <n v="-0.19700000000000273"/>
    <d v="2025-04-06T00:00:00"/>
    <x v="0"/>
    <d v="2025-04-20T00:00:00"/>
    <s v="265"/>
    <s v="N/A"/>
    <s v="N/A"/>
    <s v="N/A"/>
    <n v="13"/>
    <d v="2025-04-24T00:00:00"/>
    <s v="25BR000750199-2"/>
    <s v="25TSR142072597"/>
    <d v="2025-04-28T00:00:00"/>
    <d v="2025-04-30T00:00:00"/>
    <d v="2025-04-30T00:00:00"/>
    <s v="PA20250001"/>
    <d v="2025-04-24T00:00:00"/>
    <n v="865"/>
    <n v="43420.404999999999"/>
    <n v="5.6874000000000002"/>
    <n v="246949.21139700001"/>
    <n v="14"/>
    <n v="22"/>
    <n v="8"/>
    <s v="Não atendido"/>
  </r>
  <r>
    <s v="ELTON"/>
    <s v="REAM"/>
    <s v="PA20250002"/>
    <x v="0"/>
    <x v="0"/>
    <s v="PORTO VILA DO CONDE"/>
    <s v="AMAPÁ 2014"/>
    <s v="BRÁS PAULA DA SILVA"/>
    <s v="OILMAR DMCC"/>
    <n v="25000157797"/>
    <n v="7104972"/>
    <s v="MV FREEDOM"/>
    <s v="HABIBS"/>
    <s v="KRUEGER"/>
    <s v="-"/>
    <s v="-"/>
    <s v="002/2025"/>
    <d v="2025-04-15T00:00:00"/>
    <n v="100"/>
    <s v="TON"/>
    <n v="70.010000000000005"/>
    <n v="29.989999999999995"/>
    <d v="2025-04-21T00:00:00"/>
    <x v="0"/>
    <d v="2025-05-05T00:00:00"/>
    <n v="283"/>
    <s v="N/A"/>
    <s v="NA"/>
    <s v="NA"/>
    <n v="14"/>
    <d v="2025-04-25T00:00:00"/>
    <s v="25BR000779105-2"/>
    <s v="25IHL142361653"/>
    <d v="2025-05-02T00:00:00"/>
    <d v="2025-05-02T00:00:00"/>
    <d v="2025-05-02T00:00:00"/>
    <s v="PA20250002"/>
    <d v="2025-04-25T00:00:00"/>
    <n v="766"/>
    <n v="53627.66"/>
    <n v="5.6731999999999996"/>
    <n v="304240.44071200001"/>
    <n v="14"/>
    <n v="11"/>
    <n v="-3"/>
    <s v="Atendido"/>
  </r>
  <r>
    <s v="ELTON"/>
    <s v="REAM"/>
    <s v="PA20250003"/>
    <x v="0"/>
    <x v="0"/>
    <s v="PORTO VILA DO CONDE"/>
    <s v="AMAPÁ 2014"/>
    <s v="BRÁS PAULA DA SILVA"/>
    <s v="OILMAR DMCC"/>
    <n v="25000177712"/>
    <n v="9737888"/>
    <s v="UBC TACOMA"/>
    <s v="WILLIAMS SERVIÇOS"/>
    <s v="KRUEGER"/>
    <s v="-"/>
    <s v="-"/>
    <s v="003/2025"/>
    <d v="2025-04-15T00:00:00"/>
    <n v="100"/>
    <s v="TON"/>
    <n v="80.009"/>
    <n v="19.991"/>
    <d v="2025-04-24T00:00:00"/>
    <x v="0"/>
    <d v="2025-05-08T00:00:00"/>
    <n v="287"/>
    <s v="NA"/>
    <s v="NA"/>
    <s v="NA"/>
    <s v="17-1"/>
    <d v="2025-02-07T00:00:00"/>
    <s v="25BR000826395-5"/>
    <s v="25DIP142834551"/>
    <d v="2025-05-08T00:00:00"/>
    <d v="2025-05-09T00:00:00"/>
    <d v="2025-05-09T00:00:00"/>
    <s v="PA20250003"/>
    <d v="2025-02-07T00:00:00"/>
    <n v="770"/>
    <n v="61606.93"/>
    <n v="5.7203999999999997"/>
    <n v="352416.28237199999"/>
    <n v="14"/>
    <n v="14"/>
    <n v="0"/>
    <s v="Atendido"/>
  </r>
  <r>
    <s v="ELTON"/>
    <s v="REAM"/>
    <s v="PA20250004"/>
    <x v="1"/>
    <x v="0"/>
    <s v="PORTO VILA DO CONDE"/>
    <s v="AMAPÁ 2014"/>
    <s v="BRÁS PAULA DA SILVA"/>
    <s v="COMPANHIA DE NAVEGAÇÃO NORSUL"/>
    <n v="25000153775"/>
    <n v="9620310"/>
    <s v="WHITE WHALE"/>
    <s v="SERVEPORTO AGENCIA"/>
    <s v="KRUEGER"/>
    <s v="-"/>
    <s v="-"/>
    <s v="004/2025"/>
    <d v="2025-04-17T00:00:00"/>
    <n v="250"/>
    <s v="TON"/>
    <n v="250.08500000000001"/>
    <n v="-8.5000000000007958E-2"/>
    <d v="2025-04-21T00:00:00"/>
    <x v="0"/>
    <d v="2025-05-05T00:00:00"/>
    <n v="282"/>
    <s v="NA"/>
    <s v="NA"/>
    <s v="NA"/>
    <n v="11"/>
    <d v="2025-04-22T00:00:00"/>
    <s v="25BR000750039-2"/>
    <s v="25BZX142070993"/>
    <n v="45775"/>
    <n v="45783"/>
    <n v="45783"/>
    <s v="PA20250004"/>
    <d v="2025-04-22T00:00:00"/>
    <n v="562.38"/>
    <n v="140642.80230000001"/>
    <n v="5.8552999999999997"/>
    <n v="823505.80030719005"/>
    <n v="14"/>
    <n v="7"/>
    <n v="-7"/>
    <s v="Atendido"/>
  </r>
  <r>
    <s v="ELTON"/>
    <s v="REAM"/>
    <s v="PA20250005"/>
    <x v="0"/>
    <x v="0"/>
    <s v="PORTO VILA DO CONDE"/>
    <s v="AMAPÁ 2014"/>
    <s v="BRÁS PAULA DA SILVA"/>
    <s v="OILMAR DMCC"/>
    <n v="25000172524"/>
    <n v="7310507"/>
    <s v="MV FIDELITY"/>
    <s v="HABIBS"/>
    <s v="KRUEGER"/>
    <s v="-"/>
    <s v="-"/>
    <s v="005/2025"/>
    <d v="2025-04-17T00:00:00"/>
    <n v="50"/>
    <s v="TON"/>
    <n v="50.006"/>
    <n v="-6.0000000000002274E-3"/>
    <d v="2025-04-26T00:00:00"/>
    <x v="0"/>
    <d v="2025-05-10T00:00:00"/>
    <n v="292"/>
    <s v="NA"/>
    <s v="NA"/>
    <s v="NA"/>
    <n v="45672"/>
    <d v="2025-04-30T00:00:00"/>
    <s v="25BR000800168-3"/>
    <s v="25QQH142572280"/>
    <n v="45782"/>
    <n v="45782"/>
    <n v="45782"/>
    <s v="PA20250005"/>
    <d v="2025-04-30T00:00:00"/>
    <n v="800"/>
    <n v="40004.800000000003"/>
    <n v="5.6460999999999997"/>
    <n v="225871.10128"/>
    <n v="14"/>
    <n v="9"/>
    <n v="-5"/>
    <s v="Atendido"/>
  </r>
  <r>
    <s v="ELTON"/>
    <s v="REAM"/>
    <s v="PA20250006"/>
    <x v="1"/>
    <x v="0"/>
    <s v="PORTO VILA DO CONDE"/>
    <s v="AMAPÁ 2014"/>
    <s v="BRÁS PAULA DA SILVA"/>
    <s v="MINERVA BUNKERING PTE LIMITED"/>
    <s v="25000187815 "/>
    <n v="9416458"/>
    <s v="Devbulk Sinem"/>
    <s v="LBH BRASIL AGENCIAMENTO"/>
    <s v="KRUEGER"/>
    <s v="-"/>
    <s v="-"/>
    <s v="006/2025"/>
    <d v="2025-04-29T00:00:00"/>
    <n v="400"/>
    <s v="TON"/>
    <n v="300.03300000000002"/>
    <n v="99.966999999999985"/>
    <d v="2025-05-01T00:00:00"/>
    <x v="1"/>
    <d v="2025-05-15T00:00:00"/>
    <n v="297"/>
    <s v="NA"/>
    <s v="NA"/>
    <s v="NA"/>
    <s v="16-01"/>
    <d v="2025-05-02T00:00:00"/>
    <s v="25BR000817138-4"/>
    <s v="25OVV142741987"/>
    <n v="45784"/>
    <n v="45785"/>
    <n v="45785"/>
    <s v="PA20250006"/>
    <d v="2025-05-02T00:00:00"/>
    <n v="564"/>
    <n v="169218.61200000002"/>
    <n v="5.6601999999999997"/>
    <n v="957811.18764240004"/>
    <n v="14"/>
    <n v="6"/>
    <n v="-8"/>
    <s v="Atendido"/>
  </r>
  <r>
    <s v="ELTON"/>
    <s v="REAM"/>
    <s v="PA20250007"/>
    <x v="1"/>
    <x v="0"/>
    <s v="PORTO VILA DO CONDE"/>
    <s v="AMAPÁ 2014"/>
    <s v="BRÁS PAULA DA SILVA"/>
    <s v="INTEGR8 FUELS PTE. LTD"/>
    <n v="25000194420"/>
    <n v="9876048"/>
    <s v="MAGELLAN II"/>
    <s v="AGENCIA MARITIMA CARGONAVE LTDA"/>
    <s v="KRUEGER"/>
    <s v="-"/>
    <s v="-"/>
    <s v="007/2025"/>
    <d v="2025-05-05T00:00:00"/>
    <n v="450"/>
    <s v="TON"/>
    <n v="400.08199999999999"/>
    <n v="49.918000000000006"/>
    <d v="2025-05-05T00:00:00"/>
    <x v="1"/>
    <d v="2025-05-19T00:00:00"/>
    <n v="303"/>
    <s v="NA"/>
    <s v="NA"/>
    <s v="NA"/>
    <m/>
    <m/>
    <m/>
    <m/>
    <m/>
    <m/>
    <m/>
    <s v="PA20250007"/>
    <d v="1899-12-30T00:00:00"/>
    <n v="563.66999999999996"/>
    <n v="225514.22093999997"/>
    <m/>
    <n v="0"/>
    <n v="14"/>
    <n v="-45782"/>
    <n v="-45796"/>
    <s v="Atendido"/>
  </r>
  <r>
    <s v="ANA"/>
    <s v="ATEM"/>
    <s v="PA20250008"/>
    <x v="1"/>
    <x v="0"/>
    <s v="PORTO ATEM"/>
    <s v="AMAPÁ 2014"/>
    <s v="BRÁS PAULA DA SILVA"/>
    <s v="SONAN BUNKERS UK LIMITED"/>
    <n v="25000180489"/>
    <s v="9293959   "/>
    <s v="FOTUO"/>
    <s v="UNIMAR "/>
    <s v="KRUEGER"/>
    <s v="-"/>
    <s v="-"/>
    <s v="001/2025"/>
    <d v="2025-05-07T00:00:00"/>
    <n v="550"/>
    <s v="TON"/>
    <n v="500.267"/>
    <n v="49.733000000000004"/>
    <d v="2025-05-08T00:00:00"/>
    <x v="1"/>
    <d v="2025-05-22T00:00:00"/>
    <n v="308"/>
    <s v="NA"/>
    <s v="NA"/>
    <s v="NA"/>
    <m/>
    <m/>
    <m/>
    <m/>
    <m/>
    <m/>
    <m/>
    <s v="PA20250008"/>
    <d v="1899-12-30T00:00:00"/>
    <n v="570.24"/>
    <n v="285272.25407999998"/>
    <m/>
    <n v="0"/>
    <n v="14"/>
    <n v="-45785"/>
    <n v="-45799"/>
    <s v="Atendido"/>
  </r>
  <r>
    <s v="ANA"/>
    <s v="REAM"/>
    <s v="PA20250009"/>
    <x v="0"/>
    <x v="0"/>
    <s v="FUNDEIO VDC"/>
    <s v="AMAPÁ 2014"/>
    <s v="BRÁS PAULA DA SILVA"/>
    <s v="OILMAR DMCC"/>
    <n v="25000174411"/>
    <n v="8917742"/>
    <s v="MV OMEGA STAR"/>
    <s v="HABIBS"/>
    <s v="KRUEGER"/>
    <s v="-"/>
    <s v="-"/>
    <s v="008/2025"/>
    <d v="2025-05-08T00:00:00"/>
    <n v="100"/>
    <s v="TON"/>
    <n v="75.031999999999996"/>
    <n v="24.968000000000004"/>
    <d v="2025-05-11T00:00:00"/>
    <x v="1"/>
    <d v="2025-05-25T00:00:00"/>
    <n v="318"/>
    <s v="NA"/>
    <s v="NA"/>
    <s v="NA"/>
    <m/>
    <m/>
    <m/>
    <m/>
    <m/>
    <m/>
    <m/>
    <s v="PA20250009"/>
    <d v="1899-12-30T00:00:00"/>
    <n v="776.5"/>
    <n v="58262.347999999998"/>
    <m/>
    <n v="0"/>
    <n v="14"/>
    <n v="-45788"/>
    <n v="-45802"/>
    <s v="Atendido"/>
  </r>
  <r>
    <s v="ANA"/>
    <s v="REAM"/>
    <s v="PA20250010"/>
    <x v="2"/>
    <x v="0"/>
    <s v="FUNDEIO VDC"/>
    <s v="AMAPÁ 2014"/>
    <s v="BRÁS PAULA DA SILVA"/>
    <s v="INTEGR8 FUELS PTE. LTD"/>
    <n v="25000207450"/>
    <n v="9466312"/>
    <s v="ARAGONBORG"/>
    <s v="WILHELMSEN "/>
    <s v="KRUEGER"/>
    <s v="-"/>
    <s v="-"/>
    <s v="009/2025"/>
    <d v="2025-05-12T00:00:00"/>
    <n v="200"/>
    <s v="TON"/>
    <n v="150.06700000000001"/>
    <n v="49.932999999999993"/>
    <d v="2025-05-13T00:00:00"/>
    <x v="1"/>
    <d v="2025-05-27T00:00:00"/>
    <n v="319"/>
    <s v="NA"/>
    <s v="NA"/>
    <s v="NA"/>
    <m/>
    <m/>
    <m/>
    <m/>
    <m/>
    <m/>
    <m/>
    <s v="PA20250010"/>
    <d v="1899-12-30T00:00:00"/>
    <n v="776.5"/>
    <n v="116527.0255"/>
    <m/>
    <n v="0"/>
    <n v="14"/>
    <n v="-45790"/>
    <n v="-45804"/>
    <s v="Atendido"/>
  </r>
  <r>
    <m/>
    <m/>
    <m/>
    <x v="3"/>
    <x v="1"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Elton"/>
    <n v="20240107"/>
    <x v="0"/>
    <x v="0"/>
    <n v="7801738"/>
    <s v="JOSE AIUB"/>
    <s v="FUNDEIO REAM"/>
    <s v="NAVEMAZONIA"/>
    <n v="24000482290"/>
    <s v="Crude Oil Tanker"/>
    <s v="WILSON SONS"/>
    <s v="KRUEGER"/>
    <s v="10773-1"/>
    <d v="2025-01-03T00:00:00"/>
    <s v="584/2024"/>
    <d v="2024-12-19T00:00:00"/>
    <n v="150"/>
    <n v="200"/>
    <s v="TON"/>
    <n v="33.322000000000003"/>
    <n v="166.678"/>
    <d v="2024-12-19T00:00:00"/>
    <x v="0"/>
    <d v="2025-01-02T00:00:00"/>
    <n v="126"/>
    <d v="2025-01-16T00:00:00"/>
    <s v="NA"/>
    <s v="NA"/>
    <s v="NA"/>
    <s v="NA"/>
    <s v="NA"/>
    <s v="NA"/>
    <s v="NA"/>
    <s v="NA"/>
    <s v="NA"/>
    <n v="20240107"/>
    <s v="NA"/>
    <s v="NA"/>
    <s v="NA"/>
    <s v="NA"/>
    <n v="252149.66"/>
    <n v="14"/>
    <e v="#VALUE!"/>
    <e v="#VALUE!"/>
    <x v="0"/>
  </r>
  <r>
    <s v="Elton"/>
    <n v="20240108"/>
    <x v="1"/>
    <x v="1"/>
    <n v="9307346"/>
    <s v="LAVIRK"/>
    <s v="REFMAN"/>
    <s v="MINERVA BUNKERING"/>
    <n v="25000004257"/>
    <s v="Oil/Chemical Tanker"/>
    <s v="NORTH STAR"/>
    <s v="KRUEGER"/>
    <s v="10771-1"/>
    <d v="2025-01-03T00:00:00"/>
    <s v="018/2025"/>
    <d v="2025-01-10T00:00:00"/>
    <n v="480"/>
    <n v="500"/>
    <s v="TON"/>
    <n v="401.40800000000002"/>
    <n v="98.591999999999985"/>
    <d v="2025-01-10T00:00:00"/>
    <x v="1"/>
    <d v="2025-01-24T00:00:00"/>
    <n v="134"/>
    <d v="2025-01-16T00:00:00"/>
    <s v="10963-1"/>
    <d v="2025-01-23T00:00:00"/>
    <s v="10948-1"/>
    <d v="2025-01-24T00:00:00"/>
    <s v="25BR0001314627"/>
    <m/>
    <d v="2025-01-24T00:00:00"/>
    <d v="2025-01-24T00:00:00"/>
    <d v="2025-01-24T00:00:00"/>
    <n v="20240108"/>
    <d v="2025-01-24T00:00:00"/>
    <n v="616.98"/>
    <n v="247660.70784000002"/>
    <n v="5.9393000000000002"/>
    <n v="1470931.2420741122"/>
    <n v="14"/>
    <n v="14"/>
    <n v="0"/>
    <x v="1"/>
  </r>
  <r>
    <s v="Elton"/>
    <n v="20240109"/>
    <x v="0"/>
    <x v="1"/>
    <n v="9307346"/>
    <s v="LAVIRK"/>
    <s v="REFMAN"/>
    <s v="MINERVA BUNKERING"/>
    <n v="25000004257"/>
    <s v="Oil/Chemical Tanker"/>
    <s v="NORTH STAR"/>
    <s v="KRUEGER"/>
    <s v="10772-1"/>
    <d v="2025-01-03T00:00:00"/>
    <s v="013/2025"/>
    <d v="2025-01-09T00:00:00"/>
    <n v="350"/>
    <n v="400"/>
    <s v="TON"/>
    <n v="355.80599999999998"/>
    <n v="44.194000000000017"/>
    <d v="2025-01-11T00:00:00"/>
    <x v="1"/>
    <d v="2025-01-25T00:00:00"/>
    <n v="133"/>
    <d v="2025-01-16T00:00:00"/>
    <s v="10962-1"/>
    <d v="2025-01-23T00:00:00"/>
    <s v="10935-1"/>
    <d v="2025-01-22T00:00:00"/>
    <s v="25BR000121480-0"/>
    <m/>
    <d v="2025-01-23T00:00:00"/>
    <d v="2025-01-23T00:00:00"/>
    <d v="2025-01-23T00:00:00"/>
    <n v="20240109"/>
    <d v="2025-01-22T00:00:00"/>
    <n v="871.68"/>
    <n v="310148.97407999996"/>
    <n v="6.0434000000000001"/>
    <n v="1874354.3099550717"/>
    <n v="14"/>
    <n v="11"/>
    <n v="-3"/>
    <x v="1"/>
  </r>
  <r>
    <s v="Elton"/>
    <n v="20240110"/>
    <x v="0"/>
    <x v="1"/>
    <n v="9187899"/>
    <s v="SIRENA"/>
    <s v="PORTO ROADWAY"/>
    <s v="MONJASA S.A "/>
    <n v="24000645963"/>
    <s v="Oil/Chemical Tanker"/>
    <s v="WILHELMSEN"/>
    <s v="KRUEGER"/>
    <s v="10768-1"/>
    <d v="2025-01-03T00:00:00"/>
    <s v="015-2025"/>
    <d v="2025-01-11T00:00:00"/>
    <n v="650"/>
    <n v="500"/>
    <s v="TON"/>
    <n v="417.75599999999997"/>
    <n v="82.244000000000028"/>
    <d v="2025-01-11T00:00:00"/>
    <x v="1"/>
    <d v="2025-01-25T00:00:00"/>
    <n v="135"/>
    <d v="2025-01-16T00:00:00"/>
    <s v="10965-1"/>
    <d v="2025-01-23T00:00:00"/>
    <s v="10937-1"/>
    <d v="2025-01-22T00:00:00"/>
    <s v="25BR0001218156"/>
    <m/>
    <d v="2025-01-23T00:00:00"/>
    <d v="2025-01-23T00:00:00"/>
    <d v="2025-01-23T00:00:00"/>
    <n v="20240110"/>
    <d v="2025-01-22T00:00:00"/>
    <n v="781.68899999999996"/>
    <n v="326555.26988399995"/>
    <n v="6.0890000000000004"/>
    <n v="1988395.0383236757"/>
    <n v="14"/>
    <n v="11"/>
    <n v="-3"/>
    <x v="1"/>
  </r>
  <r>
    <s v="Elton"/>
    <n v="20240112"/>
    <x v="0"/>
    <x v="1"/>
    <n v="9725421"/>
    <s v="EASTERLY LIME GALAXY"/>
    <s v="REFMAN"/>
    <s v="BUNKER ONE GULF OF MEXICO"/>
    <n v="24000628422"/>
    <s v="Oil/Chemical Tanker"/>
    <s v="ISS"/>
    <s v="KRUEGER"/>
    <s v="10788-1"/>
    <d v="2025-01-07T00:00:00"/>
    <s v="009/2025"/>
    <d v="2025-01-09T00:00:00"/>
    <n v="90"/>
    <n v="100"/>
    <s v="TON"/>
    <n v="91.123999999999995"/>
    <n v="8.8760000000000048"/>
    <d v="2025-01-10T00:00:00"/>
    <x v="1"/>
    <d v="2025-01-24T00:00:00"/>
    <n v="131"/>
    <d v="2025-01-17T00:00:00"/>
    <s v="10821-1"/>
    <d v="2025-01-09T00:00:00"/>
    <s v="10822-1"/>
    <d v="2025-01-10T00:00:00"/>
    <s v="25BR000124004-6"/>
    <m/>
    <d v="2025-01-27T00:00:00"/>
    <d v="2025-01-27T00:00:00"/>
    <d v="2025-01-27T00:00:00"/>
    <n v="20240112"/>
    <d v="2025-01-10T00:00:00"/>
    <n v="862.38"/>
    <n v="78583.515119999996"/>
    <n v="6.1315"/>
    <n v="481834.82295827998"/>
    <n v="14"/>
    <n v="0"/>
    <n v="-14"/>
    <x v="1"/>
  </r>
  <r>
    <s v="Elton"/>
    <n v="20250001"/>
    <x v="1"/>
    <x v="1"/>
    <n v="9725421"/>
    <s v="VIKING SEA"/>
    <s v="PORTO ROADWAY"/>
    <s v="TRANS TEC INTERNATIONAL SRL"/>
    <n v="24000628422"/>
    <s v="Oil/Chemical Tanker"/>
    <s v="ISS"/>
    <s v="KRUEGER"/>
    <s v="10770-1"/>
    <d v="2025-01-03T00:00:00"/>
    <s v="021-2025"/>
    <d v="2025-01-13T00:00:00"/>
    <n v="150"/>
    <n v="200"/>
    <s v="TON"/>
    <n v="138"/>
    <n v="62"/>
    <d v="2025-01-13T00:00:00"/>
    <x v="1"/>
    <d v="2025-01-27T00:00:00"/>
    <n v="136"/>
    <d v="2025-01-16T00:00:00"/>
    <s v="10961-1"/>
    <d v="2025-01-23T00:00:00"/>
    <s v="10959-1"/>
    <d v="2025-01-24T00:00:00"/>
    <s v="25BR000133825-9"/>
    <m/>
    <d v="2025-01-27T00:00:00"/>
    <d v="2025-01-27T00:00:00"/>
    <d v="2025-01-27T00:00:00"/>
    <n v="20250001"/>
    <d v="2025-01-24T00:00:00"/>
    <n v="612.59"/>
    <n v="84537.42"/>
    <n v="5.9393000000000002"/>
    <n v="502093.09860600001"/>
    <n v="14"/>
    <n v="11"/>
    <n v="-3"/>
    <x v="1"/>
  </r>
  <r>
    <s v="Elton"/>
    <n v="20250002"/>
    <x v="0"/>
    <x v="1"/>
    <n v="9156462"/>
    <s v="INSIGNIA"/>
    <s v="PORTO ROADWAY"/>
    <s v="MONJASA S.A "/>
    <n v="25000015038"/>
    <s v="Oil/Chemical Tanker"/>
    <s v="WILHELMSEN"/>
    <s v="KRUEGER"/>
    <s v="10769-1"/>
    <d v="2025-01-03T00:00:00"/>
    <s v="028/2025"/>
    <d v="2025-01-16T00:00:00"/>
    <n v="300"/>
    <n v="300"/>
    <s v="TON"/>
    <n v="297.68900000000002"/>
    <n v="2.3109999999999786"/>
    <d v="2025-01-17T00:00:00"/>
    <x v="1"/>
    <d v="2025-01-31T00:00:00"/>
    <n v="137"/>
    <d v="2025-01-27T00:00:00"/>
    <s v="10980-1"/>
    <d v="2025-01-26T00:00:00"/>
    <s v="10993-1"/>
    <d v="2025-01-27T00:00:00"/>
    <s v="25BR000161674-7"/>
    <m/>
    <d v="2025-01-29T00:00:00"/>
    <d v="2025-01-29T00:00:00"/>
    <d v="2025-01-29T00:00:00"/>
    <n v="20250002"/>
    <d v="2025-01-27T00:00:00"/>
    <n v="795.66"/>
    <n v="236859.22974000001"/>
    <n v="5.8918999999999997"/>
    <n v="1395550.895705106"/>
    <n v="14"/>
    <n v="10"/>
    <n v="-4"/>
    <x v="1"/>
  </r>
  <r>
    <s v="Elton"/>
    <n v="20250003"/>
    <x v="0"/>
    <x v="1"/>
    <n v="9156462"/>
    <s v="INSIGNIA"/>
    <s v="PORTO ROADWAY"/>
    <s v="MONJASA S.A "/>
    <n v="25000015038"/>
    <s v="Oil/Chemical Tanker"/>
    <s v="WILHELMSEN"/>
    <s v="KRUEGER"/>
    <s v="10883-1"/>
    <d v="2025-01-16T00:00:00"/>
    <s v="032/2025"/>
    <d v="2025-01-17T00:00:00"/>
    <n v="80"/>
    <n v="80"/>
    <s v="TON"/>
    <n v="81.23"/>
    <n v="-1.230000000000004"/>
    <d v="2025-01-17T00:00:00"/>
    <x v="1"/>
    <d v="2025-01-31T00:00:00"/>
    <n v="138"/>
    <d v="2025-01-27T00:00:00"/>
    <s v="10981-1"/>
    <d v="2025-01-26T00:00:00"/>
    <s v="10994-1"/>
    <d v="2025-01-27T00:00:00"/>
    <s v="25BR000162057-4"/>
    <m/>
    <d v="2025-01-30T00:00:00"/>
    <d v="2025-01-30T00:00:00"/>
    <d v="2025-01-30T00:00:00"/>
    <n v="20250003"/>
    <d v="2025-01-27T00:00:00"/>
    <n v="795.66"/>
    <n v="64631.461799999997"/>
    <n v="5.8918999999999997"/>
    <n v="380802.10977941996"/>
    <n v="14"/>
    <n v="10"/>
    <n v="-4"/>
    <x v="1"/>
  </r>
  <r>
    <s v="Elton"/>
    <n v="20250004"/>
    <x v="1"/>
    <x v="1"/>
    <n v="9362633"/>
    <s v="BBC SCANDINAVIA"/>
    <s v="FUNDEIO MANAUS"/>
    <s v="MONJASA S.A "/>
    <n v="25000010729"/>
    <s v="Oil/Chemical Tanker"/>
    <s v="BRZILIAN PORT AGENTS"/>
    <s v="KRUEGER"/>
    <s v="10853-1"/>
    <d v="2025-01-14T00:00:00"/>
    <s v="033/2025"/>
    <d v="2025-01-17T00:00:00"/>
    <n v="276"/>
    <n v="300"/>
    <s v="TON"/>
    <n v="272"/>
    <n v="28"/>
    <d v="2025-01-22T00:00:00"/>
    <x v="1"/>
    <d v="2025-02-05T00:00:00"/>
    <n v="139"/>
    <d v="2025-01-27T00:00:00"/>
    <s v="10974-1"/>
    <d v="2025-01-20T00:00:00"/>
    <s v="11032-1"/>
    <d v="2025-01-29T00:00:00"/>
    <s v="25BR000169756-9"/>
    <m/>
    <d v="2025-01-30T00:00:00"/>
    <d v="2025-01-30T00:00:00"/>
    <d v="2025-01-30T00:00:00"/>
    <n v="20250004"/>
    <d v="2025-01-29T00:00:00"/>
    <n v="624.57000000000005"/>
    <n v="169883.04"/>
    <n v="5.8924000000000003"/>
    <n v="1001018.8248960001"/>
    <n v="14"/>
    <n v="7"/>
    <n v="-7"/>
    <x v="1"/>
  </r>
  <r>
    <s v="Elton"/>
    <n v="20250005"/>
    <x v="0"/>
    <x v="1"/>
    <n v="9362633"/>
    <s v="BBC SCANDINAVIA"/>
    <s v="FUNDEIO MANAUS"/>
    <s v="MONJASA S.A "/>
    <n v="25000010729"/>
    <s v="Oil/Chemical Tanker"/>
    <s v="BRZILIAN PORT AGENTS"/>
    <s v="KRUEGER"/>
    <s v="10854-1"/>
    <d v="2025-01-14T00:00:00"/>
    <s v="034/2025"/>
    <d v="2025-01-17T00:00:00"/>
    <n v="20"/>
    <n v="30"/>
    <s v="TON"/>
    <n v="39.6"/>
    <n v="-9.6000000000000014"/>
    <d v="2025-01-22T00:00:00"/>
    <x v="1"/>
    <d v="2025-02-05T00:00:00"/>
    <n v="140"/>
    <d v="2025-01-27T00:00:00"/>
    <s v="10975-1"/>
    <d v="2025-01-20T00:00:00"/>
    <s v="11033-1"/>
    <d v="2025-01-29T00:00:00"/>
    <s v="25BR000169575-2"/>
    <m/>
    <d v="2025-01-30T00:00:00"/>
    <d v="2025-01-30T00:00:00"/>
    <d v="2025-01-30T00:00:00"/>
    <n v="20250005"/>
    <d v="2025-01-29T00:00:00"/>
    <n v="873.12"/>
    <n v="34575.552000000003"/>
    <n v="5.8924000000000003"/>
    <n v="203732.98260480003"/>
    <n v="14"/>
    <n v="7"/>
    <n v="-7"/>
    <x v="1"/>
  </r>
  <r>
    <s v="Elton"/>
    <n v="20250006"/>
    <x v="1"/>
    <x v="0"/>
    <n v="9341794"/>
    <s v="TELLUS"/>
    <s v="FUNDEIO MANAUS"/>
    <s v="COMPANHIA DE NAVEGAÇÃO NORSUL"/>
    <n v="24000615177"/>
    <s v="Cement Carrier"/>
    <s v="COSTA SHIPPING"/>
    <s v="KRUEGER"/>
    <s v="10904-1"/>
    <d v="2025-01-20T00:00:00"/>
    <s v="039/2025"/>
    <d v="2025-01-22T00:00:00"/>
    <n v="330"/>
    <n v="350"/>
    <s v="TON"/>
    <n v="338.899"/>
    <n v="11.100999999999999"/>
    <d v="2025-01-23T00:00:00"/>
    <x v="1"/>
    <d v="2025-02-06T00:00:00"/>
    <n v="142"/>
    <d v="2025-03-06T00:00:00"/>
    <s v="NA"/>
    <s v="NA"/>
    <s v="NA"/>
    <s v="NA"/>
    <s v="NA"/>
    <s v="NA"/>
    <s v="NA"/>
    <s v="NA"/>
    <s v="NA"/>
    <n v="20250006"/>
    <s v="NA"/>
    <n v="636.47"/>
    <n v="215699.04653000002"/>
    <s v="NA"/>
    <n v="1496974.45"/>
    <n v="14"/>
    <e v="#VALUE!"/>
    <e v="#VALUE!"/>
    <x v="0"/>
  </r>
  <r>
    <s v="Elton"/>
    <n v="20250007"/>
    <x v="0"/>
    <x v="0"/>
    <n v="9341794"/>
    <s v="TELLUS"/>
    <s v="FUNDEIO MANAUS"/>
    <s v="COMPANHIA DE NAVEGAÇÃO NORSUL"/>
    <n v="24000615177"/>
    <s v="Cement Carrier"/>
    <s v="COSTA SHIPPING"/>
    <s v="KRUEGER"/>
    <s v="10905-1"/>
    <d v="2025-01-20T00:00:00"/>
    <s v="038/2025"/>
    <d v="2025-01-22T00:00:00"/>
    <n v="50"/>
    <n v="50"/>
    <s v="TON"/>
    <n v="49.613"/>
    <n v="0.38700000000000045"/>
    <d v="2025-01-23T00:00:00"/>
    <x v="1"/>
    <d v="2025-02-06T00:00:00"/>
    <n v="141"/>
    <d v="2025-03-06T00:00:00"/>
    <s v="NA"/>
    <s v="NA"/>
    <s v="NA"/>
    <s v="NA"/>
    <s v="NA"/>
    <s v="NA"/>
    <s v="NA"/>
    <s v="NA"/>
    <s v="NA"/>
    <n v="20250007"/>
    <s v="NA"/>
    <n v="888.17"/>
    <n v="44064.778209999997"/>
    <s v="NA"/>
    <n v="332606.44"/>
    <n v="14"/>
    <e v="#VALUE!"/>
    <e v="#VALUE!"/>
    <x v="0"/>
  </r>
  <r>
    <s v="Elton"/>
    <n v="20250008"/>
    <x v="0"/>
    <x v="1"/>
    <n v="9169524"/>
    <s v="AURORA"/>
    <s v="PORTO ROADWAY"/>
    <s v="BUNKER ONE GULF OF MEXICO"/>
    <n v="25000021682"/>
    <s v="Oil/Chemical Tanker"/>
    <s v="ISS"/>
    <s v="KRUEGER"/>
    <s v="10956-1"/>
    <d v="2025-01-28T00:00:00"/>
    <s v="047/2025"/>
    <d v="2025-01-28T00:00:00"/>
    <n v="350"/>
    <n v="400"/>
    <s v="TON"/>
    <n v="352.5"/>
    <n v="47.5"/>
    <d v="2025-01-28T00:00:00"/>
    <x v="1"/>
    <d v="2025-02-11T00:00:00"/>
    <n v="143"/>
    <d v="2025-03-06T00:00:00"/>
    <s v="11030-1"/>
    <d v="2025-01-28T00:00:00"/>
    <s v="11097-1"/>
    <d v="2025-02-04T00:00:00"/>
    <s v="25BR000218115-9"/>
    <m/>
    <d v="2025-02-06T00:00:00"/>
    <d v="2025-02-07T00:00:00"/>
    <d v="2025-02-07T00:00:00"/>
    <n v="20250008"/>
    <d v="2025-02-04T00:00:00"/>
    <n v="894.86"/>
    <n v="315438.15000000002"/>
    <n v="5.8681000000000001"/>
    <n v="1851022.6080150001"/>
    <n v="14"/>
    <n v="7"/>
    <n v="-7"/>
    <x v="1"/>
  </r>
  <r>
    <s v="Elton"/>
    <n v="20250009"/>
    <x v="1"/>
    <x v="0"/>
    <n v="9323120"/>
    <s v="SEAVEN GLORY"/>
    <s v="FUNDEIO REAM"/>
    <s v="COMPANHIA DE NAVEGAÇÃO NORSUL"/>
    <n v="25000013744"/>
    <s v="Oil/Chemical Tanker"/>
    <s v="COSTA SHIPPING"/>
    <s v="KRUEGER"/>
    <s v="10906-1"/>
    <d v="2025-01-20T00:00:00"/>
    <s v="050/2025"/>
    <d v="2025-01-30T00:00:00"/>
    <n v="160"/>
    <n v="160"/>
    <s v="TON"/>
    <n v="160.31800000000001"/>
    <n v="-0.31800000000001205"/>
    <d v="2025-02-01T00:00:00"/>
    <x v="2"/>
    <d v="2025-02-15T00:00:00"/>
    <n v="144"/>
    <d v="2025-03-06T00:00:00"/>
    <s v="NA"/>
    <s v="NA"/>
    <s v="NA"/>
    <s v="NA"/>
    <s v="NA"/>
    <s v="NA"/>
    <s v="NA"/>
    <s v="NA"/>
    <s v="NA"/>
    <n v="20250009"/>
    <s v="NA"/>
    <n v="638.12"/>
    <n v="102302.12216000001"/>
    <s v="NA"/>
    <n v="775769.78"/>
    <n v="14"/>
    <e v="#VALUE!"/>
    <e v="#VALUE!"/>
    <x v="0"/>
  </r>
  <r>
    <s v="Elton"/>
    <n v="20250010"/>
    <x v="0"/>
    <x v="0"/>
    <n v="9323120"/>
    <s v="SEAVEN GLORY"/>
    <s v="FUNDEIO REAM"/>
    <s v="COMPANHIA DE NAVEGAÇÃO NORSUL"/>
    <n v="25000013744"/>
    <s v="Oil/Chemical Tanker"/>
    <s v="COSTA SHIPPING"/>
    <s v="KRUEGER"/>
    <s v="10907-1"/>
    <d v="2025-01-20T00:00:00"/>
    <s v="051/2025"/>
    <d v="2025-01-30T00:00:00"/>
    <n v="35"/>
    <n v="35"/>
    <s v="TON"/>
    <n v="33.649000000000001"/>
    <n v="1.3509999999999991"/>
    <d v="2025-02-01T00:00:00"/>
    <x v="2"/>
    <d v="2025-02-15T00:00:00"/>
    <n v="145"/>
    <d v="2025-03-06T00:00:00"/>
    <s v="NA"/>
    <s v="NA"/>
    <s v="NA"/>
    <s v="NA"/>
    <s v="NA"/>
    <s v="NA"/>
    <s v="NA"/>
    <s v="NA"/>
    <s v="NA"/>
    <n v="20250010"/>
    <s v="NA"/>
    <n v="888.17"/>
    <n v="29886.032329999998"/>
    <s v="NA"/>
    <n v="226434.32"/>
    <n v="14"/>
    <e v="#VALUE!"/>
    <e v="#VALUE!"/>
    <x v="0"/>
  </r>
  <r>
    <s v="Elton"/>
    <n v="20250011"/>
    <x v="1"/>
    <x v="1"/>
    <n v="9308089"/>
    <s v="CONQUEST"/>
    <s v="FUNDEIO MANAUS"/>
    <s v="MINERVA BUNKERING"/>
    <n v="25000038712"/>
    <s v="Oil/Chemical Tanker"/>
    <s v="NORTH STAR"/>
    <s v="KRUEGER"/>
    <s v="11025-1"/>
    <d v="2025-01-29T00:00:00"/>
    <s v="053/2025"/>
    <d v="2025-02-03T00:00:00"/>
    <n v="895"/>
    <n v="900"/>
    <s v="TON"/>
    <n v="894.9"/>
    <n v="5.1000000000000227"/>
    <d v="2025-02-04T00:00:00"/>
    <x v="2"/>
    <d v="2025-02-18T00:00:00"/>
    <n v="146"/>
    <d v="2025-03-06T00:00:00"/>
    <s v="11103-1"/>
    <d v="2025-02-03T00:00:00"/>
    <s v="11210-1"/>
    <d v="2025-02-14T00:00:00"/>
    <s v="25BR000280233-1"/>
    <m/>
    <d v="2025-02-17T00:00:00"/>
    <d v="2025-02-17T00:00:00"/>
    <d v="2025-02-17T00:00:00"/>
    <n v="20250011"/>
    <d v="2025-02-14T00:00:00"/>
    <n v="636.14"/>
    <n v="569281.68599999999"/>
    <n v="5.7782"/>
    <n v="3289423.4380452"/>
    <n v="14"/>
    <n v="10"/>
    <n v="-4"/>
    <x v="1"/>
  </r>
  <r>
    <s v="Elton"/>
    <n v="20250012"/>
    <x v="0"/>
    <x v="1"/>
    <n v="9308089"/>
    <s v="CONQUEST"/>
    <s v="FUNDEIO MANAUS"/>
    <s v="MINERVA BUNKERING"/>
    <n v="25000038712"/>
    <s v="Oil/Chemical Tanker"/>
    <s v="NORTH STAR"/>
    <s v="KRUEGER"/>
    <s v="11026-1"/>
    <d v="2025-01-29T00:00:00"/>
    <s v="054/2025"/>
    <d v="2025-02-03T00:00:00"/>
    <n v="250"/>
    <n v="350"/>
    <s v="TON"/>
    <n v="249.3"/>
    <n v="100.69999999999999"/>
    <d v="2025-02-03T00:00:00"/>
    <x v="2"/>
    <d v="2025-02-17T00:00:00"/>
    <n v="147"/>
    <d v="2025-03-06T00:00:00"/>
    <s v="11102-1"/>
    <d v="2025-02-03T00:00:00"/>
    <s v="11114-1"/>
    <d v="2025-02-05T00:00:00"/>
    <s v="25BR000263794-2"/>
    <m/>
    <d v="2025-02-13T00:00:00"/>
    <d v="2025-02-13T00:00:00"/>
    <d v="2025-02-13T00:00:00"/>
    <n v="20250012"/>
    <d v="2025-02-05T00:00:00"/>
    <n v="822.87"/>
    <n v="205141.49100000001"/>
    <n v="5.7920999999999996"/>
    <n v="1188200.0300211001"/>
    <n v="14"/>
    <n v="2"/>
    <n v="-12"/>
    <x v="1"/>
  </r>
  <r>
    <s v="Ana"/>
    <n v="20250013"/>
    <x v="1"/>
    <x v="1"/>
    <n v="9272943"/>
    <s v="PANSTELLAR"/>
    <s v="FUNDEIO NOVO REMANSO"/>
    <s v="BASEBLUE"/>
    <n v="25000041187"/>
    <s v="Bulk Carrier"/>
    <s v="AMAZONICA"/>
    <s v="KRUEGER"/>
    <s v="11135-1"/>
    <d v="2025-02-07T00:00:00"/>
    <s v="070/2025"/>
    <d v="2025-02-10T00:00:00"/>
    <n v="200"/>
    <n v="800"/>
    <s v="TON"/>
    <n v="331.55"/>
    <n v="468.45"/>
    <d v="2025-02-15T00:00:00"/>
    <x v="2"/>
    <d v="2025-02-26T00:00:00"/>
    <n v="148"/>
    <m/>
    <s v="11261-1"/>
    <d v="2025-02-19T00:00:00"/>
    <s v="11260-1"/>
    <d v="2025-02-19T00:00:00"/>
    <s v="25BR000309027-0"/>
    <m/>
    <d v="2025-02-20T00:00:00"/>
    <d v="2025-02-20T00:00:00"/>
    <d v="2025-02-20T00:00:00"/>
    <n v="20250013"/>
    <d v="2025-02-19T00:00:00"/>
    <n v="640.67999999999995"/>
    <n v="212417.454"/>
    <n v="5.6973000000000003"/>
    <n v="1210205.9606742"/>
    <n v="14"/>
    <n v="4"/>
    <n v="-10"/>
    <x v="1"/>
  </r>
  <r>
    <s v="Ana"/>
    <n v="20250014"/>
    <x v="0"/>
    <x v="1"/>
    <n v="9259317"/>
    <s v="FEDOR"/>
    <s v="FUNDEIO MANAUS"/>
    <s v="MINERVA BUNKERING"/>
    <n v="25000050712"/>
    <s v="Crude Oil Tanker"/>
    <s v="NORTH STAR"/>
    <s v="KRUEGER"/>
    <s v="11133-1"/>
    <d v="2025-02-07T00:00:00"/>
    <s v="084/2025"/>
    <d v="2025-02-17T00:00:00"/>
    <n v="180"/>
    <n v="250"/>
    <s v="TON"/>
    <n v="175.3"/>
    <n v="74.699999999999989"/>
    <d v="2025-02-17T00:00:00"/>
    <x v="2"/>
    <d v="2025-03-03T00:00:00"/>
    <n v="152"/>
    <d v="2025-03-06T00:00:00"/>
    <s v="11654-1"/>
    <d v="2025-03-01T00:00:00"/>
    <s v="11361-1"/>
    <d v="2025-02-27T00:00:00"/>
    <s v="25BR0003663211 "/>
    <m/>
    <d v="2025-02-27T00:00:00"/>
    <d v="2025-02-27T00:00:00"/>
    <d v="2025-02-27T00:00:00"/>
    <n v="20250014"/>
    <d v="2025-02-27T00:00:00"/>
    <n v="830.46"/>
    <n v="145579.63800000001"/>
    <n v="5.7751000000000001"/>
    <n v="840736.96741380007"/>
    <n v="14"/>
    <n v="10"/>
    <n v="-4"/>
    <x v="1"/>
  </r>
  <r>
    <s v="Ana"/>
    <n v="20250015"/>
    <x v="1"/>
    <x v="1"/>
    <n v="9259317"/>
    <s v="FEDOR"/>
    <s v="FUNDEIO MANAUS"/>
    <s v="MINERVA BUNKERING"/>
    <n v="25000050712"/>
    <s v="Crude Oil Tanker"/>
    <s v="NORTH STAR"/>
    <s v="KRUEGER"/>
    <s v="11132-1"/>
    <d v="2025-02-07T00:00:00"/>
    <s v="083/2025"/>
    <d v="2025-02-17T00:00:00"/>
    <n v="850"/>
    <n v="900"/>
    <s v="TON"/>
    <n v="848.5"/>
    <n v="51.5"/>
    <d v="2025-02-17T00:00:00"/>
    <x v="2"/>
    <d v="2025-03-03T00:00:00"/>
    <n v="151"/>
    <d v="2025-03-06T00:00:00"/>
    <s v="11453-1"/>
    <d v="2025-03-01T00:00:00"/>
    <s v="11362-1"/>
    <d v="2025-02-27T00:00:00"/>
    <s v="25BR0003660425"/>
    <m/>
    <d v="2025-02-27T00:00:00"/>
    <d v="2025-02-27T00:00:00"/>
    <d v="2025-02-27T00:00:00"/>
    <n v="20250015"/>
    <d v="2025-02-27T00:00:00"/>
    <n v="633.19000000000005"/>
    <n v="537261.71500000008"/>
    <n v="5.7751000000000001"/>
    <n v="3102740.1302965004"/>
    <n v="14"/>
    <n v="10"/>
    <n v="-4"/>
    <x v="1"/>
  </r>
  <r>
    <s v="Ana"/>
    <n v="20250016"/>
    <x v="1"/>
    <x v="1"/>
    <n v="9929015"/>
    <s v="BBG HONG KONG"/>
    <s v="FUNDEIO ITA"/>
    <s v="CROSS OFFICE  "/>
    <n v="25000035560"/>
    <s v="Bulk Carrier"/>
    <s v="AMAZONICA"/>
    <s v="KRUEGER"/>
    <s v="11163-1"/>
    <d v="2025-02-11T00:00:00"/>
    <s v="073/2025"/>
    <d v="2025-02-11T00:00:00"/>
    <n v="600"/>
    <n v="700"/>
    <s v="TON"/>
    <n v="595.62"/>
    <n v="104.38"/>
    <d v="2025-02-12T00:00:00"/>
    <x v="2"/>
    <d v="2025-02-24T00:00:00"/>
    <n v="149"/>
    <d v="2025-03-06T00:00:00"/>
    <s v="11275-1"/>
    <d v="2025-02-20T00:00:00"/>
    <s v="11367-1"/>
    <d v="2025-02-27T00:00:00"/>
    <s v="25BR0003770425 "/>
    <m/>
    <d v="2025-02-28T00:00:00"/>
    <d v="2025-02-28T00:00:00"/>
    <d v="2025-02-28T00:00:00"/>
    <n v="20250016"/>
    <d v="2025-02-27T00:00:00"/>
    <n v="606.32000000000005"/>
    <n v="361136.31840000005"/>
    <n v="5.7751000000000001"/>
    <n v="2085598.3523918404"/>
    <n v="14"/>
    <n v="15"/>
    <n v="1"/>
    <x v="2"/>
  </r>
  <r>
    <s v="Ana"/>
    <n v="20250017"/>
    <x v="0"/>
    <x v="0"/>
    <n v="7801738"/>
    <s v="JOSE AIUB"/>
    <s v="FUNDEIO MANAUS"/>
    <s v="NAVEMAZONIA"/>
    <n v="24000482290"/>
    <s v="Crude Oil Tanker"/>
    <s v="WILSON SONS"/>
    <s v="KRUEGER"/>
    <s v="11153-1"/>
    <d v="2025-02-10T00:00:00"/>
    <s v="077/2025"/>
    <d v="2025-02-12T00:00:00"/>
    <n v="90"/>
    <n v="100"/>
    <s v="TON"/>
    <m/>
    <n v="100"/>
    <m/>
    <x v="3"/>
    <d v="1900-01-13T00:00:00"/>
    <m/>
    <m/>
    <m/>
    <m/>
    <m/>
    <m/>
    <s v="NA"/>
    <s v="NA"/>
    <s v="NA"/>
    <s v="NA"/>
    <s v="NA"/>
    <n v="20250017"/>
    <d v="1899-12-30T00:00:00"/>
    <n v="6150"/>
    <n v="0"/>
    <n v="0"/>
    <n v="0"/>
    <n v="14"/>
    <n v="0"/>
    <n v="-14"/>
    <x v="1"/>
  </r>
  <r>
    <s v="Elton"/>
    <n v="20250018"/>
    <x v="1"/>
    <x v="0"/>
    <n v="9341794"/>
    <s v="TELLUS"/>
    <s v="FUNDEIO MANAUS"/>
    <s v="COMPANHIA DE NAVEGAÇÃO NORSUL "/>
    <n v="25000044232"/>
    <s v="Cement Carrier"/>
    <s v="COSTA SHIPPING"/>
    <s v="KRUEGER"/>
    <s v="11227-1"/>
    <d v="2025-02-14T00:00:00"/>
    <s v="086/2025"/>
    <d v="2025-02-17T00:00:00"/>
    <n v="275"/>
    <n v="300"/>
    <s v="TON"/>
    <n v="270.15300000000002"/>
    <n v="29.84699999999998"/>
    <d v="2025-02-19T00:00:00"/>
    <x v="2"/>
    <d v="2025-03-03T00:00:00"/>
    <n v="153"/>
    <d v="2025-03-06T00:00:00"/>
    <s v="NA"/>
    <s v="NA"/>
    <s v="NA"/>
    <s v="NA"/>
    <s v="NA"/>
    <s v="NA"/>
    <s v="NA"/>
    <s v="NA"/>
    <s v="NA"/>
    <n v="20250018"/>
    <s v="NA"/>
    <m/>
    <n v="0"/>
    <s v="NA"/>
    <e v="#VALUE!"/>
    <n v="14"/>
    <e v="#VALUE!"/>
    <e v="#VALUE!"/>
    <x v="0"/>
  </r>
  <r>
    <s v="Elton"/>
    <n v="20250019"/>
    <x v="1"/>
    <x v="1"/>
    <s v="9305867  "/>
    <s v="MINERVA RITA"/>
    <s v="REFMAN"/>
    <s v="TRANS TEC INTERNATIONAL SRL"/>
    <n v="25000030886"/>
    <s v="Oil/Chemical Tanker"/>
    <s v="NORTH STAR"/>
    <s v="KRUEGER"/>
    <s v="11266-1"/>
    <d v="2025-02-19T00:00:00"/>
    <s v="096/2025"/>
    <d v="2025-02-20T00:00:00"/>
    <n v="200"/>
    <n v="300"/>
    <s v="TON"/>
    <n v="196.55799999999999"/>
    <n v="103.44200000000001"/>
    <d v="2025-02-21T00:00:00"/>
    <x v="2"/>
    <d v="2025-03-07T00:00:00"/>
    <n v="154"/>
    <d v="2025-03-06T00:00:00"/>
    <s v="11406-1"/>
    <d v="2025-03-03T00:00:00"/>
    <s v="11389-1"/>
    <d v="2025-02-28T00:00:00"/>
    <s v="25BR0004032983 "/>
    <m/>
    <d v="2025-03-06T00:00:00"/>
    <d v="2025-03-06T00:00:00"/>
    <d v="2025-03-06T00:00:00"/>
    <n v="20250019"/>
    <d v="2025-02-28T00:00:00"/>
    <n v="611.46"/>
    <n v="120187.35468"/>
    <n v="5.8221999999999996"/>
    <n v="699754.81641789596"/>
    <n v="14"/>
    <n v="7"/>
    <n v="-7"/>
    <x v="1"/>
  </r>
  <r>
    <s v="Elton"/>
    <n v="20250020"/>
    <x v="0"/>
    <x v="0"/>
    <n v="9323120"/>
    <s v="SEAVEN GLORY"/>
    <s v="FUNDEIO REAM"/>
    <s v="COMPANHIA DE NAVEGAÇÃO NORSUL "/>
    <n v="25000063750"/>
    <s v="Oil/Chemical Tanker"/>
    <s v="COSTA SHIPPING"/>
    <s v="KRUEGER"/>
    <s v="11228-1"/>
    <d v="2025-02-14T00:00:00"/>
    <s v="100/2025"/>
    <d v="2025-02-21T00:00:00"/>
    <n v="25"/>
    <n v="50"/>
    <s v="TON"/>
    <n v="26.271000000000001"/>
    <n v="23.728999999999999"/>
    <d v="2025-03-23T00:00:00"/>
    <x v="4"/>
    <d v="2025-04-06T00:00:00"/>
    <n v="165"/>
    <m/>
    <s v="11624-1"/>
    <d v="2025-03-27T00:00:00"/>
    <s v="NA"/>
    <s v="NA"/>
    <s v="NA"/>
    <s v="NA"/>
    <s v="NA"/>
    <s v="NA"/>
    <s v="NA"/>
    <n v="20250020"/>
    <s v="NA"/>
    <n v="811.23"/>
    <n v="21311.823330000003"/>
    <s v="NA"/>
    <e v="#VALUE!"/>
    <n v="14"/>
    <e v="#VALUE!"/>
    <e v="#VALUE!"/>
    <x v="0"/>
  </r>
  <r>
    <s v="Elton"/>
    <n v="20250021"/>
    <x v="1"/>
    <x v="0"/>
    <n v="9323120"/>
    <s v="SEAVEN GLORY"/>
    <s v="FUNDEIO REAM"/>
    <s v="COMPANHIA DE NAVEGAÇÃO NORSUL "/>
    <n v="25000063750"/>
    <s v="Oil/Chemical Tanker"/>
    <s v="COSTA SHIPPING"/>
    <s v="KRUEGER"/>
    <s v="11229-1"/>
    <d v="2025-02-14T00:00:00"/>
    <s v="101/2025"/>
    <d v="2025-02-21T00:00:00"/>
    <n v="320"/>
    <n v="350"/>
    <s v="TON"/>
    <n v="313.88400000000001"/>
    <n v="36.115999999999985"/>
    <d v="2025-02-22T00:00:00"/>
    <x v="2"/>
    <d v="2025-03-08T00:00:00"/>
    <n v="156"/>
    <d v="2025-03-06T00:00:00"/>
    <s v="NA"/>
    <s v="NA"/>
    <s v="NA"/>
    <s v="NA"/>
    <s v="NA"/>
    <s v="NA"/>
    <s v="NA"/>
    <s v="NA"/>
    <s v="NA"/>
    <n v="20250021"/>
    <s v="NA"/>
    <m/>
    <n v="0"/>
    <s v="NA"/>
    <e v="#VALUE!"/>
    <n v="14"/>
    <e v="#VALUE!"/>
    <e v="#VALUE!"/>
    <x v="0"/>
  </r>
  <r>
    <s v="Elton"/>
    <n v="20250022"/>
    <x v="1"/>
    <x v="1"/>
    <n v="9394765"/>
    <s v="YIANNIS B "/>
    <s v="FUNDEIO ITA"/>
    <s v="CROSS OFFICE  "/>
    <n v="25000088639"/>
    <s v="Oil/Chemical Tanker"/>
    <s v="AMAZONICA"/>
    <s v="KRUEGER"/>
    <s v="11294-1"/>
    <d v="2025-02-21T00:00:00"/>
    <s v="111/2025"/>
    <d v="2025-02-26T00:00:00"/>
    <n v="1050"/>
    <n v="1050"/>
    <s v="TON"/>
    <n v="947.48"/>
    <n v="102.51999999999998"/>
    <d v="2025-02-27T00:00:00"/>
    <x v="2"/>
    <d v="2025-03-13T00:00:00"/>
    <n v="157"/>
    <d v="2025-03-06T00:00:00"/>
    <s v="11484-1"/>
    <d v="2025-03-12T00:00:00"/>
    <s v="11483-1"/>
    <d v="2025-03-13T00:00:00"/>
    <s v="25BR0004725032"/>
    <m/>
    <d v="2025-03-17T00:00:00"/>
    <d v="2025-03-17T00:00:00"/>
    <d v="2025-03-17T00:00:00"/>
    <n v="20250022"/>
    <d v="2025-03-13T00:00:00"/>
    <n v="623"/>
    <n v="590280.04"/>
    <n v="5.8262"/>
    <n v="3439089.569048"/>
    <n v="14"/>
    <n v="14"/>
    <n v="0"/>
    <x v="1"/>
  </r>
  <r>
    <s v="Elton"/>
    <n v="20250023"/>
    <x v="1"/>
    <x v="1"/>
    <n v="9298674"/>
    <s v="DUBAI GREEN"/>
    <s v="TERMINAL ATEM"/>
    <s v="MINERVA BUNKERING PTE LIMITED"/>
    <n v="25000086121"/>
    <s v="Oil/Chemical Tanker"/>
    <s v="NORTH STAR"/>
    <s v="KRUEGER"/>
    <s v="11372-1"/>
    <d v="2025-02-28T00:00:00"/>
    <s v="116/2025"/>
    <d v="2025-02-28T00:00:00"/>
    <n v="650"/>
    <n v="800"/>
    <s v="TON"/>
    <n v="661.96299999999997"/>
    <n v="138.03700000000003"/>
    <d v="2025-03-11T00:00:00"/>
    <x v="4"/>
    <d v="2025-03-25T00:00:00"/>
    <n v="158"/>
    <m/>
    <s v="11502-1"/>
    <d v="2025-03-14T00:00:00"/>
    <s v="11490-1"/>
    <d v="2025-03-14T00:00:00"/>
    <s v="25BR0004891684 "/>
    <s v="25YUA139462282"/>
    <d v="2025-03-19T00:00:00"/>
    <d v="2025-03-19T00:00:00"/>
    <d v="2025-03-19T00:00:00"/>
    <n v="20250023"/>
    <d v="2025-03-14T00:00:00"/>
    <n v="602.78"/>
    <n v="399018.05713999999"/>
    <n v="5.8125"/>
    <n v="2319292.45712625"/>
    <n v="14"/>
    <n v="3"/>
    <n v="-11"/>
    <x v="1"/>
  </r>
  <r>
    <s v="Elton"/>
    <n v="20250024"/>
    <x v="0"/>
    <x v="1"/>
    <n v="9298674"/>
    <s v="DUBAI GREEN"/>
    <s v="TERMINAL ATEM"/>
    <s v="MINERVA BUNKERING PTE LIMITED"/>
    <n v="25000086121"/>
    <s v="Oil/Chemical Tanker"/>
    <s v="NORTH STAR"/>
    <s v="KRUEGER"/>
    <s v="11373-1"/>
    <d v="2025-02-28T00:00:00"/>
    <s v="117/2025"/>
    <d v="2025-02-28T00:00:00"/>
    <n v="165"/>
    <n v="250"/>
    <s v="TON"/>
    <n v="171.36600000000001"/>
    <n v="78.633999999999986"/>
    <d v="2025-03-11T00:00:00"/>
    <x v="4"/>
    <d v="2025-03-25T00:00:00"/>
    <n v="159"/>
    <m/>
    <s v="11501-1"/>
    <d v="2025-03-14T00:00:00"/>
    <s v="11491-1"/>
    <d v="2025-03-14T00:00:00"/>
    <s v="25BR000490522-7"/>
    <s v="25DDD139475821"/>
    <d v="2025-03-19T00:00:00"/>
    <d v="2025-03-19T00:00:00"/>
    <d v="2025-03-19T00:00:00"/>
    <n v="20250024"/>
    <d v="2025-03-14T00:00:00"/>
    <n v="832.38"/>
    <n v="142641.63108000002"/>
    <n v="5.8125"/>
    <n v="829104.48065250018"/>
    <n v="14"/>
    <n v="3"/>
    <n v="-11"/>
    <x v="1"/>
  </r>
  <r>
    <s v="Elton"/>
    <n v="20250025"/>
    <x v="1"/>
    <x v="1"/>
    <n v="9725421"/>
    <s v="VIKING SEA"/>
    <s v="PORTO ROADWAY"/>
    <s v="TRANS TEC INTERNATIONAL SRL"/>
    <n v="25000048599"/>
    <s v="Cruze"/>
    <s v="ISS"/>
    <s v="KRUEGER"/>
    <s v="11424-1"/>
    <d v="2025-03-06T00:00:00"/>
    <s v="126/2025"/>
    <d v="2025-03-07T00:00:00"/>
    <n v="250"/>
    <n v="300"/>
    <s v="TON"/>
    <n v="245.714"/>
    <n v="54.286000000000001"/>
    <d v="2025-03-09T00:00:00"/>
    <x v="4"/>
    <d v="2025-03-23T00:00:00"/>
    <n v="160"/>
    <m/>
    <s v="11451-1"/>
    <d v="2025-03-10T00:00:00"/>
    <s v="11452-1"/>
    <d v="2025-03-10T00:00:00"/>
    <s v="25BR000489336-9"/>
    <s v="25TYJ139463963"/>
    <d v="2025-03-19T00:00:00"/>
    <d v="2025-03-26T00:00:00"/>
    <d v="2025-03-26T00:00:00"/>
    <n v="20250025"/>
    <d v="2025-03-10T00:00:00"/>
    <n v="616.13"/>
    <n v="151391.76681999999"/>
    <n v="5.7682000000000002"/>
    <n v="873257.98937112396"/>
    <n v="14"/>
    <n v="1"/>
    <n v="-13"/>
    <x v="1"/>
  </r>
  <r>
    <s v="Ana"/>
    <n v="20250026"/>
    <x v="1"/>
    <x v="1"/>
    <n v="9200940"/>
    <s v="AZAMARA JOURNEY"/>
    <s v="PORTO ROADWAY"/>
    <s v="TRANS TEC INTERNATIONAL SRL"/>
    <n v="25000114508"/>
    <s v="Cruze"/>
    <s v="ISS"/>
    <s v="KRUEGER"/>
    <s v="11425-1"/>
    <d v="2025-03-06T00:00:00"/>
    <s v="137/2025"/>
    <d v="2025-03-13T00:00:00"/>
    <n v="500"/>
    <n v="700"/>
    <s v="TON"/>
    <n v="346.04199999999997"/>
    <n v="353.95800000000003"/>
    <d v="2025-03-14T00:00:00"/>
    <x v="4"/>
    <d v="2025-03-28T00:00:00"/>
    <n v="161"/>
    <m/>
    <s v="11518-1"/>
    <d v="2025-03-17T00:00:00"/>
    <s v="11519-1"/>
    <d v="2025-03-17T00:00:00"/>
    <s v="25BR000490365-8"/>
    <s v="25ALS139474256"/>
    <d v="2025-03-19T00:00:00"/>
    <d v="2025-03-26T00:00:00"/>
    <d v="2025-03-26T00:00:00"/>
    <n v="20250026"/>
    <d v="2025-03-17T00:00:00"/>
    <n v="605.72"/>
    <n v="209604.56023999999"/>
    <n v="5.7412999999999998"/>
    <n v="1203402.6617059119"/>
    <n v="14"/>
    <n v="3"/>
    <n v="-11"/>
    <x v="1"/>
  </r>
  <r>
    <s v="Ana"/>
    <n v="20250027"/>
    <x v="0"/>
    <x v="1"/>
    <s v="9886225   "/>
    <s v="SILVER RAY"/>
    <s v="PORTO ROADWAY"/>
    <s v="TRANS TEC INTERNATIONAL SRL"/>
    <n v="25000067151"/>
    <s v="Cruze"/>
    <s v="COSTA AMAZONICA"/>
    <s v="KRUEGER"/>
    <s v="11426-1"/>
    <d v="2025-03-06T00:00:00"/>
    <s v="138/2025"/>
    <d v="2025-03-13T00:00:00"/>
    <n v="300"/>
    <n v="400"/>
    <s v="TON"/>
    <n v="298.44499999999999"/>
    <n v="101.55500000000001"/>
    <d v="2025-03-16T00:00:00"/>
    <x v="4"/>
    <d v="2025-03-30T00:00:00"/>
    <n v="162"/>
    <d v="2025-04-07T00:00:00"/>
    <s v="11517-1"/>
    <d v="2025-03-17T00:00:00"/>
    <s v="11644-1"/>
    <d v="2025-03-27T00:00:00"/>
    <s v="25BR000589757-0"/>
    <s v="25WQQ140468175"/>
    <d v="2025-04-02T00:00:00"/>
    <d v="2025-04-02T00:00:00"/>
    <d v="2025-04-02T00:00:00"/>
    <n v="20250027"/>
    <d v="2025-03-27T00:00:00"/>
    <n v="829.32"/>
    <n v="247506.4074"/>
    <n v="5.7291999999999996"/>
    <n v="1418013.7092760799"/>
    <n v="14"/>
    <n v="11"/>
    <n v="-3"/>
    <x v="1"/>
  </r>
  <r>
    <s v="Ana"/>
    <n v="20250028"/>
    <x v="1"/>
    <x v="1"/>
    <n v="9295036"/>
    <s v="CHEMTRANS TAURUS"/>
    <s v="PORTO ATEM"/>
    <s v="MINERVA BUNKERING PTE LIMITED"/>
    <n v="25000106874"/>
    <s v="Oil/Chemical Tanker"/>
    <s v="NORTH STAR"/>
    <s v="KRUEGER"/>
    <s v="11475-1"/>
    <d v="2025-03-12T00:00:00"/>
    <s v="157/2025"/>
    <d v="2025-03-24T00:00:00"/>
    <n v="800"/>
    <n v="850"/>
    <s v="TON"/>
    <n v="798.26400000000001"/>
    <n v="51.73599999999999"/>
    <d v="2025-03-25T00:00:00"/>
    <x v="4"/>
    <d v="2025-04-08T00:00:00"/>
    <n v="166"/>
    <d v="2025-04-07T00:00:00"/>
    <s v="11603-1"/>
    <d v="2025-03-26T00:00:00"/>
    <s v="11670-1"/>
    <d v="2025-03-31T00:00:00"/>
    <s v="25BR000610424-8"/>
    <s v="25IBP140674840"/>
    <d v="2025-04-04T00:00:00"/>
    <d v="2025-04-04T00:00:00"/>
    <d v="2025-04-04T00:00:00"/>
    <n v="20250028"/>
    <d v="2025-03-31T00:00:00"/>
    <n v="558"/>
    <n v="445431.31200000003"/>
    <n v="5.7653999999999996"/>
    <n v="2568089.6862047999"/>
    <n v="14"/>
    <n v="6"/>
    <n v="-8"/>
    <x v="1"/>
  </r>
  <r>
    <s v="Ana"/>
    <n v="20250029"/>
    <x v="1"/>
    <x v="0"/>
    <n v="9341794"/>
    <s v="TELLUS"/>
    <s v="FUNDEIO MANAUS"/>
    <s v="COMPANHIA DE NAVEGAÇÃO NORSUL "/>
    <n v="25000044232"/>
    <s v="Cement Carrier"/>
    <s v="COSTA SHIPPING"/>
    <s v="KRUEGER"/>
    <s v="11473-1"/>
    <d v="2025-03-12T00:00:00"/>
    <s v="146/2025"/>
    <d v="2025-03-18T00:00:00"/>
    <n v="370"/>
    <n v="400"/>
    <s v="TON"/>
    <n v="370.166"/>
    <n v="29.834000000000003"/>
    <d v="2025-03-20T00:00:00"/>
    <x v="4"/>
    <d v="2025-04-03T00:00:00"/>
    <n v="163"/>
    <m/>
    <s v="11605-1"/>
    <d v="2025-03-26T00:00:00"/>
    <s v="11604-1"/>
    <d v="2025-03-26T00:00:00"/>
    <s v="NA"/>
    <s v="NA"/>
    <s v="NA"/>
    <s v="NA"/>
    <s v="NA"/>
    <n v="20250029"/>
    <d v="2025-03-26T00:00:00"/>
    <n v="560"/>
    <n v="207292.96"/>
    <s v="NA"/>
    <n v="1500904.69"/>
    <n v="14"/>
    <n v="6"/>
    <n v="-8"/>
    <x v="1"/>
  </r>
  <r>
    <s v="Ana"/>
    <n v="20250030"/>
    <x v="1"/>
    <x v="0"/>
    <n v="9323120"/>
    <s v="SEAVEN GLORY"/>
    <s v="FUNDEIO REAM"/>
    <s v="COMPANHIA DE NAVEGAÇÃO NORSUL "/>
    <n v="25000063750"/>
    <s v="Oil/Chemical Tanker"/>
    <s v="COSTA SHIPPING"/>
    <s v="KRUEGER"/>
    <s v="11474-1"/>
    <d v="2025-03-12T00:00:00"/>
    <s v="154/2025"/>
    <d v="2025-03-21T00:00:00"/>
    <n v="160"/>
    <n v="210"/>
    <s v="TON"/>
    <n v="174.66300000000001"/>
    <n v="35.336999999999989"/>
    <d v="2025-03-23T00:00:00"/>
    <x v="4"/>
    <d v="2025-04-06T00:00:00"/>
    <n v="164"/>
    <m/>
    <m/>
    <m/>
    <m/>
    <m/>
    <s v="NA"/>
    <s v="NA"/>
    <s v="NA"/>
    <s v="NA"/>
    <s v="NA"/>
    <n v="20250030"/>
    <d v="1899-12-30T00:00:00"/>
    <n v="560"/>
    <n v="97811.28"/>
    <m/>
    <n v="0"/>
    <n v="14"/>
    <n v="-45739"/>
    <n v="-45753"/>
    <x v="1"/>
  </r>
  <r>
    <s v="Elton"/>
    <n v="20250031"/>
    <x v="1"/>
    <x v="1"/>
    <n v="9227285"/>
    <s v="MSC YANG R"/>
    <s v="SUPER TERMINAIS"/>
    <s v="FRATELLI COSULICH UNIPESSOAL S.A"/>
    <n v="25000072945"/>
    <s v="Oil/Chemical Tanker"/>
    <s v="MSC MEDITERRANEAN "/>
    <s v="KRUEGER"/>
    <s v="11579-1"/>
    <d v="2025-03-24T00:00:00"/>
    <s v="170/2025"/>
    <d v="2025-03-28T00:00:00"/>
    <n v="1000"/>
    <n v="1100"/>
    <s v="TON"/>
    <n v="1002.937"/>
    <n v="97.062999999999988"/>
    <d v="2025-03-30T00:00:00"/>
    <x v="4"/>
    <d v="2025-04-13T00:00:00"/>
    <n v="167"/>
    <d v="2025-04-07T00:00:00"/>
    <s v="11667-1"/>
    <d v="2025-03-31T00:00:00"/>
    <s v="11812-1"/>
    <d v="2025-04-08T00:00:00"/>
    <s v="25BR000643931-2"/>
    <s v="25ATK141009913"/>
    <d v="2025-04-10T00:00:00"/>
    <d v="2025-04-10T00:00:00"/>
    <d v="2025-04-10T00:00:00"/>
    <n v="20250031"/>
    <d v="2025-04-08T00:00:00"/>
    <n v="584"/>
    <n v="585715.20799999998"/>
    <n v="5.8871000000000002"/>
    <n v="3448164.0010167998"/>
    <n v="14"/>
    <n v="9"/>
    <n v="-5"/>
    <x v="1"/>
  </r>
  <r>
    <s v="Elton"/>
    <n v="20250032"/>
    <x v="0"/>
    <x v="1"/>
    <n v="9156515"/>
    <s v="VOLENDAM"/>
    <s v="ROADWAY"/>
    <s v="BUNKER ONE GULF OF MEXICO"/>
    <n v="25000114915"/>
    <s v="Oil/Chemical Tanker"/>
    <s v="ISS"/>
    <s v="KRUEGER"/>
    <s v="11527-1"/>
    <d v="2025-03-19T00:00:00"/>
    <s v="174/2025"/>
    <d v="2025-04-01T00:00:00"/>
    <n v="500"/>
    <n v="550"/>
    <s v="TON"/>
    <n v="550"/>
    <n v="0"/>
    <d v="2025-04-01T00:00:00"/>
    <x v="5"/>
    <d v="2025-04-15T00:00:00"/>
    <n v="168"/>
    <d v="2025-04-07T00:00:00"/>
    <s v="11737-1"/>
    <d v="2025-04-02T00:00:00"/>
    <s v="11741-2"/>
    <d v="2025-04-02T00:00:00"/>
    <s v="25BR000698463-9"/>
    <s v="25KXV141555233"/>
    <d v="2025-04-24T00:00:00"/>
    <d v="2025-04-24T00:00:00"/>
    <d v="2025-04-24T00:00:00"/>
    <n v="20250032"/>
    <d v="2025-04-02T00:00:00"/>
    <n v="811.32"/>
    <n v="446226"/>
    <n v="5.7045000000000003"/>
    <n v="2545496.2170000002"/>
    <n v="14"/>
    <n v="1"/>
    <n v="-13"/>
    <x v="1"/>
  </r>
  <r>
    <s v="Elton"/>
    <n v="20250033"/>
    <x v="0"/>
    <x v="1"/>
    <n v="9156515"/>
    <s v="VOLENDAM"/>
    <s v="ROADWAY"/>
    <s v="BUNKER ONE GULF OF MEXICO"/>
    <n v="25000114915"/>
    <s v="Oil/Chemical Tanker"/>
    <s v="ISS"/>
    <s v="KRUEGER"/>
    <s v="11710-1"/>
    <d v="2025-04-01T00:00:00"/>
    <s v="175/2025"/>
    <d v="2025-04-01T00:00:00"/>
    <n v="700"/>
    <n v="300"/>
    <s v="TON"/>
    <n v="185.465"/>
    <n v="114.535"/>
    <d v="2025-04-01T00:00:00"/>
    <x v="5"/>
    <d v="2025-04-15T00:00:00"/>
    <n v="168"/>
    <d v="2025-04-07T00:00:00"/>
    <s v="11738-1"/>
    <d v="2025-04-02T00:00:00"/>
    <s v="11739-1"/>
    <d v="2025-04-02T00:00:00"/>
    <s v="25BR000698387-0"/>
    <s v="25OVK141554474"/>
    <d v="2025-04-24T00:00:00"/>
    <d v="2025-04-24T00:00:00"/>
    <d v="2025-04-24T00:00:00"/>
    <n v="20250033"/>
    <d v="2025-04-02T00:00:00"/>
    <n v="811.32"/>
    <n v="150471.4638"/>
    <n v="5.7045000000000003"/>
    <n v="858364.46524709999"/>
    <n v="14"/>
    <n v="1"/>
    <n v="-13"/>
    <x v="1"/>
  </r>
  <r>
    <s v="Elton"/>
    <n v="20250034"/>
    <x v="0"/>
    <x v="1"/>
    <n v="11474866"/>
    <s v=" JOÃO PESSOA X"/>
    <s v="REFMAN"/>
    <s v="NAVEMAZONIA"/>
    <n v="25000155956"/>
    <s v="EMPURRADOR"/>
    <s v="NAVEMAZONIA"/>
    <s v="KRUEGER"/>
    <s v="11745-1"/>
    <d v="2025-04-02T00:00:00"/>
    <s v="183/2025"/>
    <d v="2025-04-03T00:00:00"/>
    <n v="127.185"/>
    <n v="127.185"/>
    <s v="TON"/>
    <n v="74.082999999999998"/>
    <n v="53.102000000000004"/>
    <d v="2025-04-03T00:00:00"/>
    <x v="5"/>
    <d v="2025-04-17T00:00:00"/>
    <n v="170"/>
    <d v="2025-04-07T00:00:00"/>
    <s v="11782-1"/>
    <d v="2025-04-04T00:00:00"/>
    <s v="11802-1"/>
    <d v="2025-04-07T00:00:00"/>
    <s v="25BR000644039-6"/>
    <s v=" 25LVQ141010997"/>
    <d v="2025-04-11T00:00:00"/>
    <d v="2025-04-11T00:00:00"/>
    <d v="2025-04-11T00:00:00"/>
    <n v="20250034"/>
    <d v="2025-04-07T00:00:00"/>
    <n v="1002.23"/>
    <n v="74248.205090000003"/>
    <n v="5.7770999999999999"/>
    <n v="428939.30562543904"/>
    <n v="14"/>
    <n v="4"/>
    <n v="-10"/>
    <x v="1"/>
  </r>
  <r>
    <s v="Elton"/>
    <n v="20250035"/>
    <x v="0"/>
    <x v="1"/>
    <n v="11474866"/>
    <s v="CURITIBA X"/>
    <s v="REFMAN"/>
    <s v="NAVEMAZONIA"/>
    <n v="25000155964"/>
    <s v="EMPURRADOR"/>
    <s v="NAVEMAZONIA"/>
    <s v="KRUEGER"/>
    <s v="11746-1"/>
    <d v="2025-04-02T00:00:00"/>
    <s v="182/2025"/>
    <d v="2025-04-03T00:00:00"/>
    <n v="75"/>
    <n v="75"/>
    <s v="TON"/>
    <n v="74"/>
    <n v="1"/>
    <d v="2025-04-03T00:00:00"/>
    <x v="5"/>
    <d v="2025-04-17T00:00:00"/>
    <n v="171"/>
    <d v="2025-04-07T00:00:00"/>
    <s v="1178-1"/>
    <d v="2025-04-04T00:00:00"/>
    <s v="11803-1"/>
    <d v="2025-04-07T00:00:00"/>
    <s v="25BR000644107-4"/>
    <s v="25QSF141011675"/>
    <d v="2025-04-11T00:00:00"/>
    <d v="2025-04-11T00:00:00"/>
    <d v="2025-04-11T00:00:00"/>
    <n v="20250035"/>
    <d v="2025-04-07T00:00:00"/>
    <n v="1002.23"/>
    <n v="74165.02"/>
    <n v="5.7770999999999999"/>
    <n v="428458.73704199999"/>
    <n v="14"/>
    <n v="4"/>
    <n v="-10"/>
    <x v="1"/>
  </r>
  <r>
    <s v="Elton"/>
    <n v="20250036"/>
    <x v="1"/>
    <x v="0"/>
    <n v="9341794"/>
    <s v="TELLUS"/>
    <s v="FUNDEIO"/>
    <s v="COMPANHIA DE NAVEGAÇÃO NORSUL "/>
    <n v="25000145012"/>
    <s v="Oil/Chemical Tanker"/>
    <s v="COSTA SHIPPING"/>
    <s v="KRUEGER"/>
    <s v="11822-1"/>
    <d v="2025-04-09T00:00:00"/>
    <s v="203/2025"/>
    <d v="2025-04-14T00:00:00"/>
    <n v="265"/>
    <n v="300"/>
    <s v="TON"/>
    <n v="261.37900000000002"/>
    <n v="38.620999999999981"/>
    <d v="2025-04-17T00:00:00"/>
    <x v="5"/>
    <d v="2025-05-01T00:00:00"/>
    <n v="173"/>
    <d v="2025-04-07T00:00:00"/>
    <s v="NA"/>
    <s v="NA"/>
    <s v="NA"/>
    <s v="NA"/>
    <s v="NA"/>
    <s v="NA"/>
    <s v="NA"/>
    <s v="NA"/>
    <s v="NA"/>
    <n v="20250036"/>
    <s v="NA"/>
    <n v="525"/>
    <n v="137223.97500000001"/>
    <s v="NA"/>
    <s v="NA"/>
    <n v="14"/>
    <e v="#VALUE!"/>
    <e v="#VALUE!"/>
    <x v="0"/>
  </r>
  <r>
    <s v="Elton"/>
    <n v="20250037"/>
    <x v="0"/>
    <x v="1"/>
    <n v="9817133"/>
    <s v="HANSEATIC"/>
    <s v="ROADWAY"/>
    <s v="BUNKER ONE (USA) INC"/>
    <n v="25000138784"/>
    <s v="Oil/Chemical Tanker"/>
    <s v="COSTA SHIPPING"/>
    <s v="KRUEGER"/>
    <s v="11832-1"/>
    <d v="2025-04-10T00:00:00"/>
    <s v="201/2025"/>
    <d v="2025-04-15T00:00:00"/>
    <n v="450"/>
    <n v="600"/>
    <s v="TON"/>
    <n v="401.80099999999999"/>
    <n v="198.19900000000001"/>
    <d v="2025-04-15T00:00:00"/>
    <x v="5"/>
    <d v="2025-04-29T00:00:00"/>
    <n v="172"/>
    <m/>
    <m/>
    <m/>
    <s v="12027-1"/>
    <d v="2025-04-30T00:00:00"/>
    <s v="25BR000779170-2"/>
    <s v="25JDG142362307"/>
    <d v="2025-04-30T00:00:00"/>
    <d v="2025-05-02T00:00:00"/>
    <d v="2025-05-02T00:00:00"/>
    <n v="20250037"/>
    <d v="2025-04-30T00:00:00"/>
    <n v="746.65"/>
    <n v="300004.71664999996"/>
    <n v="5.6460999999999997"/>
    <n v="1693856.6306775648"/>
    <n v="14"/>
    <n v="15"/>
    <n v="1"/>
    <x v="2"/>
  </r>
  <r>
    <s v="Elton"/>
    <n v="20250038"/>
    <x v="1"/>
    <x v="1"/>
    <n v="9968360"/>
    <s v="DUCHESS EMERALD"/>
    <s v="FUNDEIO ITA"/>
    <s v="CROSS OFFICE"/>
    <n v="25000185669"/>
    <s v="Oil/Chemical Tanker"/>
    <s v="AMAZONICA AGENCIA MARITIMA"/>
    <s v="KRUEGER"/>
    <s v="11965-1"/>
    <d v="2025-04-24T00:00:00"/>
    <s v="227/2025"/>
    <d v="2025-04-28T00:00:00"/>
    <n v="150"/>
    <n v="150"/>
    <s v="TON"/>
    <n v="115.396"/>
    <n v="34.603999999999999"/>
    <d v="2025-04-30T00:00:00"/>
    <x v="5"/>
    <d v="2025-05-14T00:00:00"/>
    <n v="174"/>
    <d v="2025-05-26T00:00:00"/>
    <m/>
    <m/>
    <s v="12242-1"/>
    <d v="2025-05-16T00:00:00"/>
    <s v="25BR000898545-4"/>
    <s v="25HHN143556059"/>
    <d v="2025-05-22T00:00:00"/>
    <d v="2025-05-22T00:00:00"/>
    <d v="2025-05-22T00:00:00"/>
    <n v="20250038"/>
    <d v="2025-05-16T00:00:00"/>
    <n v="591.42999999999995"/>
    <n v="68248.656279999996"/>
    <n v="5.6322000000000001"/>
    <n v="384390.081900216"/>
    <n v="14"/>
    <n v="16"/>
    <n v="2"/>
    <x v="2"/>
  </r>
  <r>
    <s v="Elton"/>
    <n v="20250039"/>
    <x v="1"/>
    <x v="1"/>
    <n v="9937555"/>
    <s v="TRUSTN TRADER"/>
    <s v="FUNDEIO ITA"/>
    <s v="CROSS OFFICE"/>
    <n v="25000185243"/>
    <s v="Oil/Chemical Tanker"/>
    <s v="AMAZONICA AGENCIA MARITIMA"/>
    <s v="KRUEGER"/>
    <s v="11992-1"/>
    <d v="2025-04-28T00:00:00"/>
    <s v="228/2025"/>
    <d v="2025-04-28T00:00:00"/>
    <n v="100"/>
    <n v="140"/>
    <s v="TON"/>
    <n v="100.321"/>
    <n v="39.679000000000002"/>
    <d v="2025-05-01T00:00:00"/>
    <x v="6"/>
    <d v="2025-05-15T00:00:00"/>
    <n v="175"/>
    <d v="2025-05-26T00:00:00"/>
    <m/>
    <m/>
    <s v="12243-1"/>
    <d v="2025-05-16T00:00:00"/>
    <s v="25BR000898755-4"/>
    <s v=" 25KBU143558159"/>
    <d v="2025-05-22T00:00:00"/>
    <d v="2025-05-22T00:00:00"/>
    <d v="2025-05-22T00:00:00"/>
    <n v="20250039"/>
    <d v="2025-05-16T00:00:00"/>
    <n v="565"/>
    <n v="56681.364999999998"/>
    <n v="5.6322000000000001"/>
    <n v="319240.78395299998"/>
    <n v="14"/>
    <n v="15"/>
    <n v="1"/>
    <x v="2"/>
  </r>
  <r>
    <s v="Ana"/>
    <n v="20250040"/>
    <x v="0"/>
    <x v="1"/>
    <n v="9817133"/>
    <s v="HANSEATIC NATURE"/>
    <s v="ROADWAY"/>
    <s v="BUNKER ONE (USA) INC"/>
    <n v="25000139047"/>
    <s v="Oil/Chemical Tanker"/>
    <s v="COSTA SHIPPING"/>
    <s v="KRUEGER"/>
    <s v="12012-1"/>
    <d v="2025-04-29T00:00:00"/>
    <s v="240/2025"/>
    <d v="2025-05-05T00:00:00"/>
    <n v="300"/>
    <n v="800"/>
    <s v="TON"/>
    <n v="300"/>
    <n v="500"/>
    <d v="2025-05-05T00:00:00"/>
    <x v="6"/>
    <d v="2025-05-19T00:00:00"/>
    <n v="176"/>
    <d v="2025-05-26T00:00:00"/>
    <m/>
    <m/>
    <s v="12153-1"/>
    <d v="2025-05-13T00:00:00"/>
    <s v="25BR000860647-0"/>
    <s v="25PFN143177074"/>
    <d v="2025-05-14T00:00:00"/>
    <d v="2025-05-14T00:00:00"/>
    <d v="2025-05-14T00:00:00"/>
    <n v="20250040"/>
    <d v="2025-05-13T00:00:00"/>
    <n v="746.65"/>
    <n v="223995"/>
    <n v="5.6816000000000004"/>
    <n v="1272649.9920000001"/>
    <n v="14"/>
    <n v="8"/>
    <n v="-6"/>
    <x v="1"/>
  </r>
  <r>
    <s v="Ana"/>
    <n v="20250041"/>
    <x v="1"/>
    <x v="1"/>
    <n v="9463592"/>
    <s v="AMFITRITI"/>
    <s v="FUNDEIO ITA"/>
    <s v="BUNKER ONE (USA) INC"/>
    <n v="25000163258"/>
    <s v="Oil/Chemical Tanker"/>
    <s v="COSTA SHIPPING"/>
    <s v="KRUEGER"/>
    <s v="12007-1"/>
    <d v="2025-04-28T00:00:00"/>
    <s v="244/2025"/>
    <d v="2025-05-06T00:00:00"/>
    <n v="120"/>
    <n v="150"/>
    <s v="TON"/>
    <n v="119.57899999999999"/>
    <n v="30.421000000000006"/>
    <d v="2025-05-08T00:00:00"/>
    <x v="6"/>
    <d v="2025-05-22T00:00:00"/>
    <n v="179"/>
    <d v="2025-05-26T00:00:00"/>
    <s v="12154-1"/>
    <d v="2025-05-13T00:00:00"/>
    <s v="12157-1"/>
    <d v="2025-05-13T00:00:00"/>
    <m/>
    <m/>
    <m/>
    <m/>
    <m/>
    <n v="20250041"/>
    <d v="2025-05-13T00:00:00"/>
    <m/>
    <n v="0"/>
    <m/>
    <n v="0"/>
    <n v="14"/>
    <n v="5"/>
    <n v="-9"/>
    <x v="1"/>
  </r>
  <r>
    <s v="Ana"/>
    <n v="20250042"/>
    <x v="0"/>
    <x v="1"/>
    <n v="9817133"/>
    <s v="HANSEATIC NATURE"/>
    <s v="ROADWAY"/>
    <s v="BUNKER ONE (USA) INC"/>
    <n v="25000139047"/>
    <s v="Oil/Chemical Tanker"/>
    <s v="COSTA SHIPPING"/>
    <s v="KRUEGER"/>
    <s v="12070-1"/>
    <d v="2025-05-05T00:00:00"/>
    <s v="242/2025"/>
    <d v="2025-05-06T00:00:00"/>
    <n v="100"/>
    <n v="100"/>
    <s v="TON"/>
    <n v="53"/>
    <n v="47"/>
    <d v="2025-05-06T00:00:00"/>
    <x v="6"/>
    <d v="2025-05-20T00:00:00"/>
    <n v="177"/>
    <d v="2025-05-26T00:00:00"/>
    <s v="12177-1"/>
    <d v="2025-05-13T00:00:00"/>
    <s v="12158-1"/>
    <d v="2025-05-13T00:00:00"/>
    <s v="25BR000872557-6"/>
    <s v="25GHH143296170"/>
    <d v="2025-05-15T00:00:00"/>
    <d v="2025-05-15T00:00:00"/>
    <d v="2025-05-15T00:00:00"/>
    <n v="20250042"/>
    <d v="2025-05-13T00:00:00"/>
    <n v="746.65"/>
    <n v="39572.449999999997"/>
    <n v="5.6816000000000004"/>
    <n v="224834.83192"/>
    <n v="14"/>
    <n v="7"/>
    <n v="-7"/>
    <x v="1"/>
  </r>
  <r>
    <s v="Ana"/>
    <n v="20250043"/>
    <x v="1"/>
    <x v="0"/>
    <n v="9341794"/>
    <s v="TELLUS"/>
    <s v="FUNDEIO ITA"/>
    <s v="COMPANHIA DE NAVEGAÇÃO NORSUL "/>
    <n v="25000190484"/>
    <s v="Oil/Chemical Tanker"/>
    <s v="COSTA SHIPPING"/>
    <s v="KRUEGER"/>
    <s v="12065-1"/>
    <d v="2025-05-05T00:00:00"/>
    <s v="246/2025"/>
    <d v="2025-05-06T00:00:00"/>
    <n v="320"/>
    <n v="400"/>
    <s v="TON"/>
    <n v="323.78100000000001"/>
    <n v="76.218999999999994"/>
    <d v="2025-05-07T00:00:00"/>
    <x v="6"/>
    <d v="2025-05-21T00:00:00"/>
    <n v="178"/>
    <m/>
    <m/>
    <m/>
    <m/>
    <m/>
    <s v="NA"/>
    <s v="NA"/>
    <s v="NA"/>
    <s v="NA"/>
    <s v="NA"/>
    <n v="20250043"/>
    <d v="1899-12-30T00:00:00"/>
    <m/>
    <n v="0"/>
    <s v="NA"/>
    <m/>
    <n v="14"/>
    <n v="-45784"/>
    <n v="-45798"/>
    <x v="1"/>
  </r>
  <r>
    <s v="Ana"/>
    <n v="20250044"/>
    <x v="1"/>
    <x v="1"/>
    <n v="9223174"/>
    <s v="PRETTY LADY"/>
    <s v="FUNDEIO ITA"/>
    <s v="BUNKER ONE (USA) INC"/>
    <n v="25000090641"/>
    <s v="Oil/Chemical Tanker"/>
    <s v="NORTH STAR"/>
    <s v="KRUEGER"/>
    <s v="12081-1"/>
    <d v="2025-05-06T00:00:00"/>
    <s v="248/2025"/>
    <d v="2025-05-07T00:00:00"/>
    <n v="80"/>
    <n v="120"/>
    <s v="TON"/>
    <n v="79.722999999999999"/>
    <n v="40.277000000000001"/>
    <d v="2025-05-08T00:00:00"/>
    <x v="6"/>
    <d v="2025-05-22T00:00:00"/>
    <n v="180"/>
    <d v="2025-05-26T00:00:00"/>
    <s v="12155-1"/>
    <d v="2025-05-13T00:00:00"/>
    <s v="12162-1"/>
    <d v="2025-05-13T00:00:00"/>
    <m/>
    <m/>
    <m/>
    <m/>
    <m/>
    <n v="20250044"/>
    <d v="2025-05-13T00:00:00"/>
    <m/>
    <n v="0"/>
    <m/>
    <n v="0"/>
    <n v="14"/>
    <n v="5"/>
    <n v="-9"/>
    <x v="1"/>
  </r>
  <r>
    <s v="Ana"/>
    <n v="20250045"/>
    <x v="1"/>
    <x v="1"/>
    <n v="9298313"/>
    <s v="VS PROSPERA"/>
    <s v="FUNDEIO MANAUS"/>
    <s v="MINERVA BUNKERING PTE LIMITED"/>
    <n v="25000204078"/>
    <s v="Oil/Chemical Tanker"/>
    <s v="NORTH STAR"/>
    <s v="KRUEGER"/>
    <s v="12084-1"/>
    <d v="2025-05-07T00:00:00"/>
    <s v="257/2025"/>
    <d v="2025-05-09T00:00:00"/>
    <n v="970"/>
    <n v="1100"/>
    <s v="TON"/>
    <n v="945.49"/>
    <n v="154.51"/>
    <d v="2025-05-11T00:00:00"/>
    <x v="6"/>
    <d v="2025-05-25T00:00:00"/>
    <n v="181"/>
    <d v="2025-05-26T00:00:00"/>
    <s v="12156-1"/>
    <d v="2025-05-13T00:00:00"/>
    <s v="12168-1"/>
    <d v="2025-05-13T00:00:00"/>
    <s v="25BR000919308-0"/>
    <s v="25ZIG143763682"/>
    <d v="2025-05-22T00:00:00"/>
    <d v="2025-05-22T00:00:00"/>
    <d v="2025-05-22T00:00:00"/>
    <n v="20250045"/>
    <d v="2025-05-13T00:00:00"/>
    <n v="528.83000000000004"/>
    <n v="500003.47670000006"/>
    <n v="5.6816000000000004"/>
    <n v="2840819.7532187207"/>
    <n v="14"/>
    <n v="2"/>
    <n v="-12"/>
    <x v="1"/>
  </r>
  <r>
    <s v="Ana"/>
    <n v="20250046"/>
    <x v="0"/>
    <x v="1"/>
    <n v="9298313"/>
    <s v="VS PROSPERA"/>
    <s v="FUNDEIO MANAUS"/>
    <s v="MINERVA BUNKERING PTE LIMITED"/>
    <n v="25000204078"/>
    <s v="Oil/Chemical Tanker"/>
    <s v="NORTH STAR"/>
    <s v="KRUEGER"/>
    <s v="12083-1"/>
    <d v="2025-05-07T00:00:00"/>
    <s v="255/2025"/>
    <d v="2025-05-08T00:00:00"/>
    <n v="175"/>
    <n v="200"/>
    <s v="TON"/>
    <n v="159.63300000000001"/>
    <n v="40.36699999999999"/>
    <d v="2025-05-12T00:00:00"/>
    <x v="6"/>
    <d v="2025-05-26T00:00:00"/>
    <n v="182"/>
    <d v="2025-05-26T00:00:00"/>
    <s v="12174-1"/>
    <d v="2025-05-13T00:00:00"/>
    <s v="12180-1"/>
    <d v="2025-05-13T00:00:00"/>
    <s v="25BR000919357-8"/>
    <s v="25SOG143764174"/>
    <d v="2025-05-22T00:00:00"/>
    <d v="2025-05-22T00:00:00"/>
    <d v="2025-05-22T00:00:00"/>
    <n v="20250046"/>
    <d v="2025-05-13T00:00:00"/>
    <n v="748.04"/>
    <n v="119411.86932"/>
    <n v="5.6816000000000004"/>
    <n v="678450.47672851209"/>
    <n v="14"/>
    <n v="1"/>
    <n v="-13"/>
    <x v="1"/>
  </r>
  <r>
    <s v="Elton"/>
    <n v="20250047"/>
    <x v="0"/>
    <x v="1"/>
    <n v="11473959"/>
    <s v="CUIABÁ X"/>
    <s v="PORTO DE MANAUS"/>
    <s v="NAVEMAZONIA"/>
    <n v="25000222319"/>
    <s v="Oil/Chemical Tanker"/>
    <s v="NAVEMAZONIA"/>
    <s v="KRUEGER"/>
    <s v="12135-1"/>
    <d v="2025-05-12T00:00:00"/>
    <s v="263/2025"/>
    <d v="2025-05-13T00:00:00"/>
    <n v="110"/>
    <n v="150"/>
    <s v="TON"/>
    <n v="150"/>
    <n v="0"/>
    <d v="2025-05-20T00:00:00"/>
    <x v="6"/>
    <d v="2025-06-03T00:00:00"/>
    <n v="184"/>
    <d v="2025-05-26T00:00:00"/>
    <m/>
    <m/>
    <s v="12358-1"/>
    <d v="2025-05-26T00:00:00"/>
    <s v="25BR000975986-5"/>
    <s v="25FAD144330461"/>
    <d v="2025-05-29T00:00:00"/>
    <d v="2025-05-29T00:00:00"/>
    <d v="2025-05-29T00:00:00"/>
    <n v="20250047"/>
    <d v="2025-05-26T00:00:00"/>
    <n v="777.93"/>
    <n v="116689.49999999999"/>
    <n v="5.6925999999999997"/>
    <n v="664266.64769999986"/>
    <n v="14"/>
    <n v="6"/>
    <n v="-8"/>
    <x v="1"/>
  </r>
  <r>
    <s v="Elton"/>
    <n v="20250048"/>
    <x v="0"/>
    <x v="1"/>
    <n v="11475188"/>
    <s v="CAMPO GRANDE X"/>
    <s v="PORTO DE MANAUS"/>
    <s v="NAVEMAZONIA"/>
    <n v="25000222300"/>
    <s v="Oil/Chemical Tanker"/>
    <s v="NAVEMAZONIA"/>
    <s v="KRUEGER"/>
    <s v="12136-1"/>
    <d v="2025-05-12T00:00:00"/>
    <m/>
    <m/>
    <m/>
    <m/>
    <m/>
    <m/>
    <n v="0"/>
    <m/>
    <x v="3"/>
    <d v="1900-01-13T00:00:00"/>
    <m/>
    <m/>
    <m/>
    <m/>
    <m/>
    <m/>
    <m/>
    <m/>
    <m/>
    <m/>
    <m/>
    <n v="20250048"/>
    <d v="1899-12-30T00:00:00"/>
    <m/>
    <n v="0"/>
    <m/>
    <n v="0"/>
    <n v="14"/>
    <n v="0"/>
    <n v="-14"/>
    <x v="1"/>
  </r>
  <r>
    <s v="Elton"/>
    <n v="20250049"/>
    <x v="0"/>
    <x v="1"/>
    <n v="11436476"/>
    <s v="BRAVO 5"/>
    <s v="REFINARIA"/>
    <s v="L M NAVEGACAO E TRANSPORTE LTDA"/>
    <n v="25000211252"/>
    <s v="Oil/Chemical Tanker"/>
    <s v="L M NAVEGACAO E TRANSPORTE LTDA"/>
    <s v="KRUEGER"/>
    <s v="12140-1"/>
    <d v="2025-05-12T00:00:00"/>
    <m/>
    <m/>
    <m/>
    <m/>
    <m/>
    <m/>
    <n v="0"/>
    <m/>
    <x v="3"/>
    <d v="1900-01-13T00:00:00"/>
    <m/>
    <m/>
    <m/>
    <m/>
    <m/>
    <m/>
    <m/>
    <m/>
    <m/>
    <m/>
    <m/>
    <n v="20250049"/>
    <d v="1899-12-30T00:00:00"/>
    <m/>
    <n v="0"/>
    <m/>
    <n v="0"/>
    <n v="14"/>
    <n v="0"/>
    <n v="-14"/>
    <x v="1"/>
  </r>
  <r>
    <s v="Elton"/>
    <n v="20250050"/>
    <x v="0"/>
    <x v="1"/>
    <n v="11481889"/>
    <s v="BRAVO 13"/>
    <s v="REFINARIA"/>
    <s v="L M NAVEGACAO E TRANSPORTE LTDA"/>
    <n v="25000196830"/>
    <s v="Oil/Chemical Tanker"/>
    <s v="L M NAVEGACAO E TRANSPORTE LTDA"/>
    <s v="KRUEGER"/>
    <s v="12144-1"/>
    <d v="2025-05-10T00:00:00"/>
    <s v="261/2025"/>
    <d v="2025-05-13T00:00:00"/>
    <n v="150"/>
    <n v="200"/>
    <s v="TON"/>
    <n v="125.06100000000001"/>
    <n v="74.938999999999993"/>
    <d v="2025-05-16T00:00:00"/>
    <x v="6"/>
    <d v="2025-05-30T00:00:00"/>
    <n v="183"/>
    <d v="2025-05-26T00:00:00"/>
    <m/>
    <m/>
    <s v="12356-1"/>
    <d v="2025-05-26T00:00:00"/>
    <s v="25BR000961631-2"/>
    <s v="25NVY144186913"/>
    <d v="2025-05-29T00:00:00"/>
    <d v="2025-05-29T00:00:00"/>
    <d v="2025-05-29T00:00:00"/>
    <n v="20250050"/>
    <d v="2025-05-26T00:00:00"/>
    <n v="1016.88"/>
    <n v="127172.02968000001"/>
    <n v="5.6925999999999997"/>
    <n v="723939.49615636794"/>
    <n v="14"/>
    <n v="10"/>
    <n v="-4"/>
    <x v="1"/>
  </r>
  <r>
    <s v="Elton"/>
    <n v="20250051"/>
    <x v="0"/>
    <x v="1"/>
    <n v="11473959"/>
    <s v="CUIABÁ X"/>
    <s v="PORTO DE MANAUS"/>
    <s v="NAVEMAZONIA"/>
    <n v="25000222319"/>
    <s v="Oil/Chemical Tanker"/>
    <s v="NAVEMAZONIA"/>
    <s v="KRUEGER"/>
    <s v="12257-1"/>
    <d v="2025-05-19T00:00:00"/>
    <s v="279/2025"/>
    <d v="2025-05-19T00:00:00"/>
    <n v="190"/>
    <n v="200"/>
    <s v="TON"/>
    <n v="8.5410000000000004"/>
    <n v="191.459"/>
    <d v="2025-05-20T00:00:00"/>
    <x v="6"/>
    <d v="2025-06-03T00:00:00"/>
    <n v="185"/>
    <d v="2025-05-26T00:00:00"/>
    <m/>
    <m/>
    <s v="12444-1"/>
    <d v="2025-06-03T00:00:00"/>
    <s v="25BR001011194-6"/>
    <s v="25OHR144682546"/>
    <d v="2025-06-04T00:00:00"/>
    <d v="2025-06-04T00:00:00"/>
    <d v="2025-06-04T00:00:00"/>
    <n v="20250051"/>
    <d v="2025-06-03T00:00:00"/>
    <n v="777.93"/>
    <n v="6644.3001299999996"/>
    <n v="5.6931000000000003"/>
    <n v="37826.665070103001"/>
    <n v="14"/>
    <n v="14"/>
    <n v="0"/>
    <x v="1"/>
  </r>
  <r>
    <s v="Elton"/>
    <n v="20250052"/>
    <x v="1"/>
    <x v="0"/>
    <n v="9596870"/>
    <s v="JORGE AMADO"/>
    <s v="PORTO DE MANAUS"/>
    <s v="PETROLEO BRASILEIRO S/A"/>
    <n v="25000241151"/>
    <s v="Oil/Chemical Tanker"/>
    <s v="WILHELMSEN"/>
    <s v="KRUEGER"/>
    <s v="12275-1"/>
    <d v="2025-05-23T00:00:00"/>
    <s v="290/2025"/>
    <d v="2025-05-23T00:00:00"/>
    <n v="250"/>
    <n v="300"/>
    <s v="TON"/>
    <n v="289.92"/>
    <n v="10.079999999999984"/>
    <d v="2025-05-24T00:00:00"/>
    <x v="6"/>
    <d v="2025-06-07T00:00:00"/>
    <n v="186"/>
    <m/>
    <s v="NA"/>
    <s v="NA"/>
    <s v="NA"/>
    <s v="NA"/>
    <s v="NA"/>
    <s v="NA"/>
    <s v="NA"/>
    <s v="NA"/>
    <s v="NA"/>
    <n v="20250052"/>
    <s v="NA"/>
    <n v="572.41999999999996"/>
    <n v="165956.00639999998"/>
    <s v="NA"/>
    <s v="NA"/>
    <n v="14"/>
    <e v="#VALUE!"/>
    <e v="#VALUE!"/>
    <x v="0"/>
  </r>
  <r>
    <s v="Elton"/>
    <n v="20250053"/>
    <x v="0"/>
    <x v="1"/>
    <n v="9986831"/>
    <s v="ASPHALT SONATA"/>
    <s v="REFMAN"/>
    <s v="MINERVA BUNKERING PTE LIMITED"/>
    <n v="25000229771"/>
    <s v="Oil/Chemical Tanker"/>
    <s v="NORTH STAR"/>
    <s v="KRUEGER"/>
    <s v="12364-1"/>
    <d v="2025-05-26T00:00:00"/>
    <s v="293/2025"/>
    <d v="2025-05-27T00:00:00"/>
    <n v="120"/>
    <n v="150"/>
    <s v="TON"/>
    <n v="118.7"/>
    <n v="31.299999999999997"/>
    <d v="2025-05-31T00:00:00"/>
    <x v="6"/>
    <d v="2025-06-14T00:00:00"/>
    <n v="187"/>
    <m/>
    <m/>
    <m/>
    <s v="12453-1"/>
    <d v="2025-06-04T00:00:00"/>
    <s v="25BR001078601-3"/>
    <s v="25GYS145356618"/>
    <d v="2025-06-13T00:00:00"/>
    <d v="2025-06-13T00:00:00"/>
    <d v="2025-06-13T00:00:00"/>
    <n v="20250053"/>
    <d v="2025-06-04T00:00:00"/>
    <n v="765.54"/>
    <n v="90869.597999999998"/>
    <n v="5.6688000000000001"/>
    <n v="515121.57714239997"/>
    <n v="14"/>
    <n v="4"/>
    <n v="-10"/>
    <x v="1"/>
  </r>
  <r>
    <s v="Elton"/>
    <n v="20250054"/>
    <x v="0"/>
    <x v="1"/>
    <n v="9428425"/>
    <s v="M/V FAGELGRACHT"/>
    <s v="SUPER TERMINAIS"/>
    <s v="MINERVA BUNKERING PTE LIMITED"/>
    <n v="25000247389"/>
    <s v="Oil/Chemical Tanker"/>
    <s v="ISS"/>
    <s v="KRUEGER"/>
    <s v="12670-1"/>
    <d v="2025-06-23T00:00:00"/>
    <s v="336/2025"/>
    <d v="2025-06-27T00:00:00"/>
    <n v="100"/>
    <n v="150"/>
    <s v="TON"/>
    <n v="100.63200000000001"/>
    <n v="49.367999999999995"/>
    <d v="2025-06-28T00:00:00"/>
    <x v="7"/>
    <d v="2025-07-12T00:00:00"/>
    <n v="188"/>
    <m/>
    <s v="12759-1"/>
    <d v="2025-06-30T00:00:00"/>
    <s v="12758-1"/>
    <d v="2025-06-30T00:00:00"/>
    <s v="25BR001219229-3"/>
    <s v="25JLG146762890"/>
    <d v="2025-07-08T00:00:00"/>
    <d v="2025-07-08T00:00:00"/>
    <d v="2025-07-08T00:00:00"/>
    <n v="20250054"/>
    <d v="2025-06-30T00:00:00"/>
    <n v="964.68"/>
    <n v="97077.677760000006"/>
    <n v="5.4752999999999998"/>
    <n v="531529.40903932799"/>
    <n v="14"/>
    <n v="2"/>
    <n v="-12"/>
    <x v="1"/>
  </r>
  <r>
    <s v="Elton"/>
    <n v="20250055"/>
    <x v="0"/>
    <x v="1"/>
    <n v="9735945"/>
    <s v="ORION"/>
    <s v="PORTO DE MANAUS"/>
    <s v="Alterna Energy Pte. Ltd"/>
    <n v="25000308418"/>
    <s v="Oil/Chemical Tanker"/>
    <s v="BRZILIAN PORT AGENTS"/>
    <s v="BRAXCOM"/>
    <s v="12681-1"/>
    <d v="2025-06-24T00:00:00"/>
    <s v="339/2025"/>
    <d v="2025-06-27T00:00:00"/>
    <n v="150"/>
    <n v="200"/>
    <s v="TON"/>
    <n v="144.489"/>
    <n v="55.510999999999996"/>
    <d v="2025-06-30T00:00:00"/>
    <x v="7"/>
    <d v="2025-07-14T00:00:00"/>
    <n v="189"/>
    <m/>
    <m/>
    <m/>
    <s v="12897-1"/>
    <d v="2025-07-09T00:00:00"/>
    <s v="25BR001252491-1"/>
    <s v="25YXZ147095510"/>
    <d v="2025-07-10T00:00:00"/>
    <d v="2025-07-10T00:00:00"/>
    <d v="2025-07-10T00:00:00"/>
    <n v="20250055"/>
    <d v="2025-07-09T00:00:00"/>
    <n v="937.03"/>
    <n v="135390.52767000001"/>
    <n v="5.4565000000000001"/>
    <n v="738758.41423135507"/>
    <n v="14"/>
    <n v="9"/>
    <n v="-5"/>
    <x v="1"/>
  </r>
  <r>
    <s v="Elton"/>
    <n v="20250056"/>
    <x v="0"/>
    <x v="1"/>
    <n v="11474866"/>
    <s v="CURITIBA X "/>
    <s v="PORTO DE MANAUS"/>
    <s v="NAVEMAZONIA"/>
    <n v="25000310072"/>
    <s v="Oil/Chemical Tanker"/>
    <s v="NAVEMAZONIA"/>
    <s v="BRAXCOM"/>
    <s v="12746-1"/>
    <d v="2025-06-30T00:00:00"/>
    <s v="340/2025"/>
    <d v="2025-06-30T00:00:00"/>
    <n v="90"/>
    <n v="150"/>
    <s v="TON"/>
    <n v="90.429000000000002"/>
    <n v="59.570999999999998"/>
    <d v="2025-07-01T00:00:00"/>
    <x v="8"/>
    <d v="2025-07-15T00:00:00"/>
    <n v="190"/>
    <m/>
    <m/>
    <m/>
    <s v="12842-1"/>
    <d v="2025-07-04T00:00:00"/>
    <s v="25BR001240016-3"/>
    <s v="25NQC146970760"/>
    <d v="2025-07-09T00:00:00"/>
    <d v="2025-07-09T00:00:00"/>
    <d v="2025-07-09T00:00:00"/>
    <n v="20250056"/>
    <d v="2025-07-04T00:00:00"/>
    <n v="918.09"/>
    <n v="83021.960610000009"/>
    <n v="5.4202000000000004"/>
    <n v="449995.6308983221"/>
    <n v="14"/>
    <n v="3"/>
    <n v="-11"/>
    <x v="1"/>
  </r>
  <r>
    <s v="Elton"/>
    <n v="20250057"/>
    <x v="0"/>
    <x v="1"/>
    <n v="9577886"/>
    <s v="DISCOVERER"/>
    <s v="PORTO DE MANAUS"/>
    <s v="FRATELLI COSULICH UNIPESSOAL S.A"/>
    <n v="25000320981"/>
    <s v="Oil/Chemical Tanker"/>
    <s v="BRZILIAN PORT AGENTS"/>
    <s v="BRAXCOM"/>
    <s v="12829-1"/>
    <d v="2025-07-04T00:00:00"/>
    <s v="347/2025"/>
    <d v="2025-07-04T00:00:00"/>
    <n v="100"/>
    <n v="200"/>
    <s v="TON"/>
    <n v="104.22"/>
    <n v="95.78"/>
    <d v="2025-07-09T00:00:00"/>
    <x v="8"/>
    <d v="2025-07-23T00:00:00"/>
    <n v="191"/>
    <m/>
    <s v="12964-1"/>
    <d v="2025-07-14T00:00:00"/>
    <s v="12963-1"/>
    <d v="2025-04-14T00:00:00"/>
    <s v="25BR001300315-0"/>
    <s v="25BTW147573756"/>
    <d v="2025-07-17T00:00:00"/>
    <d v="2025-07-17T00:00:00"/>
    <d v="2025-07-17T00:00:00"/>
    <n v="20250057"/>
    <d v="2025-04-14T00:00:00"/>
    <n v="964"/>
    <n v="100468.08"/>
    <n v="5.5716000000000001"/>
    <n v="559767.95452799997"/>
    <n v="14"/>
    <n v="-86"/>
    <n v="-100"/>
    <x v="1"/>
  </r>
  <r>
    <s v="Elton"/>
    <n v="20250058"/>
    <x v="0"/>
    <x v="0"/>
    <n v="9341794"/>
    <s v="TELLUS"/>
    <s v="PORTO DE MANAUS"/>
    <s v="COMPANHIA  DE NAVEGAÇÃO NORSUL"/>
    <n v="25000292686"/>
    <s v="Oil/Chemical Tanker"/>
    <s v="COSTA SHIPPING"/>
    <s v="BRAXCOM"/>
    <s v="12857-1"/>
    <d v="2025-07-07T00:00:00"/>
    <s v="356/2025"/>
    <d v="2025-07-09T00:00:00"/>
    <n v="65"/>
    <n v="100"/>
    <s v="TON"/>
    <m/>
    <n v="100"/>
    <m/>
    <x v="3"/>
    <d v="1900-01-13T00:00:00"/>
    <m/>
    <m/>
    <m/>
    <m/>
    <m/>
    <m/>
    <m/>
    <m/>
    <m/>
    <m/>
    <m/>
    <n v="20250058"/>
    <d v="1899-12-30T00:00:00"/>
    <m/>
    <n v="0"/>
    <m/>
    <n v="0"/>
    <n v="14"/>
    <n v="0"/>
    <n v="-14"/>
    <x v="1"/>
  </r>
  <r>
    <s v="Elton"/>
    <n v="20250059"/>
    <x v="1"/>
    <x v="0"/>
    <n v="9341794"/>
    <s v="TELLUS"/>
    <s v="PORTO DE MANAUS"/>
    <s v="COMPANHIA  DE NAVEGAÇÃO NORSUL"/>
    <n v="25000292686"/>
    <s v="Oil/Chemical Tanker"/>
    <s v="COSTA SHIPPING"/>
    <s v="BRAXCOM"/>
    <s v="12844-1"/>
    <d v="2025-07-07T00:00:00"/>
    <s v="355/2025"/>
    <d v="2025-07-09T00:00:00"/>
    <n v="260"/>
    <n v="500"/>
    <s v="TON"/>
    <n v="250.81800000000001"/>
    <n v="249.18199999999999"/>
    <d v="2025-07-13T00:00:00"/>
    <x v="8"/>
    <d v="2025-07-27T00:00:00"/>
    <n v="193"/>
    <m/>
    <m/>
    <m/>
    <s v="NA"/>
    <s v="NA"/>
    <s v="NA"/>
    <s v="NA"/>
    <s v="NA"/>
    <s v="NA"/>
    <s v="NA"/>
    <n v="20250059"/>
    <s v="NA"/>
    <n v="582"/>
    <n v="145976.076"/>
    <s v="NA"/>
    <e v="#VALUE!"/>
    <n v="14"/>
    <e v="#VALUE!"/>
    <e v="#VALUE!"/>
    <x v="0"/>
  </r>
  <r>
    <s v="Elton"/>
    <n v="20250060"/>
    <x v="0"/>
    <x v="1"/>
    <s v="0011441194 "/>
    <s v="CANADÁ X"/>
    <s v="PORTO DE MANAUS"/>
    <s v="NAVEMAZONIA"/>
    <n v="25000331347"/>
    <s v="Oil/Chemical Tanker"/>
    <s v="NAVEMAZONIA"/>
    <s v="BRAXCOM"/>
    <s v="12914-1"/>
    <d v="2025-07-10T00:00:00"/>
    <s v="360/2025"/>
    <d v="2025-07-11T00:00:00"/>
    <n v="90"/>
    <n v="150"/>
    <s v="TON"/>
    <n v="90.429000000000002"/>
    <n v="59.570999999999998"/>
    <d v="2025-07-11T00:00:00"/>
    <x v="8"/>
    <d v="2025-07-25T00:00:00"/>
    <n v="195"/>
    <m/>
    <m/>
    <m/>
    <m/>
    <m/>
    <m/>
    <m/>
    <m/>
    <m/>
    <m/>
    <n v="20250060"/>
    <d v="1899-12-30T00:00:00"/>
    <m/>
    <n v="0"/>
    <m/>
    <n v="0"/>
    <n v="14"/>
    <n v="-45849"/>
    <n v="-45863"/>
    <x v="1"/>
  </r>
  <r>
    <s v="Elton"/>
    <n v="20250061"/>
    <x v="1"/>
    <x v="1"/>
    <n v="9318008"/>
    <s v="MINERVA VASO"/>
    <s v="REFINARIA"/>
    <s v="MINERVA MARINE"/>
    <n v="25000304145"/>
    <s v="Oil/Chemical Tanker"/>
    <s v="NORTH STAR"/>
    <s v="BRAXCOM"/>
    <s v="12924-1"/>
    <d v="2025-07-11T00:00:00"/>
    <s v="363/2025"/>
    <d v="2025-07-11T00:00:00"/>
    <n v="200"/>
    <n v="250"/>
    <s v="TON"/>
    <n v="199.607"/>
    <n v="50.393000000000001"/>
    <d v="2025-07-12T00:00:00"/>
    <x v="8"/>
    <d v="2025-07-26T00:00:00"/>
    <m/>
    <m/>
    <m/>
    <m/>
    <m/>
    <m/>
    <m/>
    <m/>
    <m/>
    <m/>
    <m/>
    <n v="20250061"/>
    <d v="1899-12-30T00:00:00"/>
    <m/>
    <n v="0"/>
    <m/>
    <n v="0"/>
    <n v="14"/>
    <n v="-45850"/>
    <n v="-45864"/>
    <x v="1"/>
  </r>
  <r>
    <s v="Elton"/>
    <n v="20250062"/>
    <x v="0"/>
    <x v="1"/>
    <n v="11475617"/>
    <s v="M CRISTINO"/>
    <s v="PORTO DE MANAUS"/>
    <s v="Transportadora Bons Amigos"/>
    <n v="25000334583"/>
    <s v="Oil/Chemical Tanker"/>
    <s v="Transportadora Bons Amigos"/>
    <s v="BRAXCOM"/>
    <s v="12947-1"/>
    <d v="2025-07-14T00:00:00"/>
    <s v="365/2025"/>
    <d v="2025-07-14T00:00:00"/>
    <n v="80"/>
    <n v="110"/>
    <s v="TON"/>
    <m/>
    <n v="110"/>
    <d v="2025-07-21T00:00:00"/>
    <x v="8"/>
    <d v="2025-08-04T00:00:00"/>
    <m/>
    <m/>
    <m/>
    <m/>
    <m/>
    <m/>
    <m/>
    <m/>
    <m/>
    <m/>
    <m/>
    <n v="20250062"/>
    <d v="1899-12-30T00:00:00"/>
    <m/>
    <n v="0"/>
    <m/>
    <n v="0"/>
    <n v="14"/>
    <n v="-45859"/>
    <n v="-45873"/>
    <x v="1"/>
  </r>
  <r>
    <s v="Elton"/>
    <n v="20250063"/>
    <x v="1"/>
    <x v="1"/>
    <n v="9352597"/>
    <s v="LILA ACE"/>
    <s v="REFINARIA"/>
    <s v="BUNKER ONE (USA) INC"/>
    <n v="25000320094"/>
    <s v="Oil/Chemical Tanker"/>
    <s v="ISS"/>
    <s v="BRAXCOM"/>
    <s v="12989-1"/>
    <d v="2025-07-15T00:00:00"/>
    <s v="370/2025"/>
    <d v="2025-07-16T00:00:00"/>
    <n v="170"/>
    <n v="250"/>
    <s v="TON"/>
    <n v="165.89400000000001"/>
    <n v="84.105999999999995"/>
    <d v="2025-07-23T00:00:00"/>
    <x v="8"/>
    <d v="2025-08-06T00:00:00"/>
    <n v="197"/>
    <m/>
    <m/>
    <m/>
    <m/>
    <m/>
    <m/>
    <m/>
    <m/>
    <m/>
    <m/>
    <n v="20250063"/>
    <d v="1899-12-30T00:00:00"/>
    <m/>
    <n v="0"/>
    <m/>
    <n v="0"/>
    <n v="14"/>
    <n v="-45861"/>
    <n v="-45875"/>
    <x v="1"/>
  </r>
  <r>
    <s v="Elton"/>
    <n v="20250064"/>
    <x v="0"/>
    <x v="1"/>
    <n v="11475188"/>
    <s v="CAMPO GRANDE X"/>
    <s v="PORTO DE MANAUS"/>
    <s v="Navemazonia Navegacao LTDA"/>
    <n v="25000349262"/>
    <s v="Oil/Chemical Tanker"/>
    <s v="NAVEMAZONIA"/>
    <s v="BRAXCOM"/>
    <s v="13059-1"/>
    <d v="2025-07-21T00:00:00"/>
    <s v="375/2025"/>
    <d v="2025-07-22T00:00:00"/>
    <n v="100"/>
    <n v="150"/>
    <s v="TON"/>
    <n v="81.786000000000001"/>
    <n v="68.213999999999999"/>
    <d v="2025-07-22T00:00:00"/>
    <x v="8"/>
    <d v="2025-08-05T00:00:00"/>
    <n v="198"/>
    <m/>
    <m/>
    <m/>
    <m/>
    <m/>
    <m/>
    <m/>
    <m/>
    <m/>
    <m/>
    <n v="20250064"/>
    <d v="1899-12-30T00:00:00"/>
    <m/>
    <n v="0"/>
    <m/>
    <n v="0"/>
    <n v="14"/>
    <n v="-45860"/>
    <n v="-45874"/>
    <x v="1"/>
  </r>
  <r>
    <s v="Elton"/>
    <n v="20250065"/>
    <x v="1"/>
    <x v="1"/>
    <n v="9450765"/>
    <s v="ORIENT POWER"/>
    <s v="NOVO REMANSO"/>
    <s v="MINERVA BUNKERING PTE LIMITED"/>
    <n v="25000351062"/>
    <s v="Oil/Chemical Tanker"/>
    <s v="WAYPOINT"/>
    <s v="BRAXCOM"/>
    <s v="13062-1"/>
    <d v="2025-07-21T00:00:00"/>
    <s v="380/2025"/>
    <d v="2025-07-23T00:00:00"/>
    <n v="650"/>
    <n v="1000"/>
    <s v="TON"/>
    <n v="676.38"/>
    <n v="323.62"/>
    <d v="2025-07-30T00:00:00"/>
    <x v="8"/>
    <d v="2025-08-13T00:00:00"/>
    <m/>
    <m/>
    <m/>
    <m/>
    <m/>
    <m/>
    <m/>
    <m/>
    <m/>
    <m/>
    <m/>
    <n v="20250065"/>
    <d v="1899-12-30T00:00:00"/>
    <m/>
    <n v="0"/>
    <m/>
    <n v="0"/>
    <m/>
    <n v="-45868"/>
    <n v="-45868"/>
    <x v="1"/>
  </r>
  <r>
    <s v="Elton"/>
    <n v="20250066"/>
    <x v="1"/>
    <x v="1"/>
    <n v="9497086"/>
    <s v="MV CHRYSANTHE"/>
    <s v="NOVO REMANSO"/>
    <s v="Sekavin S.A"/>
    <n v="25000361025"/>
    <s v="Oil/Chemical Tanker"/>
    <s v="WILSON SONS"/>
    <s v="BRAXCOM"/>
    <s v="13106-1"/>
    <d v="2025-07-23T00:00:00"/>
    <s v="390-2025"/>
    <d v="2025-07-30T00:00:00"/>
    <n v="200"/>
    <n v="400"/>
    <s v="TON"/>
    <n v="171.15799999999999"/>
    <n v="228.84200000000001"/>
    <d v="2025-08-04T00:00:00"/>
    <x v="9"/>
    <d v="2025-08-18T00:00:00"/>
    <m/>
    <m/>
    <m/>
    <m/>
    <m/>
    <m/>
    <m/>
    <m/>
    <m/>
    <m/>
    <m/>
    <n v="20250066"/>
    <d v="1899-12-30T00:00:00"/>
    <m/>
    <n v="0"/>
    <m/>
    <n v="0"/>
    <m/>
    <n v="-45873"/>
    <n v="-45873"/>
    <x v="1"/>
  </r>
  <r>
    <s v="Elton"/>
    <n v="20250067"/>
    <x v="0"/>
    <x v="1"/>
    <n v="11474866"/>
    <s v="JOÃO PESSOA X"/>
    <s v="PORTO DE MANAUS"/>
    <s v="NAVEMAZONIA"/>
    <n v="25000371187"/>
    <s v="Oil/Chemical Tanker"/>
    <s v="NAVEMAZONIA"/>
    <s v="BRAXCOM"/>
    <s v="13282-1"/>
    <d v="2025-08-01T00:00:00"/>
    <s v="395-2025"/>
    <d v="2025-08-04T00:00:00"/>
    <n v="100"/>
    <n v="150"/>
    <s v="TON"/>
    <n v="82.066000000000003"/>
    <n v="67.933999999999997"/>
    <d v="2025-08-04T00:00:00"/>
    <x v="9"/>
    <d v="2025-08-18T00:00:00"/>
    <m/>
    <m/>
    <m/>
    <m/>
    <m/>
    <m/>
    <m/>
    <m/>
    <m/>
    <m/>
    <m/>
    <n v="20250067"/>
    <d v="1899-12-30T00:00:00"/>
    <m/>
    <n v="0"/>
    <m/>
    <n v="0"/>
    <m/>
    <n v="-45873"/>
    <n v="-45873"/>
    <x v="1"/>
  </r>
  <r>
    <s v="Elton"/>
    <n v="20250068"/>
    <x v="2"/>
    <x v="2"/>
    <m/>
    <s v="TELLUS"/>
    <m/>
    <m/>
    <m/>
    <m/>
    <m/>
    <m/>
    <m/>
    <m/>
    <m/>
    <m/>
    <m/>
    <m/>
    <m/>
    <m/>
    <n v="0"/>
    <m/>
    <x v="3"/>
    <d v="1900-01-13T00:00:00"/>
    <m/>
    <m/>
    <m/>
    <m/>
    <m/>
    <m/>
    <m/>
    <m/>
    <m/>
    <m/>
    <m/>
    <n v="20250068"/>
    <d v="1899-12-30T00:00:00"/>
    <m/>
    <n v="0"/>
    <m/>
    <n v="0"/>
    <m/>
    <n v="0"/>
    <n v="0"/>
    <x v="1"/>
  </r>
  <r>
    <s v="Elton"/>
    <n v="20250069"/>
    <x v="2"/>
    <x v="2"/>
    <m/>
    <s v="TELLUS"/>
    <m/>
    <m/>
    <m/>
    <m/>
    <m/>
    <m/>
    <m/>
    <m/>
    <m/>
    <m/>
    <m/>
    <m/>
    <m/>
    <m/>
    <n v="0"/>
    <m/>
    <x v="3"/>
    <d v="1900-01-13T00:00:00"/>
    <m/>
    <m/>
    <m/>
    <m/>
    <m/>
    <m/>
    <m/>
    <m/>
    <m/>
    <m/>
    <m/>
    <n v="20250069"/>
    <d v="1899-12-30T00:00:00"/>
    <m/>
    <n v="0"/>
    <m/>
    <n v="0"/>
    <m/>
    <n v="0"/>
    <n v="0"/>
    <x v="1"/>
  </r>
  <r>
    <s v="Elton"/>
    <n v="20250070"/>
    <x v="2"/>
    <x v="2"/>
    <m/>
    <s v="MINERVA VIRGO"/>
    <m/>
    <m/>
    <m/>
    <m/>
    <m/>
    <m/>
    <m/>
    <m/>
    <m/>
    <m/>
    <m/>
    <m/>
    <m/>
    <m/>
    <n v="0"/>
    <m/>
    <x v="3"/>
    <d v="1900-01-13T00:00:00"/>
    <m/>
    <m/>
    <m/>
    <m/>
    <m/>
    <m/>
    <m/>
    <m/>
    <m/>
    <m/>
    <m/>
    <n v="20250070"/>
    <d v="1899-12-30T00:00:00"/>
    <m/>
    <n v="0"/>
    <m/>
    <n v="0"/>
    <m/>
    <n v="0"/>
    <n v="0"/>
    <x v="1"/>
  </r>
  <r>
    <m/>
    <m/>
    <x v="2"/>
    <x v="2"/>
    <m/>
    <m/>
    <m/>
    <m/>
    <m/>
    <m/>
    <m/>
    <m/>
    <m/>
    <m/>
    <m/>
    <m/>
    <m/>
    <m/>
    <m/>
    <m/>
    <m/>
    <m/>
    <x v="10"/>
    <m/>
    <m/>
    <m/>
    <m/>
    <m/>
    <m/>
    <m/>
    <m/>
    <m/>
    <m/>
    <m/>
    <m/>
    <m/>
    <m/>
    <m/>
    <m/>
    <m/>
    <m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NA"/>
    <s v="REAM"/>
    <s v="PA20250001"/>
    <x v="0"/>
    <s v="LONGO CURSO"/>
    <s v="PORTO VILA DO CONDE"/>
    <s v="PARÁ 2014"/>
    <s v="JORGE FELIPE"/>
    <s v="OILMAR DMCC"/>
    <n v="25000127472"/>
    <n v="9004413"/>
    <s v="W M F EXPRESS"/>
    <s v="HABIBS"/>
    <s v="KRUEGER"/>
    <n v="4250.3999999999996"/>
    <s v="-"/>
    <s v="-"/>
    <s v="001/2025"/>
    <d v="2025-04-04T00:00:00"/>
    <n v="50"/>
    <s v="TON"/>
    <n v="50.197000000000003"/>
    <n v="-0.19700000000000273"/>
    <d v="2025-04-06T00:00:00"/>
    <x v="0"/>
    <d v="2025-04-20T00:00:00"/>
  </r>
  <r>
    <s v="ELTON"/>
    <s v="REAM"/>
    <s v="PA20250002"/>
    <x v="0"/>
    <s v="LONGO CURSO"/>
    <s v="PORTO VILA DO CONDE"/>
    <s v="AMAPÁ 2014"/>
    <s v="BRÁS PAULA DA SILVA"/>
    <s v="OILMAR DMCC"/>
    <n v="25000157797"/>
    <n v="7104972"/>
    <s v="MV FREEDOM"/>
    <s v="HABIBS"/>
    <s v="KRUEGER"/>
    <n v="4250.3999999999996"/>
    <s v="-"/>
    <s v="-"/>
    <s v="002/2025"/>
    <d v="2025-04-15T00:00:00"/>
    <n v="100"/>
    <s v="TON"/>
    <n v="70.010000000000005"/>
    <n v="29.989999999999995"/>
    <d v="2025-04-21T00:00:00"/>
    <x v="0"/>
    <d v="2025-05-05T00:00:00"/>
  </r>
  <r>
    <s v="ELTON"/>
    <s v="REAM"/>
    <s v="PA20250003"/>
    <x v="0"/>
    <s v="LONGO CURSO"/>
    <s v="PORTO VILA DO CONDE"/>
    <s v="AMAPÁ 2014"/>
    <s v="BRÁS PAULA DA SILVA"/>
    <s v="OILMAR DMCC"/>
    <n v="25000177712"/>
    <n v="9737888"/>
    <s v="UBC TACOMA"/>
    <s v="WILLIAMS SERVIÇOS"/>
    <s v="KRUEGER"/>
    <n v="4250.3999999999996"/>
    <s v="-"/>
    <s v="-"/>
    <s v="003/2025"/>
    <d v="2025-04-15T00:00:00"/>
    <n v="100"/>
    <s v="TON"/>
    <n v="80.009"/>
    <n v="19.991"/>
    <d v="2025-04-24T00:00:00"/>
    <x v="0"/>
    <d v="2025-05-08T00:00:00"/>
  </r>
  <r>
    <s v="ELTON"/>
    <s v="REAM"/>
    <s v="PA20250004"/>
    <x v="1"/>
    <s v="LONGO CURSO"/>
    <s v="PORTO VILA DO CONDE"/>
    <s v="AMAPÁ 2014"/>
    <s v="BRÁS PAULA DA SILVA"/>
    <s v="COMPANHIA DE NAVEGAÇÃO NORSUL"/>
    <n v="25000153775"/>
    <n v="9620310"/>
    <s v="WHITE WHALE"/>
    <s v="SERVEPORTO AGENCIA"/>
    <s v="KRUEGER"/>
    <n v="4250.3999999999996"/>
    <s v="-"/>
    <s v="-"/>
    <s v="004/2025"/>
    <d v="2025-04-17T00:00:00"/>
    <n v="250"/>
    <s v="TON"/>
    <n v="250.08500000000001"/>
    <n v="-8.5000000000007958E-2"/>
    <d v="2025-04-21T00:00:00"/>
    <x v="0"/>
    <d v="2025-05-05T00:00:00"/>
  </r>
  <r>
    <s v="ELTON"/>
    <s v="REAM"/>
    <s v="PA20250005"/>
    <x v="0"/>
    <s v="LONGO CURSO"/>
    <s v="PORTO VILA DO CONDE"/>
    <s v="AMAPÁ 2014"/>
    <s v="BRÁS PAULA DA SILVA"/>
    <s v="OILMAR DMCC"/>
    <n v="25000172524"/>
    <n v="7310507"/>
    <s v="MV FIDELITY"/>
    <s v="HABIBS"/>
    <s v="KRUEGER"/>
    <n v="4250.3999999999996"/>
    <s v="-"/>
    <s v="-"/>
    <s v="005/2025"/>
    <d v="2025-04-17T00:00:00"/>
    <n v="50"/>
    <s v="TON"/>
    <n v="50.006"/>
    <n v="-6.0000000000002274E-3"/>
    <d v="2025-04-26T00:00:00"/>
    <x v="0"/>
    <d v="2025-05-10T00:00:00"/>
  </r>
  <r>
    <s v="ELTON"/>
    <s v="REAM"/>
    <s v="PA20250006"/>
    <x v="1"/>
    <s v="LONGO CURSO"/>
    <s v="PORTO VILA DO CONDE"/>
    <s v="AMAPÁ 2014"/>
    <s v="BRÁS PAULA DA SILVA"/>
    <s v="MINERVA BUNKERING PTE LIMITED"/>
    <s v="25000187815 "/>
    <n v="9416458"/>
    <s v="Devbulk Sinem"/>
    <s v="LBH BRASIL AGENCIAMENTO"/>
    <s v="KRUEGER"/>
    <n v="4250.3999999999996"/>
    <s v="-"/>
    <s v="-"/>
    <s v="006/2025"/>
    <d v="2025-04-29T00:00:00"/>
    <n v="400"/>
    <s v="TON"/>
    <n v="300.03300000000002"/>
    <n v="99.966999999999985"/>
    <d v="2025-05-01T00:00:00"/>
    <x v="1"/>
    <d v="2025-05-15T00:00:00"/>
  </r>
  <r>
    <s v="ELTON"/>
    <s v="REAM"/>
    <s v="PA20250007"/>
    <x v="1"/>
    <s v="LONGO CURSO"/>
    <s v="PORTO VILA DO CONDE"/>
    <s v="AMAPÁ 2014"/>
    <s v="BRÁS PAULA DA SILVA"/>
    <s v="INTEGR8 FUELS PTE. LTD"/>
    <n v="25000194420"/>
    <n v="9876048"/>
    <s v="MAGELLAN II"/>
    <s v="AGENCIA MARITIMA CARGONAVE LTDA"/>
    <s v="KRUEGER"/>
    <n v="4250.3999999999996"/>
    <s v="-"/>
    <s v="-"/>
    <s v="007/2025"/>
    <d v="2025-05-05T00:00:00"/>
    <n v="450"/>
    <s v="TON"/>
    <n v="400.08199999999999"/>
    <n v="49.918000000000006"/>
    <d v="2025-05-05T00:00:00"/>
    <x v="1"/>
    <d v="2025-05-19T00:00:00"/>
  </r>
  <r>
    <s v="ANA"/>
    <s v="ATEM"/>
    <s v="PA20250008"/>
    <x v="1"/>
    <s v="LONGO CURSO"/>
    <s v="PORTO ATEM"/>
    <s v="AMAPÁ 2014"/>
    <s v="BRÁS PAULA DA SILVA"/>
    <s v="SONAN BUNKERS UK LIMITED"/>
    <n v="25000180489"/>
    <s v="9293959   "/>
    <s v="FOTUO"/>
    <s v="UNIMAR "/>
    <s v="KRUEGER"/>
    <n v="4250.3999999999996"/>
    <s v="-"/>
    <s v="-"/>
    <s v="001/2025"/>
    <d v="2025-05-07T00:00:00"/>
    <n v="550"/>
    <s v="TON"/>
    <n v="500.267"/>
    <n v="49.733000000000004"/>
    <d v="2025-05-08T00:00:00"/>
    <x v="1"/>
    <d v="2025-05-22T00:00:00"/>
  </r>
  <r>
    <s v="ANA"/>
    <s v="REAM"/>
    <s v="PA20250009"/>
    <x v="0"/>
    <s v="LONGO CURSO"/>
    <s v="FUNDEIO VDC"/>
    <s v="AMAPÁ 2014"/>
    <s v="BRÁS PAULA DA SILVA"/>
    <s v="OILMAR DMCC"/>
    <n v="25000174411"/>
    <n v="8917742"/>
    <s v="MV OMEGA STAR"/>
    <s v="HABIBS"/>
    <s v="KRUEGER"/>
    <n v="4250.3999999999996"/>
    <s v="-"/>
    <s v="-"/>
    <s v="008/2025"/>
    <d v="2025-05-08T00:00:00"/>
    <n v="100"/>
    <s v="TON"/>
    <n v="75.031999999999996"/>
    <n v="24.968000000000004"/>
    <d v="2025-05-11T00:00:00"/>
    <x v="1"/>
    <d v="2025-05-25T00:00:00"/>
  </r>
  <r>
    <s v="ANA"/>
    <s v="REAM"/>
    <s v="PA20250010"/>
    <x v="0"/>
    <s v="LONGO CURSO"/>
    <s v="FUNDEIO VDC"/>
    <s v="AMAPÁ 2014"/>
    <s v="BRÁS PAULA DA SILVA"/>
    <s v="INTEGR8 FUELS PTE. LTD"/>
    <n v="25000207450"/>
    <n v="9466312"/>
    <s v="ARAGONBORG"/>
    <s v="WILHELMSEN "/>
    <s v="KRUEGER"/>
    <n v="4250.3999999999996"/>
    <s v="-"/>
    <s v="-"/>
    <s v="009/2025"/>
    <d v="2025-05-12T00:00:00"/>
    <n v="200"/>
    <s v="TON"/>
    <n v="150.06700000000001"/>
    <n v="49.932999999999993"/>
    <d v="2025-05-13T00:00:00"/>
    <x v="1"/>
    <d v="2025-05-27T00:00:00"/>
  </r>
  <r>
    <s v="ELTON"/>
    <s v="REAM"/>
    <s v="PA20250011"/>
    <x v="2"/>
    <s v="LONGO CURSO"/>
    <s v="PORTO VILA DO CONDE"/>
    <s v="AMAPÁ 2014"/>
    <s v="BRÁS PAULA DA SILVA"/>
    <s v="Bunker One (USA) Inc"/>
    <n v="25000214030"/>
    <n v="8901860"/>
    <s v="ANNA MARRA"/>
    <s v="HABIBS"/>
    <s v="KRUEGER"/>
    <n v="4250.3999999999996"/>
    <s v="-"/>
    <s v="-"/>
    <s v="010/2025"/>
    <d v="2025-05-19T00:00:00"/>
    <n v="250"/>
    <s v="TON"/>
    <m/>
    <n v="250"/>
    <m/>
    <x v="2"/>
    <d v="1900-01-13T00:00:00"/>
  </r>
  <r>
    <s v="ELTON"/>
    <s v="REAM"/>
    <s v="PA20250012"/>
    <x v="1"/>
    <s v="LONGO CURSO"/>
    <s v="PORTO VILA DO CONDE"/>
    <s v="PAUÍ 3000"/>
    <s v="Rafael Marques de Lima"/>
    <s v="Bunker One (USA) Inc"/>
    <n v="25000148046"/>
    <n v="9590979"/>
    <s v="NAVI STAR"/>
    <s v="WILSON SONS"/>
    <s v="KRUEGER"/>
    <n v="4250.3999999999996"/>
    <s v="-"/>
    <s v="-"/>
    <s v="011/2025"/>
    <d v="2025-06-02T00:00:00"/>
    <n v="500"/>
    <s v="TON"/>
    <m/>
    <n v="500"/>
    <m/>
    <x v="2"/>
    <d v="1900-01-13T00:00:00"/>
  </r>
  <r>
    <s v="ELTON"/>
    <s v="REAM"/>
    <s v="PA20250013"/>
    <x v="1"/>
    <s v="LONGO CURSO"/>
    <s v="PORTO VILA DO CONDE"/>
    <s v="PAUÍ 3000"/>
    <s v="Rafael Marques de Lima"/>
    <s v="Monjasa Latam Limited"/>
    <n v="25000211686"/>
    <n v="9504736"/>
    <s v="BBC AQUAMARINE"/>
    <s v="WILSON SONS"/>
    <s v="KRUEGER"/>
    <n v="4250.3999999999996"/>
    <s v="-"/>
    <s v="-"/>
    <s v="012/2025"/>
    <d v="2025-06-04T00:00:00"/>
    <n v="600"/>
    <s v="TON"/>
    <n v="550.66700000000003"/>
    <n v="49.33299999999997"/>
    <d v="2025-06-09T00:00:00"/>
    <x v="3"/>
    <d v="2025-06-23T00:00:00"/>
  </r>
  <r>
    <s v="ELTON"/>
    <s v="REAM"/>
    <s v="PA20250014"/>
    <x v="1"/>
    <s v="LONGO CURSO"/>
    <s v="PORTO VILA DO CONDE"/>
    <s v="PAUÍ 3000"/>
    <s v="Rafael Marques de Lima"/>
    <s v="INTEGR8 FUELS PTE. LTD"/>
    <n v="25000240899"/>
    <n v="1016472"/>
    <s v="ZY IDOL"/>
    <s v="WILSON SONS"/>
    <s v="KRUEGER"/>
    <n v="4250.3999999999996"/>
    <s v="-"/>
    <s v="-"/>
    <s v="013/2025"/>
    <d v="2025-06-06T00:00:00"/>
    <n v="200"/>
    <s v="TON"/>
    <n v="150.04599999999999"/>
    <n v="49.954000000000008"/>
    <d v="2025-06-07T00:00:00"/>
    <x v="3"/>
    <d v="2025-06-21T00:00:00"/>
  </r>
  <r>
    <s v="ELTON"/>
    <s v="REAM"/>
    <s v="PA20250015"/>
    <x v="0"/>
    <s v="LONGO CURSO"/>
    <s v="PORTO VILA DO CONDE"/>
    <s v="AMAPÁ 2014"/>
    <s v="Rafael Marques de Lima"/>
    <s v="Bunker One (USA) Inc"/>
    <n v="25000148046"/>
    <n v="9590979"/>
    <s v="NAVI STAR"/>
    <s v="WILSON SONS"/>
    <s v="KRUEGER"/>
    <n v="4250.3999999999996"/>
    <s v="-"/>
    <s v="-"/>
    <m/>
    <m/>
    <m/>
    <m/>
    <m/>
    <n v="0"/>
    <m/>
    <x v="2"/>
    <d v="1900-01-13T00:00:00"/>
  </r>
  <r>
    <s v="ELTON"/>
    <s v="REAM"/>
    <s v="PA20250016"/>
    <x v="0"/>
    <s v="LONGO CURSO"/>
    <s v="PORTO VILA DO CONDE"/>
    <s v="AMAPÁ 2014"/>
    <s v="Rafael Marques de Lima"/>
    <s v="Ultrabulk A/S"/>
    <n v="25000292910"/>
    <n v="9959307"/>
    <s v="BUNUN XCEL"/>
    <s v="GEM SHIPPING"/>
    <s v="KRUEGER"/>
    <n v="4250.3999999999996"/>
    <s v="-"/>
    <s v="-"/>
    <s v="015/2025"/>
    <d v="2025-06-26T00:00:00"/>
    <n v="100"/>
    <s v="TON"/>
    <n v="49.805999999999997"/>
    <n v="50.194000000000003"/>
    <d v="2025-06-26T00:00:00"/>
    <x v="3"/>
    <d v="2025-07-10T00:00:00"/>
  </r>
  <r>
    <s v="ELTON"/>
    <s v="REAM"/>
    <s v="PA20250017"/>
    <x v="1"/>
    <s v="LONGO CURSO"/>
    <s v="PORTO VILA DO CONDE"/>
    <s v="ACRE 2010"/>
    <s v="Rafael Marques de Lima"/>
    <s v="Weco Bulk A/S"/>
    <n v="25000209886"/>
    <n v="9670420"/>
    <s v="MV ALONI"/>
    <s v="GEM SHIPPING"/>
    <s v="KRUEGER"/>
    <n v="4250.3999999999996"/>
    <s v="-"/>
    <s v="-"/>
    <s v="016/2025"/>
    <d v="2025-07-04T00:00:00"/>
    <n v="400"/>
    <s v="TON"/>
    <n v="248.66300000000001"/>
    <n v="151.33699999999999"/>
    <d v="2025-07-04T00:00:00"/>
    <x v="4"/>
    <d v="2025-07-18T00:00:00"/>
  </r>
  <r>
    <s v="ELTON"/>
    <s v="REAM"/>
    <s v="PA20250018"/>
    <x v="1"/>
    <s v="LONGO CURSO"/>
    <s v="PORTO VILA DO CONDE"/>
    <s v="AMAPÁ 2014"/>
    <s v="Rafael Marques de Lima"/>
    <s v="BUNKER PARTNER DMCC"/>
    <n v="25000381913"/>
    <n v="9304112"/>
    <s v="CORAL ISLAND"/>
    <s v="WILSON SONS"/>
    <s v="KRUEGER"/>
    <n v="4250.3999999999996"/>
    <s v="-"/>
    <s v="-"/>
    <s v="018/2025"/>
    <d v="2025-08-12T00:00:00"/>
    <n v="450"/>
    <s v="TON"/>
    <n v="380.50400000000002"/>
    <n v="69.495999999999981"/>
    <d v="2025-08-13T00:00:00"/>
    <x v="5"/>
    <d v="2025-08-27T00:00:00"/>
  </r>
  <r>
    <s v="ELTON"/>
    <s v="REAM"/>
    <s v="PA20250019"/>
    <x v="0"/>
    <s v="LONGO CURSO"/>
    <s v="PORTO VILA DO CONDE"/>
    <s v="AMAPÁ 2014"/>
    <s v="Rafael Marques de Lima"/>
    <s v="BUNKER PARTNER DMCC"/>
    <n v="25000381913"/>
    <n v="9304112"/>
    <s v="CORAL ISLAND"/>
    <s v="WILSON SONS"/>
    <s v="KRUEGER"/>
    <n v="4250.3999999999996"/>
    <s v="-"/>
    <s v="-"/>
    <s v="017/2025"/>
    <d v="2025-08-12T00:00:00"/>
    <n v="120"/>
    <s v="TON"/>
    <n v="75.099999999999994"/>
    <n v="44.900000000000006"/>
    <d v="2025-08-13T00:00:00"/>
    <x v="5"/>
    <d v="2025-08-27T00:00:00"/>
  </r>
  <r>
    <s v="ELTON"/>
    <s v="REAM"/>
    <s v="PA20250020"/>
    <x v="0"/>
    <s v="LONGO CURSO"/>
    <s v="PORTO VILA DO CONDE"/>
    <s v="AMAPÁ 2014"/>
    <s v="Rafael Marques de Lima"/>
    <s v="Bunker One (USA) Inc"/>
    <n v="25000369182"/>
    <n v="7711866"/>
    <s v="SEA ROSE"/>
    <s v="HABIBS"/>
    <s v="KRUEGER"/>
    <n v="4250.3999999999996"/>
    <s v="-"/>
    <s v="-"/>
    <s v="019/2025"/>
    <d v="2025-08-15T00:00:00"/>
    <n v="120"/>
    <s v="TON"/>
    <n v="105.18899999999999"/>
    <n v="14.811000000000007"/>
    <d v="2025-08-22T00:00:00"/>
    <x v="5"/>
    <d v="2025-09-05T00:00:00"/>
  </r>
  <r>
    <s v="ELTON"/>
    <s v="REAM"/>
    <s v="PA20250021"/>
    <x v="0"/>
    <s v="LONGO CURSO"/>
    <s v="PORTO VILA DO CONDE"/>
    <s v="AMAPÁ 2014"/>
    <s v="Rafael Marques de Lima"/>
    <s v="BASEBLUE LTD"/>
    <n v="25000256850"/>
    <n v="9175901"/>
    <n v="0"/>
    <s v="GLOBAL AGENCIA"/>
    <s v="KRUEGER"/>
    <n v="4250.3999999999996"/>
    <s v="-"/>
    <s v="-"/>
    <s v="020/2025"/>
    <d v="2025-08-18T00:00:00"/>
    <n v="160"/>
    <s v="TON"/>
    <n v="105.15"/>
    <n v="54.849999999999994"/>
    <d v="2025-08-20T00:00:00"/>
    <x v="5"/>
    <d v="2025-09-03T00:00:00"/>
  </r>
  <r>
    <s v="Richard"/>
    <s v="REAM"/>
    <s v="PA20250022"/>
    <x v="0"/>
    <s v="LONGO CURSO"/>
    <s v="PORTO VILA DO CONDE"/>
    <s v="AMAPÁ 2014"/>
    <s v="Rafael Marques de Lima"/>
    <s v="CROSS OFFICE OU"/>
    <n v="25000375166"/>
    <n v="9719575"/>
    <s v="STEFANOS"/>
    <s v="Alphamar"/>
    <s v="BRAXCOM"/>
    <n v="2000"/>
    <s v="-"/>
    <s v="-"/>
    <m/>
    <m/>
    <n v="75"/>
    <s v="TON"/>
    <n v="90.055000000000007"/>
    <n v="-15.055000000000007"/>
    <d v="2025-09-02T00:00:00"/>
    <x v="6"/>
    <d v="2025-09-16T00:00:00"/>
  </r>
  <r>
    <s v="Richard"/>
    <s v="REAM"/>
    <s v="PA20250023"/>
    <x v="0"/>
    <s v="LONGO CURSO"/>
    <s v="PORTO VILA DO CONDE"/>
    <s v="AMAPÁ 2014"/>
    <s v="Rafael Marques de Lima"/>
    <s v="CROSS OFFICE OU"/>
    <n v="25000375166"/>
    <n v="9719575"/>
    <s v="STEFANOS"/>
    <s v="Alphamar"/>
    <s v="BRAXCOM"/>
    <n v="2000"/>
    <s v="-"/>
    <s v="-"/>
    <s v="022/2025"/>
    <d v="2025-09-02T00:00:00"/>
    <n v="40"/>
    <s v="TON"/>
    <m/>
    <n v="40"/>
    <m/>
    <x v="2"/>
    <d v="1900-01-13T00:00:00"/>
  </r>
  <r>
    <s v="Richard"/>
    <s v="REAM"/>
    <s v="PA20250024"/>
    <x v="1"/>
    <s v="LONGO CURSO"/>
    <s v="PORTO VILA DO CONDE"/>
    <s v="AMAPÁ 2014"/>
    <s v="Rafael Marques de Lima"/>
    <s v="BUNKER PARTNER DMCC"/>
    <s v="-"/>
    <n v="9748069"/>
    <s v="STAR TOKYO"/>
    <s v="WILSON SONS"/>
    <s v="BRAXCOM"/>
    <n v="2000"/>
    <s v="-"/>
    <s v="-"/>
    <m/>
    <m/>
    <n v="320"/>
    <s v="TON"/>
    <n v="250.136"/>
    <n v="69.864000000000004"/>
    <d v="2025-09-04T00:00:00"/>
    <x v="6"/>
    <d v="2025-09-18T00:00:00"/>
  </r>
  <r>
    <s v="Richard"/>
    <s v="REAM"/>
    <s v="PA20250025"/>
    <x v="1"/>
    <s v="LONGO CURSO"/>
    <s v="PORTO VILA DO CONDE"/>
    <s v="AMAPÁ 2014"/>
    <s v="Rafael Marques de Lima"/>
    <s v="INTEGR8 FUELS PTE. LTD"/>
    <n v="25000429258"/>
    <n v="1015313"/>
    <s v="CYTA"/>
    <s v="GEM SHIPPING"/>
    <s v="BRAXCOM"/>
    <n v="2000"/>
    <s v="-"/>
    <s v="-"/>
    <s v="023/2025"/>
    <d v="2025-09-03T00:00:00"/>
    <n v="700"/>
    <s v="TON"/>
    <m/>
    <n v="700"/>
    <m/>
    <x v="2"/>
    <d v="1900-01-13T00:00:00"/>
  </r>
  <r>
    <s v="Richard"/>
    <s v="REAM"/>
    <s v="PA20250026"/>
    <x v="0"/>
    <s v="LONGO CURSO"/>
    <s v="PORTO VILA DO CONDE"/>
    <s v="AMAPÁ 2014"/>
    <s v="Rafael Marques de Lima"/>
    <s v="INTEGR8 FUELS PTE. LTD"/>
    <n v="25000429258"/>
    <n v="1015313"/>
    <s v="CYTA"/>
    <s v="GEM SHIPPING"/>
    <s v="BRAXCOM"/>
    <n v="2000"/>
    <s v="-"/>
    <s v="-"/>
    <s v="024/2025"/>
    <d v="2025-09-03T00:00:00"/>
    <n v="300"/>
    <s v="TON"/>
    <m/>
    <n v="300"/>
    <m/>
    <x v="2"/>
    <d v="1900-01-13T00:00:00"/>
  </r>
  <r>
    <s v="ELTON"/>
    <s v="REAM"/>
    <s v="PA20250027"/>
    <x v="1"/>
    <s v="LONGO CURSO"/>
    <s v="PORTO VILA DO CONDE"/>
    <s v="AMAPÁ 2014"/>
    <s v="Rafael Marques de Lima"/>
    <s v="Fratelli Cosulich Unipessoal S.A."/>
    <n v="25000443080"/>
    <n v="9609691"/>
    <s v="MDS Anna"/>
    <s v="ORION RODOS"/>
    <s v="BRAXCOM"/>
    <n v="2000"/>
    <s v="-"/>
    <s v="-"/>
    <s v="025/2025"/>
    <d v="2025-09-10T00:00:00"/>
    <n v="220"/>
    <s v="TON"/>
    <n v="110.19199999999999"/>
    <n v="109.80800000000001"/>
    <d v="2025-09-13T00:00:00"/>
    <x v="6"/>
    <d v="2025-09-27T00:00:00"/>
  </r>
  <r>
    <m/>
    <m/>
    <m/>
    <x v="3"/>
    <m/>
    <m/>
    <m/>
    <m/>
    <m/>
    <m/>
    <m/>
    <m/>
    <m/>
    <m/>
    <m/>
    <m/>
    <m/>
    <m/>
    <m/>
    <m/>
    <m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CC6C0-A69D-4832-B2AE-4D45CB2D4BBF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6">
  <location ref="A21:D32" firstHeaderRow="1" firstDataRow="2" firstDataCol="1"/>
  <pivotFields count="45">
    <pivotField showAll="0"/>
    <pivotField dataField="1" showAll="0"/>
    <pivotField showAll="0"/>
    <pivotField axis="axisRow" showAll="0">
      <items count="4">
        <item h="1"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x="2"/>
        <item x="4"/>
        <item x="5"/>
        <item x="6"/>
        <item h="1" x="0"/>
        <item h="1" x="3"/>
        <item h="1" x="10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</pivotFields>
  <rowFields count="2">
    <field x="3"/>
    <field x="22"/>
  </rowFields>
  <rowItems count="10">
    <i>
      <x v="1"/>
    </i>
    <i r="1">
      <x/>
    </i>
    <i r="1">
      <x v="1"/>
    </i>
    <i r="1">
      <x v="2"/>
    </i>
    <i r="1">
      <x v="3"/>
    </i>
    <i r="1">
      <x v="4"/>
    </i>
    <i r="1">
      <x v="8"/>
    </i>
    <i r="1">
      <x v="9"/>
    </i>
    <i r="1">
      <x v="10"/>
    </i>
    <i t="grand">
      <x/>
    </i>
  </rowItems>
  <colFields count="1">
    <field x="44"/>
  </colFields>
  <colItems count="3">
    <i>
      <x/>
    </i>
    <i>
      <x v="1"/>
    </i>
    <i t="grand">
      <x/>
    </i>
  </colItems>
  <dataFields count="1">
    <dataField name="Contagem de PROCESSO" fld="1" subtotal="count" baseField="22" baseItem="2"/>
  </dataFields>
  <chartFormats count="4">
    <chartFormat chart="3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4" series="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44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720B9-A556-4F96-BA13-156E5AFE90A1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>
  <location ref="A3:D13" firstHeaderRow="1" firstDataRow="2" firstDataCol="1"/>
  <pivotFields count="45"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x="2"/>
        <item x="4"/>
        <item x="5"/>
        <item x="6"/>
        <item h="1" x="0"/>
        <item h="1" x="3"/>
        <item h="1" x="10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9">
    <i>
      <x/>
    </i>
    <i>
      <x v="1"/>
    </i>
    <i>
      <x v="2"/>
    </i>
    <i>
      <x v="3"/>
    </i>
    <i>
      <x v="4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ntagem de DATA AFB" fld="15" subtotal="count" baseField="22" baseItem="0"/>
  </dataFields>
  <chartFormats count="2">
    <chartFormat chart="14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45FE7-828B-4AD9-87A4-B9C15C4120AD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A16:E19" firstHeaderRow="1" firstDataRow="2" firstDataCol="1"/>
  <pivotFields count="46">
    <pivotField showAll="0"/>
    <pivotField showAll="0"/>
    <pivotField dataField="1"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3">
        <item sd="0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23"/>
  </rowFields>
  <rowItems count="2">
    <i>
      <x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ntagem de PROCESSO" fld="2" subtotal="count" baseField="23" baseItem="0"/>
  </dataFields>
  <chartFormats count="7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56C4E-5FF8-4B53-96CA-58D6C1E9952B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3:D11" firstHeaderRow="1" firstDataRow="2" firstDataCol="1"/>
  <pivotFields count="26"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h="1" x="2"/>
        <item h="1" x="7"/>
        <item x="3"/>
        <item x="4"/>
        <item x="5"/>
        <item x="6"/>
        <item t="default"/>
      </items>
    </pivotField>
    <pivotField showAll="0"/>
  </pivotFields>
  <rowFields count="1">
    <field x="24"/>
  </rowFields>
  <rowItems count="7">
    <i>
      <x/>
    </i>
    <i>
      <x v="1"/>
    </i>
    <i>
      <x v="4"/>
    </i>
    <i>
      <x v="5"/>
    </i>
    <i>
      <x v="6"/>
    </i>
    <i>
      <x v="7"/>
    </i>
    <i t="grand">
      <x/>
    </i>
  </rowItems>
  <colFields count="1">
    <field x="3"/>
  </colFields>
  <colItems count="3">
    <i>
      <x/>
    </i>
    <i>
      <x v="2"/>
    </i>
    <i t="grand">
      <x/>
    </i>
  </colItems>
  <dataFields count="1">
    <dataField name="Contagem de DATA AFB" fld="18" subtotal="count" baseField="23" baseItem="0"/>
  </dataFields>
  <chartFormats count="2"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36FDF7-375C-43D6-9093-1CA55526EB78}" name="Tabela1" displayName="Tabela1" ref="A1:AW101" totalsRowShown="0" headerRowDxfId="150" dataDxfId="149">
  <autoFilter ref="A1:AW101" xr:uid="{FF36FDF7-375C-43D6-9093-1CA55526EB78}"/>
  <tableColumns count="49">
    <tableColumn id="1" xr3:uid="{50802CA8-7FB5-4F04-ABAA-8F27BE71910E}" name="STATUS" dataDxfId="148" totalsRowDxfId="147"/>
    <tableColumn id="2" xr3:uid="{04512C11-719C-4E0D-8D56-20F505AD8AE2}" name="Analista" dataDxfId="146" totalsRowDxfId="145"/>
    <tableColumn id="3" xr3:uid="{87603A3E-CB07-410B-858B-5DD93A42E8E4}" name="PROCESSO" dataDxfId="144" totalsRowDxfId="143"/>
    <tableColumn id="4" xr3:uid="{4302B5C8-6000-43D5-BF67-ADD0691FC24D}" name="PRODUTO" dataDxfId="142" totalsRowDxfId="141"/>
    <tableColumn id="5" xr3:uid="{CB186CB5-0A01-4E23-9807-EE9AA3706773}" name="TIPO DE NAVEGAÇÃO" dataDxfId="140" totalsRowDxfId="139"/>
    <tableColumn id="9" xr3:uid="{C9EC54E8-D3A5-46B5-8872-AA79629F74FB}" name="IMO" dataDxfId="138" totalsRowDxfId="137"/>
    <tableColumn id="42" xr3:uid="{BC496198-8B22-4BBE-93FF-889077F25DFB}" name="VESSEL " dataDxfId="136" totalsRowDxfId="135"/>
    <tableColumn id="6" xr3:uid="{69310EA9-3210-4C09-8B74-ADE6D2FEA8FF}" name="Local de Abastecimento" dataDxfId="134" totalsRowDxfId="133"/>
    <tableColumn id="7" xr3:uid="{23A9238B-8871-4234-AF3F-984A4E4253B8}" name="CLIENT" dataDxfId="132" totalsRowDxfId="131"/>
    <tableColumn id="8" xr3:uid="{D046DED8-76A8-411E-A76D-8F78DDEC96C4}" name="Escala" dataDxfId="130" totalsRowDxfId="129"/>
    <tableColumn id="10" xr3:uid="{B9E3A7E7-B399-4701-8978-75EAC1EF23E5}" name="TIPO DE EMBARCAÇÃO2" dataDxfId="128" totalsRowDxfId="127"/>
    <tableColumn id="12" xr3:uid="{834905F9-A88C-4269-B090-0FE91AD9B633}" name="AGENT" dataDxfId="126" totalsRowDxfId="125"/>
    <tableColumn id="13" xr3:uid="{CC4B0F73-88BD-4AED-B921-39F9BD81FC19}" name="DESPACHANTE" dataDxfId="124" totalsRowDxfId="123"/>
    <tableColumn id="48" xr3:uid="{C9D91333-9264-42DD-BD76-94F18F16FC59}" name="VALOR" dataDxfId="122" totalsRowDxfId="121"/>
    <tableColumn id="49" xr3:uid="{C29BDDCE-7C70-4AB4-B1F1-D52E52230D78}" name="Valor anterior" dataDxfId="120" totalsRowDxfId="119"/>
    <tableColumn id="46" xr3:uid="{749CFE14-CB13-4B9E-BC3B-18E269048E89}" name="Saving Real" dataDxfId="118" totalsRowDxfId="117">
      <calculatedColumnFormula>Tabela1[[#This Row],[Valor anterior]]-Tabela1[[#This Row],[VALOR]]</calculatedColumnFormula>
    </tableColumn>
    <tableColumn id="14" xr3:uid="{F78CCC05-C819-4DBD-AE42-F2807201AB16}" name="NFL AFB N°" dataDxfId="116" totalsRowDxfId="115"/>
    <tableColumn id="15" xr3:uid="{A5B2AAB5-A770-45BD-9181-C71B1C17820A}" name="DATA NFL " dataDxfId="114" totalsRowDxfId="113"/>
    <tableColumn id="16" xr3:uid="{E7F8E888-2932-43A9-9366-0EB7BA653021}" name="AFB N°" dataDxfId="112" totalsRowDxfId="111"/>
    <tableColumn id="17" xr3:uid="{F2042E9F-8985-4312-BC7C-4ADEF20AB939}" name="DATA AFB" dataDxfId="110" totalsRowDxfId="109"/>
    <tableColumn id="18" xr3:uid="{53C85D69-4B02-40B3-9A9D-BF26D5F0D7D3}" name="VOLUME NO STEM" dataDxfId="108" totalsRowDxfId="107"/>
    <tableColumn id="19" xr3:uid="{E71209F6-0612-4696-8526-DCF6F73AD881}" name="VOL NF" dataDxfId="106" totalsRowDxfId="105"/>
    <tableColumn id="20" xr3:uid="{9DA58399-0190-48D6-B02D-BF7832388F08}" name="UNIDADE" dataDxfId="104" totalsRowDxfId="103"/>
    <tableColumn id="21" xr3:uid="{313F2B07-9FDA-4A8E-9877-5FB11E35D21C}" name="VOLUME CARREGADO" dataDxfId="102" totalsRowDxfId="101"/>
    <tableColumn id="22" xr3:uid="{128D2D07-A6E0-4DC4-94C9-684CB1696187}" name="Diferença Volume" dataDxfId="100" totalsRowDxfId="99">
      <calculatedColumnFormula>V2-X2</calculatedColumnFormula>
    </tableColumn>
    <tableColumn id="23" xr3:uid="{6CC0B342-16FF-42DB-B89C-D425A693BA7B}" name="CARREGAMENTO" dataDxfId="98" totalsRowDxfId="97"/>
    <tableColumn id="43" xr3:uid="{CC7DB0CA-2570-4659-B7BE-37CBEBC1234F}" name="Mês/Carregamento" dataDxfId="96" totalsRowDxfId="95">
      <calculatedColumnFormula>IF(Z2="","",UPPER(TEXT(Z2,"MMM")))</calculatedColumnFormula>
    </tableColumn>
    <tableColumn id="24" xr3:uid="{76119984-E210-437D-9508-6D632D31026C}" name="Prazo emissão DU-E" dataDxfId="94" totalsRowDxfId="93">
      <calculatedColumnFormula>Z2+14</calculatedColumnFormula>
    </tableColumn>
    <tableColumn id="25" xr3:uid="{7645BDA5-DC42-4D61-9541-6811C9DBF433}" name="BDN N°" dataDxfId="92" totalsRowDxfId="91"/>
    <tableColumn id="26" xr3:uid="{D4C59912-E5B2-455F-B5DF-E62EB83281C9}" name="Entrega do fisico (AFB e BDN)" dataDxfId="90" totalsRowDxfId="89"/>
    <tableColumn id="27" xr3:uid="{2E7D897E-94D9-47E5-8A0A-709E06846958}" name="NF DEV N°" dataDxfId="88" totalsRowDxfId="87"/>
    <tableColumn id="28" xr3:uid="{2D0B9884-B2A4-49E8-A1A1-F76B235D26F7}" name="DATA NF DEV N°" dataDxfId="86" totalsRowDxfId="85"/>
    <tableColumn id="29" xr3:uid="{9480F8D1-CC3F-41C6-88B8-A9444D8F40B5}" name="NF EXP N°" dataDxfId="84" totalsRowDxfId="83"/>
    <tableColumn id="30" xr3:uid="{366DA744-BC7E-441C-AEC4-227097C2BEC7}" name="DATA NF EXP" dataDxfId="82" totalsRowDxfId="81"/>
    <tableColumn id="31" xr3:uid="{CEDC6DB0-F480-4DE1-A65D-025C9D8AC7CA}" name="DUE N°" dataDxfId="80" totalsRowDxfId="79"/>
    <tableColumn id="11" xr3:uid="{C78A8680-B334-4A3B-AF13-0F27D6187B96}" name="Chave DU-E" dataDxfId="78" totalsRowDxfId="77"/>
    <tableColumn id="32" xr3:uid="{824843D8-3160-40CA-BB15-1DE2129DF85C}" name="DATA" dataDxfId="76" totalsRowDxfId="75"/>
    <tableColumn id="33" xr3:uid="{90ADAFF3-C1EE-4437-A0F5-1D9A74B2B400}" name="DESEMBARAÇO" dataDxfId="74" totalsRowDxfId="73"/>
    <tableColumn id="34" xr3:uid="{A8F5035D-A6C9-4959-AA3B-AA7D38508B56}" name="AVERBAÇÃO" dataDxfId="72" totalsRowDxfId="71"/>
    <tableColumn id="35" xr3:uid="{87AA20C0-3A63-4BC5-9E9F-5E95A769FC05}" name="INVOICE Nº" dataDxfId="70" totalsRowDxfId="69">
      <calculatedColumnFormula>C2</calculatedColumnFormula>
    </tableColumn>
    <tableColumn id="36" xr3:uid="{3203CE71-D1D7-4439-AFDE-6702EAFCCC02}" name="DATA DA INVOICE" dataDxfId="68" totalsRowDxfId="67">
      <calculatedColumnFormula>AH2</calculatedColumnFormula>
    </tableColumn>
    <tableColumn id="37" xr3:uid="{9EA1BC78-9336-4B3F-8AF9-E0AFE7CE6D00}" name="PREÇO" dataDxfId="66" totalsRowDxfId="65" dataCellStyle="Moeda" totalsRowCellStyle="Moeda"/>
    <tableColumn id="38" xr3:uid="{B57729B3-8CB2-40EC-BC98-F09297BC34A1}" name="VALOR TOTAL  USD" dataDxfId="64" totalsRowDxfId="63">
      <calculatedColumnFormula>X2*AP2</calculatedColumnFormula>
    </tableColumn>
    <tableColumn id="39" xr3:uid="{B813525E-BB32-4330-BEDF-8DC5F30541B4}" name="TAXA" dataDxfId="62" totalsRowDxfId="61"/>
    <tableColumn id="40" xr3:uid="{9E6C0D94-3294-463F-884B-C71AA8407E87}" name="VALOR TOTAL REAL" dataDxfId="60" totalsRowDxfId="59" dataCellStyle="Moeda" totalsRowCellStyle="Moeda">
      <calculatedColumnFormula>Tabela1[[#This Row],[TAXA]]*Tabela1[[#This Row],[VALOR TOTAL  USD]]</calculatedColumnFormula>
    </tableColumn>
    <tableColumn id="44" xr3:uid="{01E42E80-522F-425F-A43A-5CAEA98C6C79}" name="Previsto" dataDxfId="58" totalsRowDxfId="57" dataCellStyle="Moeda" totalsRowCellStyle="Moeda"/>
    <tableColumn id="41" xr3:uid="{0538EA87-F324-46C5-B671-A347E011F3A3}" name="Realizado" dataDxfId="56" totalsRowDxfId="55">
      <calculatedColumnFormula>Tabela1[[#This Row],[DATA NF EXP]]-Tabela1[[#This Row],[CARREGAMENTO]]</calculatedColumnFormula>
    </tableColumn>
    <tableColumn id="47" xr3:uid="{653F631F-2528-4344-A8EC-EBCAB763AFFF}" name="Resultado" dataDxfId="54" totalsRowDxfId="53">
      <calculatedColumnFormula>Tabela1[[#This Row],[Realizado]]-Tabela1[[#This Row],[Previsto]]</calculatedColumnFormula>
    </tableColumn>
    <tableColumn id="45" xr3:uid="{14596323-CB79-4A56-8DD5-521F923398B7}" name="Resultado2" dataDxfId="52">
      <calculatedColumnFormula>IF(Tabela1[[#This Row],[Resultado]]&lt;=0,"Atendido","Não atendido")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0A08BC-2006-4C76-8BA7-E73D969E1FA2}" name="Tabela2" displayName="Tabela2" ref="A1:AX41" totalsRowShown="0" headerRowDxfId="51" dataDxfId="50">
  <autoFilter ref="A1:AX41" xr:uid="{170A08BC-2006-4C76-8BA7-E73D969E1FA2}"/>
  <tableColumns count="50">
    <tableColumn id="1" xr3:uid="{DDE4A824-BB78-4516-8853-D798E2A7BDF9}" name="STATUS" dataDxfId="49"/>
    <tableColumn id="2" xr3:uid="{CFB692F1-BC72-4E1A-9F8B-9B6FC0E382F0}" name="Analista" dataDxfId="48"/>
    <tableColumn id="42" xr3:uid="{AE4ADF2F-41CC-4418-B66E-22B399385EB9}" name="EXPORTADOR" dataDxfId="47"/>
    <tableColumn id="3" xr3:uid="{0D25054E-83EF-4EEC-8991-8232619F5EA6}" name="PROCESSO" dataDxfId="46"/>
    <tableColumn id="4" xr3:uid="{0F2B3726-0D22-45C6-A351-52523A083E6A}" name="PRODUTO" dataDxfId="45"/>
    <tableColumn id="5" xr3:uid="{5D333AA7-E22E-4A15-9BB3-D3914F42B8EE}" name="TIPO DE NAVEGAÇÃO" dataDxfId="44"/>
    <tableColumn id="6" xr3:uid="{B3C71363-D983-4AD1-ADD1-32C01B0A7AD9}" name="Local de Abastecimento" dataDxfId="43"/>
    <tableColumn id="39" xr3:uid="{AF7D4E51-9824-44C6-8B87-D8525A82E15C}" name="BALSA" dataDxfId="42"/>
    <tableColumn id="40" xr3:uid="{047108C6-05A9-47BA-89A1-0DC322492C8A}" name="CONDUTOR" dataDxfId="41"/>
    <tableColumn id="7" xr3:uid="{C42F9DFC-AE67-4B54-A0DE-4AE2D4FEA9B0}" name="CLIENT" dataDxfId="40"/>
    <tableColumn id="8" xr3:uid="{BFB6A100-BF4A-472E-85B6-06FB1CB7C6FE}" name="Escala" dataDxfId="39"/>
    <tableColumn id="9" xr3:uid="{185B0089-3FDD-4457-9404-8BA6DFF44E55}" name="IMO" dataDxfId="38"/>
    <tableColumn id="10" xr3:uid="{5AD5B229-0BAB-4C4F-9D4E-D6406794B06F}" name="VESSEL NAME" dataDxfId="37"/>
    <tableColumn id="11" xr3:uid="{7DC1105E-6349-4DA9-B4F8-6240FF606B99}" name="AGENT" dataDxfId="36"/>
    <tableColumn id="12" xr3:uid="{AD87EFCE-C8C8-46EA-BFD5-5FF714E1B0D7}" name="DESPACHANTE" dataDxfId="35"/>
    <tableColumn id="48" xr3:uid="{E11E5FF7-8C38-446D-A9DF-76CB2E2A9FCE}" name="VALOR" dataDxfId="34"/>
    <tableColumn id="50" xr3:uid="{DF7AED28-37E9-4293-AA00-514C97236EAF}" name="Valor anterior" dataDxfId="33"/>
    <tableColumn id="49" xr3:uid="{DF08D27D-BE58-4AC8-BA3D-5A549110F42F}" name="Saving Real" dataDxfId="32">
      <calculatedColumnFormula>Tabela2[[#This Row],[Valor anterior]]-Tabela2[[#This Row],[VALOR]]</calculatedColumnFormula>
    </tableColumn>
    <tableColumn id="13" xr3:uid="{88013F43-2A9F-440D-B16A-911D12C44962}" name="NFL N°" dataDxfId="31"/>
    <tableColumn id="14" xr3:uid="{41B4CAD3-2971-41EF-AA9F-C440D2C39601}" name="DATA NFL " dataDxfId="30"/>
    <tableColumn id="15" xr3:uid="{4F3C8D2E-0152-4337-A0C9-1BAF7E576B7C}" name="PERMISSÃO" dataDxfId="29"/>
    <tableColumn id="16" xr3:uid="{D737473A-4DF4-495F-8380-665E4983BDDE}" name="DATA AFB" dataDxfId="28"/>
    <tableColumn id="17" xr3:uid="{2ECA0296-3E56-45AE-962A-92AF91A94E46}" name="VOLUME NO STEM" dataDxfId="27"/>
    <tableColumn id="18" xr3:uid="{5F159FED-3295-4BF1-A4E8-E940948C6674}" name="UNIDADE" dataDxfId="26"/>
    <tableColumn id="19" xr3:uid="{8ED2E24D-97B6-4A26-8C10-369A5A9AC726}" name="VOLUME CARREGADO" dataDxfId="25"/>
    <tableColumn id="20" xr3:uid="{4CE8A48C-4215-4F1E-9B3C-4D63B4E2E169}" name="Diferença Volume" dataDxfId="24">
      <calculatedColumnFormula>Tabela2[[#This Row],[VOLUME NO STEM]]-Tabela2[[#This Row],[VOLUME CARREGADO]]</calculatedColumnFormula>
    </tableColumn>
    <tableColumn id="21" xr3:uid="{F0E78FC7-6866-466E-AAE7-F8D12FB6AF60}" name="CARREGAMENTO" dataDxfId="23"/>
    <tableColumn id="43" xr3:uid="{708BF8D6-6668-455E-B1E7-816CEAD7361E}" name="Mês/Carregamento" dataDxfId="22">
      <calculatedColumnFormula>IF(AA2="","",UPPER(TEXT(AA2,"MMM")))</calculatedColumnFormula>
    </tableColumn>
    <tableColumn id="22" xr3:uid="{0CDC4ADD-823E-48A2-89A6-5CAACFD4B060}" name="Prazo emissão DU-E" dataDxfId="21">
      <calculatedColumnFormula>AA2+14</calculatedColumnFormula>
    </tableColumn>
    <tableColumn id="23" xr3:uid="{DD4726E7-DB24-4AC8-A9D2-9ADC5FAFE82B}" name="BDN N°" dataDxfId="20"/>
    <tableColumn id="24" xr3:uid="{41BD4096-0334-4F96-B7F8-815935D3C637}" name="Entrega do fisico (AFB e BDN)" dataDxfId="19"/>
    <tableColumn id="25" xr3:uid="{8F1AF187-26F8-48D1-8294-09E21F8541EE}" name="NF DEV N°" dataDxfId="18"/>
    <tableColumn id="26" xr3:uid="{1AD95CAE-CBBD-4DA0-B892-263C275C81D2}" name="DATA NF DEV N°" dataDxfId="17"/>
    <tableColumn id="27" xr3:uid="{BA718B99-F795-441B-AFC6-31B955B7D3B9}" name="NF EXP N°" dataDxfId="16"/>
    <tableColumn id="28" xr3:uid="{4E22942D-2708-4202-B8F9-8A024A4B10CE}" name="DATA NF EXP" dataDxfId="15"/>
    <tableColumn id="29" xr3:uid="{00AC04A8-5996-4896-B735-355B6F5BDA85}" name="DUE N°" dataDxfId="14"/>
    <tableColumn id="41" xr3:uid="{6F13BD23-18E6-441C-83C2-3BFF17D062B6}" name="CHAVE DA DU-E" dataDxfId="13"/>
    <tableColumn id="30" xr3:uid="{8B1E0DE8-5E97-4604-A1E6-228CD648FDA0}" name="DATA" dataDxfId="12"/>
    <tableColumn id="31" xr3:uid="{62638C29-B3B9-4E1D-8D12-6008AC574FE2}" name="DESEMBARAÇO" dataDxfId="11"/>
    <tableColumn id="32" xr3:uid="{2E2DA150-7110-496C-B6E0-73F84CB7298B}" name="AVERBAÇÃO" dataDxfId="10"/>
    <tableColumn id="33" xr3:uid="{21CB100D-12FC-4B94-963E-CA586FD9A2B3}" name="INVOICE Nº" dataDxfId="9">
      <calculatedColumnFormula>D2</calculatedColumnFormula>
    </tableColumn>
    <tableColumn id="34" xr3:uid="{0BDAC601-8537-4066-92D9-951E878FB04A}" name="DATA DA INVOICE" dataDxfId="8">
      <calculatedColumnFormula>AI2</calculatedColumnFormula>
    </tableColumn>
    <tableColumn id="35" xr3:uid="{E71A3671-5E7E-4694-A367-3309303BC163}" name="PREÇO" dataDxfId="7" dataCellStyle="Moeda"/>
    <tableColumn id="36" xr3:uid="{287931B2-948E-4668-A365-64CB95D04CD5}" name="VALOR TOTAL  USD" dataDxfId="6">
      <calculatedColumnFormula>Y2*AQ2</calculatedColumnFormula>
    </tableColumn>
    <tableColumn id="37" xr3:uid="{611393B8-AD93-4A20-9C42-C0218201062C}" name="TAXA" dataDxfId="5"/>
    <tableColumn id="38" xr3:uid="{F69BA65A-8597-45A4-BF4F-F63A4BB84716}" name="VALOR TOTAL REAL" dataDxfId="4" dataCellStyle="Moeda">
      <calculatedColumnFormula>Tabela2[[#This Row],[VALOR TOTAL  USD]]*Tabela2[[#This Row],[TAXA]]</calculatedColumnFormula>
    </tableColumn>
    <tableColumn id="44" xr3:uid="{50A63F55-07CA-44A5-A879-BB8694500539}" name="Previsto" dataDxfId="3"/>
    <tableColumn id="45" xr3:uid="{CD9316B7-BA2A-4A37-B6A8-33EFCA51431E}" name="Realizado" dataDxfId="2">
      <calculatedColumnFormula>Tabela2[[#This Row],[DATA]]-Tabela2[[#This Row],[CARREGAMENTO]]</calculatedColumnFormula>
    </tableColumn>
    <tableColumn id="46" xr3:uid="{4AA55AE5-CEF0-4243-B799-F0E6C5564E76}" name="Resultado" dataDxfId="1">
      <calculatedColumnFormula>Tabela2[[#This Row],[Realizado]]-Tabela2[[#This Row],[Previsto]]</calculatedColumnFormula>
    </tableColumn>
    <tableColumn id="47" xr3:uid="{9A0EC213-7615-4F79-ADE5-FDB2B3DE3C5A}" name="Resultado2" dataDxfId="0">
      <calculatedColumnFormula>IF(Tabela2[[#This Row],[Resultado]]&lt;=0,"Atendido","Não atendido")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1" dT="2024-09-27T14:17:25.79" personId="{93B15D6D-6C3E-43EE-8812-A0CD19086372}" id="{CBF04C68-9858-4098-92B7-D9A2114ED073}">
    <text xml:space="preserve">Entrega do documentos (AFB e BDN) para o despachante (via física) </text>
  </threadedComment>
  <threadedComment ref="A3" dT="2025-02-11T21:02:28.91" personId="{93B15D6D-6C3E-43EE-8812-A0CD19086372}" id="{18485056-03C7-4173-BA24-D48B22CF0ADF}">
    <text xml:space="preserve">Atualizado 11/02. </text>
  </threadedComment>
  <threadedComment ref="A4" dT="2025-02-11T21:02:28.91" personId="{93B15D6D-6C3E-43EE-8812-A0CD19086372}" id="{7D64E066-8B74-41C6-9621-56DF68B599F7}">
    <text xml:space="preserve">Atualizado 11/02. </text>
  </threadedComment>
  <threadedComment ref="A5" dT="2025-02-11T21:02:28.91" personId="{93B15D6D-6C3E-43EE-8812-A0CD19086372}" id="{1A019337-6468-4C38-80C0-3BFB749447A2}">
    <text xml:space="preserve">Atualizado 11/02. </text>
  </threadedComment>
  <threadedComment ref="A6" dT="2025-02-11T21:02:28.91" personId="{93B15D6D-6C3E-43EE-8812-A0CD19086372}" id="{D93CD161-6562-46D0-B8D5-2CD08D45A68E}">
    <text xml:space="preserve">Atualizado 11/02. </text>
  </threadedComment>
  <threadedComment ref="A8" dT="2025-02-11T21:02:28.91" personId="{93B15D6D-6C3E-43EE-8812-A0CD19086372}" id="{1CCE80BA-0369-48F2-909D-28311C7B5694}">
    <text xml:space="preserve">Atualizado 11/02. </text>
  </threadedComment>
  <threadedComment ref="A12" dT="2025-02-11T21:02:28.91" personId="{93B15D6D-6C3E-43EE-8812-A0CD19086372}" id="{7B4009B3-9F9F-46C0-836C-2EA57A1159D6}">
    <text xml:space="preserve">Atualizado 11/02. </text>
  </threadedComment>
  <threadedComment ref="A13" dT="2025-02-11T21:02:28.91" personId="{93B15D6D-6C3E-43EE-8812-A0CD19086372}" id="{ABA6FC83-C93E-413B-A763-850BAD0806CD}">
    <text xml:space="preserve">Atualizado 11/02. </text>
  </threadedComment>
  <threadedComment ref="A14" dT="2025-02-11T21:02:28.91" personId="{93B15D6D-6C3E-43EE-8812-A0CD19086372}" id="{13E4B304-3B3D-4593-A9C5-7AF24F7207DD}">
    <text xml:space="preserve">Atualizado 11/02. </text>
  </threadedComment>
  <threadedComment ref="A15" dT="2025-02-11T21:02:28.91" personId="{93B15D6D-6C3E-43EE-8812-A0CD19086372}" id="{F8863370-C624-4148-B49B-02C3A6286338}">
    <text xml:space="preserve">Atualizado 11/02. </text>
  </threadedComment>
  <threadedComment ref="A17" dT="2025-02-11T21:02:28.91" personId="{93B15D6D-6C3E-43EE-8812-A0CD19086372}" id="{03ED6ADC-75A6-4833-814F-C91E20BC5297}">
    <text xml:space="preserve">Atualizado 17/02. </text>
  </threadedComment>
  <threadedComment ref="A18" dT="2025-02-11T21:02:28.91" personId="{93B15D6D-6C3E-43EE-8812-A0CD19086372}" id="{76E09924-A73D-4E95-B501-42E858ECAEB1}">
    <text xml:space="preserve">Atualizado 11/02.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9/04/relationships/namedSheetView" Target="../namedSheetViews/namedSheetView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9/04/relationships/namedSheetView" Target="../namedSheetViews/namedSheetView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AW101"/>
  <sheetViews>
    <sheetView showGridLines="0" zoomScale="85" zoomScaleNormal="85" workbookViewId="0">
      <pane ySplit="1" topLeftCell="A2" activePane="bottomLeft" state="frozen"/>
      <selection pane="bottomLeft" activeCell="E19" sqref="E19"/>
    </sheetView>
  </sheetViews>
  <sheetFormatPr defaultRowHeight="12" outlineLevelCol="1" x14ac:dyDescent="0.2"/>
  <cols>
    <col min="1" max="1" width="14.5703125" style="18" bestFit="1" customWidth="1"/>
    <col min="2" max="2" width="14.42578125" style="18" bestFit="1" customWidth="1"/>
    <col min="3" max="3" width="17.85546875" style="18" bestFit="1" customWidth="1"/>
    <col min="4" max="4" width="16.42578125" style="18" bestFit="1" customWidth="1"/>
    <col min="5" max="5" width="27.5703125" style="18" customWidth="1" outlineLevel="1"/>
    <col min="6" max="6" width="16.5703125" style="18" customWidth="1" outlineLevel="1"/>
    <col min="7" max="7" width="21.42578125" style="18" customWidth="1" outlineLevel="1"/>
    <col min="8" max="8" width="29.85546875" style="18" customWidth="1" outlineLevel="1"/>
    <col min="9" max="9" width="33.5703125" style="18" bestFit="1" customWidth="1"/>
    <col min="10" max="10" width="13.140625" style="18" bestFit="1" customWidth="1"/>
    <col min="11" max="11" width="29.85546875" style="18" customWidth="1" outlineLevel="1"/>
    <col min="12" max="12" width="35" style="18" customWidth="1" outlineLevel="1"/>
    <col min="13" max="13" width="21.28515625" style="18" customWidth="1" outlineLevel="1"/>
    <col min="14" max="16" width="13.5703125" style="108" customWidth="1" outlineLevel="1"/>
    <col min="17" max="17" width="17.28515625" style="18" bestFit="1" customWidth="1"/>
    <col min="18" max="18" width="16.28515625" style="18" bestFit="1" customWidth="1"/>
    <col min="19" max="19" width="13.140625" style="18" bestFit="1" customWidth="1"/>
    <col min="20" max="20" width="16.42578125" style="18" bestFit="1" customWidth="1"/>
    <col min="21" max="21" width="24.28515625" style="18" customWidth="1"/>
    <col min="22" max="22" width="13.85546875" style="18" bestFit="1" customWidth="1"/>
    <col min="23" max="23" width="15.28515625" style="18" bestFit="1" customWidth="1"/>
    <col min="24" max="24" width="28.140625" style="18" bestFit="1" customWidth="1"/>
    <col min="25" max="25" width="23.5703125" style="18" bestFit="1" customWidth="1"/>
    <col min="26" max="26" width="23.28515625" style="18" bestFit="1" customWidth="1"/>
    <col min="27" max="27" width="24.5703125" style="18" bestFit="1" customWidth="1"/>
    <col min="28" max="28" width="25.85546875" style="18" bestFit="1" customWidth="1"/>
    <col min="29" max="29" width="13.28515625" style="18" bestFit="1" customWidth="1"/>
    <col min="30" max="30" width="35.140625" style="18" customWidth="1" outlineLevel="1"/>
    <col min="31" max="31" width="16.140625" style="18" customWidth="1" outlineLevel="1"/>
    <col min="32" max="32" width="22" style="18" customWidth="1" outlineLevel="1"/>
    <col min="33" max="33" width="16.140625" style="18" customWidth="1" outlineLevel="1"/>
    <col min="34" max="34" width="19.5703125" style="18" customWidth="1" outlineLevel="1"/>
    <col min="35" max="35" width="16.5703125" style="18" bestFit="1" customWidth="1"/>
    <col min="36" max="36" width="18.140625" style="18" customWidth="1" outlineLevel="1"/>
    <col min="37" max="37" width="12.140625" style="18" customWidth="1" outlineLevel="1"/>
    <col min="38" max="38" width="21.42578125" style="18" customWidth="1" outlineLevel="1"/>
    <col min="39" max="39" width="18.5703125" style="18" customWidth="1" outlineLevel="1"/>
    <col min="40" max="40" width="17" style="18" customWidth="1" outlineLevel="1"/>
    <col min="41" max="41" width="23.85546875" style="18" bestFit="1" customWidth="1"/>
    <col min="42" max="42" width="13.7109375" style="18" bestFit="1" customWidth="1"/>
    <col min="43" max="43" width="26.42578125" style="18" bestFit="1" customWidth="1"/>
    <col min="44" max="44" width="12.140625" style="18" bestFit="1" customWidth="1"/>
    <col min="45" max="45" width="26.85546875" style="18" bestFit="1" customWidth="1"/>
    <col min="46" max="46" width="14.42578125" style="18" bestFit="1" customWidth="1"/>
    <col min="47" max="47" width="16.140625" style="18" bestFit="1" customWidth="1"/>
    <col min="48" max="48" width="16.28515625" style="18" bestFit="1" customWidth="1"/>
    <col min="49" max="49" width="17.42578125" style="18" bestFit="1" customWidth="1"/>
    <col min="50" max="16384" width="9.140625" style="18"/>
  </cols>
  <sheetData>
    <row r="1" spans="1:49" s="112" customFormat="1" x14ac:dyDescent="0.2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8</v>
      </c>
      <c r="G1" s="37" t="s">
        <v>194</v>
      </c>
      <c r="H1" s="37" t="s">
        <v>5</v>
      </c>
      <c r="I1" s="37" t="s">
        <v>6</v>
      </c>
      <c r="J1" s="37" t="s">
        <v>7</v>
      </c>
      <c r="K1" s="38" t="s">
        <v>9</v>
      </c>
      <c r="L1" s="37" t="s">
        <v>10</v>
      </c>
      <c r="M1" s="37" t="s">
        <v>57</v>
      </c>
      <c r="N1" s="106" t="s">
        <v>566</v>
      </c>
      <c r="O1" s="106" t="s">
        <v>871</v>
      </c>
      <c r="P1" s="106" t="s">
        <v>824</v>
      </c>
      <c r="Q1" s="37" t="s">
        <v>58</v>
      </c>
      <c r="R1" s="39" t="s">
        <v>11</v>
      </c>
      <c r="S1" s="37" t="s">
        <v>12</v>
      </c>
      <c r="T1" s="39" t="s">
        <v>13</v>
      </c>
      <c r="U1" s="43" t="s">
        <v>14</v>
      </c>
      <c r="V1" s="43" t="s">
        <v>15</v>
      </c>
      <c r="W1" s="37" t="s">
        <v>16</v>
      </c>
      <c r="X1" s="44" t="s">
        <v>17</v>
      </c>
      <c r="Y1" s="43" t="s">
        <v>18</v>
      </c>
      <c r="Z1" s="39" t="s">
        <v>19</v>
      </c>
      <c r="AA1" s="39" t="s">
        <v>396</v>
      </c>
      <c r="AB1" s="65" t="s">
        <v>20</v>
      </c>
      <c r="AC1" s="37" t="s">
        <v>21</v>
      </c>
      <c r="AD1" s="37" t="s">
        <v>22</v>
      </c>
      <c r="AE1" s="37" t="s">
        <v>23</v>
      </c>
      <c r="AF1" s="39" t="s">
        <v>24</v>
      </c>
      <c r="AG1" s="37" t="s">
        <v>25</v>
      </c>
      <c r="AH1" s="39" t="s">
        <v>26</v>
      </c>
      <c r="AI1" s="37" t="s">
        <v>27</v>
      </c>
      <c r="AJ1" s="37" t="s">
        <v>223</v>
      </c>
      <c r="AK1" s="39" t="s">
        <v>28</v>
      </c>
      <c r="AL1" s="39" t="s">
        <v>29</v>
      </c>
      <c r="AM1" s="39" t="s">
        <v>30</v>
      </c>
      <c r="AN1" s="37" t="s">
        <v>31</v>
      </c>
      <c r="AO1" s="39" t="s">
        <v>32</v>
      </c>
      <c r="AP1" s="40" t="s">
        <v>33</v>
      </c>
      <c r="AQ1" s="40" t="s">
        <v>34</v>
      </c>
      <c r="AR1" s="41" t="s">
        <v>35</v>
      </c>
      <c r="AS1" s="42" t="s">
        <v>36</v>
      </c>
      <c r="AT1" s="69" t="s">
        <v>406</v>
      </c>
      <c r="AU1" s="70" t="s">
        <v>407</v>
      </c>
      <c r="AV1" s="70" t="s">
        <v>408</v>
      </c>
      <c r="AW1" s="70" t="s">
        <v>409</v>
      </c>
    </row>
    <row r="2" spans="1:49" s="113" customFormat="1" ht="13.9" customHeight="1" x14ac:dyDescent="0.2">
      <c r="A2" s="17" t="s">
        <v>37</v>
      </c>
      <c r="B2" s="2" t="s">
        <v>59</v>
      </c>
      <c r="C2" s="3">
        <v>20250002</v>
      </c>
      <c r="D2" s="2" t="s">
        <v>46</v>
      </c>
      <c r="E2" s="2" t="s">
        <v>44</v>
      </c>
      <c r="F2" s="2">
        <v>9156462</v>
      </c>
      <c r="G2" s="2" t="s">
        <v>71</v>
      </c>
      <c r="H2" s="2" t="s">
        <v>48</v>
      </c>
      <c r="I2" s="2" t="s">
        <v>51</v>
      </c>
      <c r="J2" s="2">
        <v>25000015038</v>
      </c>
      <c r="K2" s="2" t="s">
        <v>793</v>
      </c>
      <c r="L2" s="2" t="s">
        <v>55</v>
      </c>
      <c r="M2" s="2" t="s">
        <v>42</v>
      </c>
      <c r="N2" s="107">
        <v>4250</v>
      </c>
      <c r="O2" s="107">
        <v>4250</v>
      </c>
      <c r="P2" s="107">
        <f>Tabela1[[#This Row],[Valor anterior]]-Tabela1[[#This Row],[VALOR]]</f>
        <v>0</v>
      </c>
      <c r="Q2" s="14" t="s">
        <v>72</v>
      </c>
      <c r="R2" s="4">
        <v>45660</v>
      </c>
      <c r="S2" s="7" t="s">
        <v>80</v>
      </c>
      <c r="T2" s="4">
        <v>45673</v>
      </c>
      <c r="U2" s="5">
        <v>300</v>
      </c>
      <c r="V2" s="5">
        <v>300</v>
      </c>
      <c r="W2" s="6" t="s">
        <v>43</v>
      </c>
      <c r="X2" s="15">
        <v>297.68900000000002</v>
      </c>
      <c r="Y2" s="5">
        <f t="shared" ref="Y2:Y33" si="0">V2-X2</f>
        <v>2.3109999999999786</v>
      </c>
      <c r="Z2" s="4">
        <v>45674</v>
      </c>
      <c r="AA2" s="4" t="str">
        <f t="shared" ref="AA2:AA33" si="1">IF(Z2="","",UPPER(TEXT(Z2,"MMM")))</f>
        <v>JAN</v>
      </c>
      <c r="AB2" s="4">
        <f t="shared" ref="AB2:AB20" si="2">Z2+14</f>
        <v>45688</v>
      </c>
      <c r="AC2" s="2">
        <v>137</v>
      </c>
      <c r="AD2" s="7">
        <v>45684</v>
      </c>
      <c r="AE2" s="7" t="s">
        <v>105</v>
      </c>
      <c r="AF2" s="4">
        <v>45683</v>
      </c>
      <c r="AG2" s="7" t="s">
        <v>106</v>
      </c>
      <c r="AH2" s="4">
        <v>45684</v>
      </c>
      <c r="AI2" s="2" t="s">
        <v>114</v>
      </c>
      <c r="AJ2" s="2" t="s">
        <v>668</v>
      </c>
      <c r="AK2" s="4">
        <v>45686</v>
      </c>
      <c r="AL2" s="4">
        <v>45686</v>
      </c>
      <c r="AM2" s="4">
        <v>45686</v>
      </c>
      <c r="AN2" s="2">
        <f t="shared" ref="AN2:AN33" si="3">C2</f>
        <v>20250002</v>
      </c>
      <c r="AO2" s="4">
        <f t="shared" ref="AO2:AO21" si="4">AH2</f>
        <v>45684</v>
      </c>
      <c r="AP2" s="16">
        <v>795.66</v>
      </c>
      <c r="AQ2" s="8">
        <f t="shared" ref="AQ2:AQ33" si="5">X2*AP2</f>
        <v>236859.22974000001</v>
      </c>
      <c r="AR2" s="13">
        <v>5.8918999999999997</v>
      </c>
      <c r="AS2" s="19">
        <f>Tabela1[[#This Row],[TAXA]]*Tabela1[[#This Row],[VALOR TOTAL  USD]]</f>
        <v>1395550.895705106</v>
      </c>
      <c r="AT2" s="71">
        <v>14</v>
      </c>
      <c r="AU2" s="72">
        <f>Tabela1[[#This Row],[DATA NF EXP]]-Tabela1[[#This Row],[CARREGAMENTO]]</f>
        <v>10</v>
      </c>
      <c r="AV2" s="72">
        <f>Tabela1[[#This Row],[Realizado]]-Tabela1[[#This Row],[Previsto]]</f>
        <v>-4</v>
      </c>
      <c r="AW2" s="72" t="str">
        <f>IF(Tabela1[[#This Row],[Resultado]]&lt;=0,"Atendido","Não atendido")</f>
        <v>Atendido</v>
      </c>
    </row>
    <row r="3" spans="1:49" s="113" customFormat="1" x14ac:dyDescent="0.2">
      <c r="A3" s="20" t="s">
        <v>37</v>
      </c>
      <c r="B3" s="2" t="s">
        <v>59</v>
      </c>
      <c r="C3" s="2">
        <v>20240107</v>
      </c>
      <c r="D3" s="2" t="s">
        <v>46</v>
      </c>
      <c r="E3" s="2" t="s">
        <v>39</v>
      </c>
      <c r="F3" s="2">
        <v>7801738</v>
      </c>
      <c r="G3" s="2" t="s">
        <v>54</v>
      </c>
      <c r="H3" s="2" t="s">
        <v>61</v>
      </c>
      <c r="I3" s="2" t="s">
        <v>53</v>
      </c>
      <c r="J3" s="2">
        <v>24000482290</v>
      </c>
      <c r="K3" s="2" t="s">
        <v>160</v>
      </c>
      <c r="L3" s="2" t="s">
        <v>45</v>
      </c>
      <c r="M3" s="2" t="s">
        <v>42</v>
      </c>
      <c r="N3" s="107">
        <v>4250</v>
      </c>
      <c r="O3" s="107">
        <v>4250</v>
      </c>
      <c r="P3" s="107">
        <f>Tabela1[[#This Row],[Valor anterior]]-Tabela1[[#This Row],[VALOR]]</f>
        <v>0</v>
      </c>
      <c r="Q3" s="14" t="s">
        <v>62</v>
      </c>
      <c r="R3" s="4">
        <v>45660</v>
      </c>
      <c r="S3" s="7" t="s">
        <v>81</v>
      </c>
      <c r="T3" s="4">
        <v>45645</v>
      </c>
      <c r="U3" s="5">
        <v>150</v>
      </c>
      <c r="V3" s="5">
        <v>200</v>
      </c>
      <c r="W3" s="6" t="s">
        <v>43</v>
      </c>
      <c r="X3" s="15">
        <v>33.322000000000003</v>
      </c>
      <c r="Y3" s="5">
        <f t="shared" si="0"/>
        <v>166.678</v>
      </c>
      <c r="Z3" s="4">
        <v>45645</v>
      </c>
      <c r="AA3" s="4" t="str">
        <f t="shared" si="1"/>
        <v>DEZ</v>
      </c>
      <c r="AB3" s="4">
        <f t="shared" si="2"/>
        <v>45659</v>
      </c>
      <c r="AC3" s="2">
        <v>126</v>
      </c>
      <c r="AD3" s="7">
        <v>45673</v>
      </c>
      <c r="AE3" s="2" t="s">
        <v>700</v>
      </c>
      <c r="AF3" s="4">
        <v>45677</v>
      </c>
      <c r="AG3" s="4" t="s">
        <v>701</v>
      </c>
      <c r="AH3" s="4">
        <v>45666</v>
      </c>
      <c r="AI3" s="2" t="s">
        <v>122</v>
      </c>
      <c r="AJ3" s="2" t="s">
        <v>122</v>
      </c>
      <c r="AK3" s="4" t="s">
        <v>122</v>
      </c>
      <c r="AL3" s="4" t="s">
        <v>122</v>
      </c>
      <c r="AM3" s="4" t="s">
        <v>122</v>
      </c>
      <c r="AN3" s="2">
        <f t="shared" si="3"/>
        <v>20240107</v>
      </c>
      <c r="AO3" s="4">
        <f t="shared" si="4"/>
        <v>45666</v>
      </c>
      <c r="AP3" s="16">
        <v>0</v>
      </c>
      <c r="AQ3" s="8">
        <f t="shared" si="5"/>
        <v>0</v>
      </c>
      <c r="AR3" s="4" t="s">
        <v>254</v>
      </c>
      <c r="AS3" s="19">
        <v>252149.66</v>
      </c>
      <c r="AT3" s="71">
        <v>14</v>
      </c>
      <c r="AU3" s="72">
        <f>Tabela1[[#This Row],[DATA NF EXP]]-Tabela1[[#This Row],[CARREGAMENTO]]</f>
        <v>21</v>
      </c>
      <c r="AV3" s="72">
        <f>Tabela1[[#This Row],[Realizado]]-Tabela1[[#This Row],[Previsto]]</f>
        <v>7</v>
      </c>
      <c r="AW3" s="72" t="str">
        <f>IF(Tabela1[[#This Row],[Resultado]]&lt;=0,"Atendido","Não atendido")</f>
        <v>Não atendido</v>
      </c>
    </row>
    <row r="4" spans="1:49" s="113" customFormat="1" x14ac:dyDescent="0.2">
      <c r="A4" s="20" t="s">
        <v>37</v>
      </c>
      <c r="B4" s="2" t="s">
        <v>59</v>
      </c>
      <c r="C4" s="2">
        <v>20240108</v>
      </c>
      <c r="D4" s="2" t="s">
        <v>38</v>
      </c>
      <c r="E4" s="2" t="s">
        <v>44</v>
      </c>
      <c r="F4" s="2">
        <v>9307346</v>
      </c>
      <c r="G4" s="2" t="s">
        <v>63</v>
      </c>
      <c r="H4" s="2" t="s">
        <v>40</v>
      </c>
      <c r="I4" s="2" t="s">
        <v>187</v>
      </c>
      <c r="J4" s="2">
        <v>25000004257</v>
      </c>
      <c r="K4" s="2" t="s">
        <v>160</v>
      </c>
      <c r="L4" s="2" t="s">
        <v>50</v>
      </c>
      <c r="M4" s="2" t="s">
        <v>42</v>
      </c>
      <c r="N4" s="107">
        <v>4250</v>
      </c>
      <c r="O4" s="107">
        <v>4250</v>
      </c>
      <c r="P4" s="107">
        <f>Tabela1[[#This Row],[Valor anterior]]-Tabela1[[#This Row],[VALOR]]</f>
        <v>0</v>
      </c>
      <c r="Q4" s="14" t="s">
        <v>64</v>
      </c>
      <c r="R4" s="4">
        <v>45660</v>
      </c>
      <c r="S4" s="7" t="s">
        <v>74</v>
      </c>
      <c r="T4" s="4">
        <v>45667</v>
      </c>
      <c r="U4" s="5">
        <v>480</v>
      </c>
      <c r="V4" s="5">
        <v>500</v>
      </c>
      <c r="W4" s="6" t="s">
        <v>43</v>
      </c>
      <c r="X4" s="15">
        <v>401.40800000000002</v>
      </c>
      <c r="Y4" s="5">
        <f t="shared" si="0"/>
        <v>98.591999999999985</v>
      </c>
      <c r="Z4" s="4">
        <v>45667</v>
      </c>
      <c r="AA4" s="4" t="str">
        <f t="shared" si="1"/>
        <v>JAN</v>
      </c>
      <c r="AB4" s="4">
        <f t="shared" si="2"/>
        <v>45681</v>
      </c>
      <c r="AC4" s="2">
        <v>134</v>
      </c>
      <c r="AD4" s="7">
        <v>45673</v>
      </c>
      <c r="AE4" s="7" t="s">
        <v>138</v>
      </c>
      <c r="AF4" s="4">
        <v>45680</v>
      </c>
      <c r="AG4" s="7" t="s">
        <v>139</v>
      </c>
      <c r="AH4" s="4">
        <v>45681</v>
      </c>
      <c r="AI4" s="2" t="s">
        <v>655</v>
      </c>
      <c r="AJ4" s="2" t="s">
        <v>663</v>
      </c>
      <c r="AK4" s="4">
        <v>45681</v>
      </c>
      <c r="AL4" s="4">
        <v>45681</v>
      </c>
      <c r="AM4" s="4">
        <v>45681</v>
      </c>
      <c r="AN4" s="2">
        <f t="shared" si="3"/>
        <v>20240108</v>
      </c>
      <c r="AO4" s="4">
        <f t="shared" si="4"/>
        <v>45681</v>
      </c>
      <c r="AP4" s="16">
        <v>616.98</v>
      </c>
      <c r="AQ4" s="8">
        <f t="shared" si="5"/>
        <v>247660.70784000002</v>
      </c>
      <c r="AR4" s="13">
        <v>5.9393000000000002</v>
      </c>
      <c r="AS4" s="19">
        <f>Tabela1[[#This Row],[TAXA]]*Tabela1[[#This Row],[VALOR TOTAL  USD]]</f>
        <v>1470931.2420741122</v>
      </c>
      <c r="AT4" s="71">
        <v>14</v>
      </c>
      <c r="AU4" s="72">
        <f>Tabela1[[#This Row],[DATA NF EXP]]-Tabela1[[#This Row],[CARREGAMENTO]]</f>
        <v>14</v>
      </c>
      <c r="AV4" s="72">
        <f>Tabela1[[#This Row],[Realizado]]-Tabela1[[#This Row],[Previsto]]</f>
        <v>0</v>
      </c>
      <c r="AW4" s="72" t="str">
        <f>IF(Tabela1[[#This Row],[Resultado]]&lt;=0,"Atendido","Não atendido")</f>
        <v>Atendido</v>
      </c>
    </row>
    <row r="5" spans="1:49" s="113" customFormat="1" x14ac:dyDescent="0.2">
      <c r="A5" s="20" t="s">
        <v>37</v>
      </c>
      <c r="B5" s="2" t="s">
        <v>59</v>
      </c>
      <c r="C5" s="2">
        <v>20240109</v>
      </c>
      <c r="D5" s="2" t="s">
        <v>46</v>
      </c>
      <c r="E5" s="2" t="s">
        <v>44</v>
      </c>
      <c r="F5" s="2">
        <v>9307346</v>
      </c>
      <c r="G5" s="2" t="s">
        <v>63</v>
      </c>
      <c r="H5" s="2" t="s">
        <v>40</v>
      </c>
      <c r="I5" s="2" t="s">
        <v>187</v>
      </c>
      <c r="J5" s="2">
        <v>25000004257</v>
      </c>
      <c r="K5" s="2" t="s">
        <v>160</v>
      </c>
      <c r="L5" s="2" t="s">
        <v>50</v>
      </c>
      <c r="M5" s="2" t="s">
        <v>42</v>
      </c>
      <c r="N5" s="107">
        <v>4250</v>
      </c>
      <c r="O5" s="107">
        <v>4250</v>
      </c>
      <c r="P5" s="107">
        <f>Tabela1[[#This Row],[Valor anterior]]-Tabela1[[#This Row],[VALOR]]</f>
        <v>0</v>
      </c>
      <c r="Q5" s="14" t="s">
        <v>65</v>
      </c>
      <c r="R5" s="4">
        <v>45660</v>
      </c>
      <c r="S5" s="7" t="s">
        <v>75</v>
      </c>
      <c r="T5" s="4">
        <v>45666</v>
      </c>
      <c r="U5" s="5">
        <v>350</v>
      </c>
      <c r="V5" s="5">
        <v>400</v>
      </c>
      <c r="W5" s="6" t="s">
        <v>43</v>
      </c>
      <c r="X5" s="15">
        <v>355.80599999999998</v>
      </c>
      <c r="Y5" s="5">
        <f t="shared" si="0"/>
        <v>44.194000000000017</v>
      </c>
      <c r="Z5" s="4">
        <v>45668</v>
      </c>
      <c r="AA5" s="4" t="str">
        <f t="shared" si="1"/>
        <v>JAN</v>
      </c>
      <c r="AB5" s="4">
        <f t="shared" si="2"/>
        <v>45682</v>
      </c>
      <c r="AC5" s="2">
        <v>133</v>
      </c>
      <c r="AD5" s="7">
        <v>45673</v>
      </c>
      <c r="AE5" s="7" t="s">
        <v>148</v>
      </c>
      <c r="AF5" s="4">
        <v>45680</v>
      </c>
      <c r="AG5" s="7" t="s">
        <v>149</v>
      </c>
      <c r="AH5" s="4">
        <v>45679</v>
      </c>
      <c r="AI5" s="2" t="s">
        <v>150</v>
      </c>
      <c r="AJ5" s="2" t="s">
        <v>664</v>
      </c>
      <c r="AK5" s="4">
        <v>45680</v>
      </c>
      <c r="AL5" s="4">
        <v>45680</v>
      </c>
      <c r="AM5" s="4">
        <v>45680</v>
      </c>
      <c r="AN5" s="2">
        <f t="shared" si="3"/>
        <v>20240109</v>
      </c>
      <c r="AO5" s="4">
        <f t="shared" si="4"/>
        <v>45679</v>
      </c>
      <c r="AP5" s="16">
        <v>871.68</v>
      </c>
      <c r="AQ5" s="8">
        <f t="shared" si="5"/>
        <v>310148.97407999996</v>
      </c>
      <c r="AR5" s="13">
        <v>6.0434000000000001</v>
      </c>
      <c r="AS5" s="19">
        <f>Tabela1[[#This Row],[TAXA]]*Tabela1[[#This Row],[VALOR TOTAL  USD]]</f>
        <v>1874354.3099550717</v>
      </c>
      <c r="AT5" s="71">
        <v>14</v>
      </c>
      <c r="AU5" s="72">
        <f>Tabela1[[#This Row],[DATA NF EXP]]-Tabela1[[#This Row],[CARREGAMENTO]]</f>
        <v>11</v>
      </c>
      <c r="AV5" s="72">
        <f>Tabela1[[#This Row],[Realizado]]-Tabela1[[#This Row],[Previsto]]</f>
        <v>-3</v>
      </c>
      <c r="AW5" s="72" t="str">
        <f>IF(Tabela1[[#This Row],[Resultado]]&lt;=0,"Atendido","Não atendido")</f>
        <v>Atendido</v>
      </c>
    </row>
    <row r="6" spans="1:49" x14ac:dyDescent="0.2">
      <c r="A6" s="20" t="s">
        <v>37</v>
      </c>
      <c r="B6" s="2" t="s">
        <v>59</v>
      </c>
      <c r="C6" s="2">
        <v>20240110</v>
      </c>
      <c r="D6" s="2" t="s">
        <v>46</v>
      </c>
      <c r="E6" s="2" t="s">
        <v>44</v>
      </c>
      <c r="F6" s="2">
        <v>9187899</v>
      </c>
      <c r="G6" s="2" t="s">
        <v>66</v>
      </c>
      <c r="H6" s="2" t="s">
        <v>48</v>
      </c>
      <c r="I6" s="2" t="s">
        <v>51</v>
      </c>
      <c r="J6" s="2">
        <v>24000645963</v>
      </c>
      <c r="K6" s="2" t="s">
        <v>793</v>
      </c>
      <c r="L6" s="2" t="s">
        <v>55</v>
      </c>
      <c r="M6" s="2" t="s">
        <v>42</v>
      </c>
      <c r="N6" s="107">
        <v>4250</v>
      </c>
      <c r="O6" s="107">
        <v>4250</v>
      </c>
      <c r="P6" s="107">
        <f>Tabela1[[#This Row],[Valor anterior]]-Tabela1[[#This Row],[VALOR]]</f>
        <v>0</v>
      </c>
      <c r="Q6" s="14" t="s">
        <v>67</v>
      </c>
      <c r="R6" s="4">
        <v>45660</v>
      </c>
      <c r="S6" s="7" t="s">
        <v>76</v>
      </c>
      <c r="T6" s="4">
        <v>45668</v>
      </c>
      <c r="U6" s="5">
        <v>650</v>
      </c>
      <c r="V6" s="5">
        <v>500</v>
      </c>
      <c r="W6" s="6" t="s">
        <v>43</v>
      </c>
      <c r="X6" s="15">
        <v>417.75599999999997</v>
      </c>
      <c r="Y6" s="5">
        <f t="shared" si="0"/>
        <v>82.244000000000028</v>
      </c>
      <c r="Z6" s="4">
        <v>45668</v>
      </c>
      <c r="AA6" s="4" t="str">
        <f t="shared" si="1"/>
        <v>JAN</v>
      </c>
      <c r="AB6" s="4">
        <f t="shared" si="2"/>
        <v>45682</v>
      </c>
      <c r="AC6" s="2">
        <v>135</v>
      </c>
      <c r="AD6" s="7">
        <v>45673</v>
      </c>
      <c r="AE6" s="7" t="s">
        <v>152</v>
      </c>
      <c r="AF6" s="4">
        <v>45680</v>
      </c>
      <c r="AG6" s="7" t="s">
        <v>153</v>
      </c>
      <c r="AH6" s="4">
        <v>45679</v>
      </c>
      <c r="AI6" s="2" t="s">
        <v>656</v>
      </c>
      <c r="AJ6" s="2" t="s">
        <v>665</v>
      </c>
      <c r="AK6" s="4">
        <v>45680</v>
      </c>
      <c r="AL6" s="4">
        <v>45680</v>
      </c>
      <c r="AM6" s="4">
        <v>45680</v>
      </c>
      <c r="AN6" s="2">
        <f t="shared" si="3"/>
        <v>20240110</v>
      </c>
      <c r="AO6" s="4">
        <f t="shared" si="4"/>
        <v>45679</v>
      </c>
      <c r="AP6" s="16">
        <v>781.68899999999996</v>
      </c>
      <c r="AQ6" s="8">
        <f t="shared" si="5"/>
        <v>326555.26988399995</v>
      </c>
      <c r="AR6" s="13">
        <v>6.0890000000000004</v>
      </c>
      <c r="AS6" s="19">
        <f>Tabela1[[#This Row],[TAXA]]*Tabela1[[#This Row],[VALOR TOTAL  USD]]</f>
        <v>1988395.0383236757</v>
      </c>
      <c r="AT6" s="71">
        <v>14</v>
      </c>
      <c r="AU6" s="72">
        <f>Tabela1[[#This Row],[DATA NF EXP]]-Tabela1[[#This Row],[CARREGAMENTO]]</f>
        <v>11</v>
      </c>
      <c r="AV6" s="72">
        <f>Tabela1[[#This Row],[Realizado]]-Tabela1[[#This Row],[Previsto]]</f>
        <v>-3</v>
      </c>
      <c r="AW6" s="72" t="str">
        <f>IF(Tabela1[[#This Row],[Resultado]]&lt;=0,"Atendido","Não atendido")</f>
        <v>Atendido</v>
      </c>
    </row>
    <row r="7" spans="1:49" x14ac:dyDescent="0.2">
      <c r="A7" s="17" t="s">
        <v>37</v>
      </c>
      <c r="B7" s="2" t="s">
        <v>59</v>
      </c>
      <c r="C7" s="3">
        <v>20250001</v>
      </c>
      <c r="D7" s="2" t="s">
        <v>38</v>
      </c>
      <c r="E7" s="2" t="s">
        <v>44</v>
      </c>
      <c r="F7" s="2">
        <v>9725421</v>
      </c>
      <c r="G7" s="2" t="s">
        <v>52</v>
      </c>
      <c r="H7" s="2" t="s">
        <v>48</v>
      </c>
      <c r="I7" s="2" t="s">
        <v>60</v>
      </c>
      <c r="J7" s="2">
        <v>24000628422</v>
      </c>
      <c r="K7" s="2" t="s">
        <v>793</v>
      </c>
      <c r="L7" s="2" t="s">
        <v>47</v>
      </c>
      <c r="M7" s="2" t="s">
        <v>42</v>
      </c>
      <c r="N7" s="107">
        <v>4250</v>
      </c>
      <c r="O7" s="107">
        <v>4250</v>
      </c>
      <c r="P7" s="107">
        <f>Tabela1[[#This Row],[Valor anterior]]-Tabela1[[#This Row],[VALOR]]</f>
        <v>0</v>
      </c>
      <c r="Q7" s="14" t="s">
        <v>68</v>
      </c>
      <c r="R7" s="4">
        <v>45660</v>
      </c>
      <c r="S7" s="7" t="s">
        <v>77</v>
      </c>
      <c r="T7" s="4">
        <v>45670</v>
      </c>
      <c r="U7" s="5">
        <v>150</v>
      </c>
      <c r="V7" s="5">
        <v>200</v>
      </c>
      <c r="W7" s="6" t="s">
        <v>43</v>
      </c>
      <c r="X7" s="15">
        <v>138</v>
      </c>
      <c r="Y7" s="5">
        <f t="shared" si="0"/>
        <v>62</v>
      </c>
      <c r="Z7" s="4">
        <v>45670</v>
      </c>
      <c r="AA7" s="4" t="str">
        <f t="shared" si="1"/>
        <v>JAN</v>
      </c>
      <c r="AB7" s="4">
        <f t="shared" si="2"/>
        <v>45684</v>
      </c>
      <c r="AC7" s="2">
        <v>136</v>
      </c>
      <c r="AD7" s="7">
        <v>45673</v>
      </c>
      <c r="AE7" s="7" t="s">
        <v>99</v>
      </c>
      <c r="AF7" s="4">
        <v>45680</v>
      </c>
      <c r="AG7" s="7" t="s">
        <v>100</v>
      </c>
      <c r="AH7" s="4">
        <v>45681</v>
      </c>
      <c r="AI7" s="2" t="s">
        <v>101</v>
      </c>
      <c r="AJ7" s="2" t="s">
        <v>667</v>
      </c>
      <c r="AK7" s="4">
        <v>45684</v>
      </c>
      <c r="AL7" s="4">
        <v>45684</v>
      </c>
      <c r="AM7" s="4">
        <v>45684</v>
      </c>
      <c r="AN7" s="2">
        <f t="shared" si="3"/>
        <v>20250001</v>
      </c>
      <c r="AO7" s="4">
        <f t="shared" si="4"/>
        <v>45681</v>
      </c>
      <c r="AP7" s="16">
        <v>612.59</v>
      </c>
      <c r="AQ7" s="8">
        <f t="shared" si="5"/>
        <v>84537.42</v>
      </c>
      <c r="AR7" s="13">
        <v>5.9393000000000002</v>
      </c>
      <c r="AS7" s="19">
        <f>Tabela1[[#This Row],[TAXA]]*Tabela1[[#This Row],[VALOR TOTAL  USD]]</f>
        <v>502093.09860600001</v>
      </c>
      <c r="AT7" s="71">
        <v>14</v>
      </c>
      <c r="AU7" s="72">
        <f>Tabela1[[#This Row],[DATA NF EXP]]-Tabela1[[#This Row],[CARREGAMENTO]]</f>
        <v>11</v>
      </c>
      <c r="AV7" s="72">
        <f>Tabela1[[#This Row],[Realizado]]-Tabela1[[#This Row],[Previsto]]</f>
        <v>-3</v>
      </c>
      <c r="AW7" s="72" t="str">
        <f>IF(Tabela1[[#This Row],[Resultado]]&lt;=0,"Atendido","Não atendido")</f>
        <v>Atendido</v>
      </c>
    </row>
    <row r="8" spans="1:49" x14ac:dyDescent="0.2">
      <c r="A8" s="20" t="s">
        <v>37</v>
      </c>
      <c r="B8" s="2" t="s">
        <v>59</v>
      </c>
      <c r="C8" s="3">
        <v>20240112</v>
      </c>
      <c r="D8" s="2" t="s">
        <v>46</v>
      </c>
      <c r="E8" s="2" t="s">
        <v>44</v>
      </c>
      <c r="F8" s="2">
        <v>9380972</v>
      </c>
      <c r="G8" s="2" t="s">
        <v>69</v>
      </c>
      <c r="H8" s="2" t="s">
        <v>40</v>
      </c>
      <c r="I8" s="2" t="s">
        <v>49</v>
      </c>
      <c r="J8" s="2">
        <v>25000002734</v>
      </c>
      <c r="K8" s="2" t="s">
        <v>41</v>
      </c>
      <c r="L8" s="2" t="s">
        <v>47</v>
      </c>
      <c r="M8" s="2" t="s">
        <v>42</v>
      </c>
      <c r="N8" s="107">
        <v>4250</v>
      </c>
      <c r="O8" s="107">
        <v>4250</v>
      </c>
      <c r="P8" s="107">
        <f>Tabela1[[#This Row],[Valor anterior]]-Tabela1[[#This Row],[VALOR]]</f>
        <v>0</v>
      </c>
      <c r="Q8" s="14" t="s">
        <v>70</v>
      </c>
      <c r="R8" s="4">
        <v>45664</v>
      </c>
      <c r="S8" s="7" t="s">
        <v>73</v>
      </c>
      <c r="T8" s="4">
        <v>45666</v>
      </c>
      <c r="U8" s="5">
        <v>90</v>
      </c>
      <c r="V8" s="5">
        <v>100</v>
      </c>
      <c r="W8" s="6" t="s">
        <v>43</v>
      </c>
      <c r="X8" s="15">
        <v>91.123999999999995</v>
      </c>
      <c r="Y8" s="5">
        <f t="shared" si="0"/>
        <v>8.8760000000000048</v>
      </c>
      <c r="Z8" s="4">
        <v>45667</v>
      </c>
      <c r="AA8" s="4" t="str">
        <f t="shared" si="1"/>
        <v>JAN</v>
      </c>
      <c r="AB8" s="4">
        <f t="shared" si="2"/>
        <v>45681</v>
      </c>
      <c r="AC8" s="2">
        <v>131</v>
      </c>
      <c r="AD8" s="7">
        <v>45674</v>
      </c>
      <c r="AE8" s="7" t="s">
        <v>102</v>
      </c>
      <c r="AF8" s="4">
        <v>45666</v>
      </c>
      <c r="AG8" s="7" t="s">
        <v>103</v>
      </c>
      <c r="AH8" s="4">
        <v>45667</v>
      </c>
      <c r="AI8" s="2" t="s">
        <v>104</v>
      </c>
      <c r="AJ8" s="2" t="s">
        <v>666</v>
      </c>
      <c r="AK8" s="4">
        <v>45684</v>
      </c>
      <c r="AL8" s="4">
        <v>45684</v>
      </c>
      <c r="AM8" s="4">
        <v>45684</v>
      </c>
      <c r="AN8" s="2">
        <f t="shared" si="3"/>
        <v>20240112</v>
      </c>
      <c r="AO8" s="4">
        <f t="shared" si="4"/>
        <v>45667</v>
      </c>
      <c r="AP8" s="16">
        <v>862.38</v>
      </c>
      <c r="AQ8" s="8">
        <f t="shared" si="5"/>
        <v>78583.515119999996</v>
      </c>
      <c r="AR8" s="13">
        <v>6.1315</v>
      </c>
      <c r="AS8" s="19">
        <f>Tabela1[[#This Row],[TAXA]]*Tabela1[[#This Row],[VALOR TOTAL  USD]]</f>
        <v>481834.82295827998</v>
      </c>
      <c r="AT8" s="71">
        <v>14</v>
      </c>
      <c r="AU8" s="72">
        <f>Tabela1[[#This Row],[DATA NF EXP]]-Tabela1[[#This Row],[CARREGAMENTO]]</f>
        <v>0</v>
      </c>
      <c r="AV8" s="72">
        <f>Tabela1[[#This Row],[Realizado]]-Tabela1[[#This Row],[Previsto]]</f>
        <v>-14</v>
      </c>
      <c r="AW8" s="72" t="str">
        <f>IF(Tabela1[[#This Row],[Resultado]]&lt;=0,"Atendido","Não atendido")</f>
        <v>Atendido</v>
      </c>
    </row>
    <row r="9" spans="1:49" x14ac:dyDescent="0.2">
      <c r="A9" s="17" t="s">
        <v>37</v>
      </c>
      <c r="B9" s="2" t="s">
        <v>59</v>
      </c>
      <c r="C9" s="3">
        <v>20250004</v>
      </c>
      <c r="D9" s="2" t="s">
        <v>38</v>
      </c>
      <c r="E9" s="2" t="s">
        <v>44</v>
      </c>
      <c r="F9" s="2">
        <v>9362633</v>
      </c>
      <c r="G9" s="2" t="s">
        <v>83</v>
      </c>
      <c r="H9" s="2" t="s">
        <v>82</v>
      </c>
      <c r="I9" s="2" t="s">
        <v>51</v>
      </c>
      <c r="J9" s="2">
        <v>25000010729</v>
      </c>
      <c r="K9" s="2" t="s">
        <v>792</v>
      </c>
      <c r="L9" s="2" t="s">
        <v>84</v>
      </c>
      <c r="M9" s="2" t="s">
        <v>42</v>
      </c>
      <c r="N9" s="107">
        <v>4250</v>
      </c>
      <c r="O9" s="107">
        <v>4250</v>
      </c>
      <c r="P9" s="107">
        <f>Tabela1[[#This Row],[Valor anterior]]-Tabela1[[#This Row],[VALOR]]</f>
        <v>0</v>
      </c>
      <c r="Q9" s="14" t="s">
        <v>85</v>
      </c>
      <c r="R9" s="4">
        <v>45671</v>
      </c>
      <c r="S9" s="7" t="s">
        <v>86</v>
      </c>
      <c r="T9" s="4">
        <v>45674</v>
      </c>
      <c r="U9" s="5">
        <v>276</v>
      </c>
      <c r="V9" s="5">
        <v>300</v>
      </c>
      <c r="W9" s="6" t="s">
        <v>43</v>
      </c>
      <c r="X9" s="15">
        <v>272</v>
      </c>
      <c r="Y9" s="5">
        <f t="shared" si="0"/>
        <v>28</v>
      </c>
      <c r="Z9" s="4">
        <v>45679</v>
      </c>
      <c r="AA9" s="4" t="str">
        <f t="shared" si="1"/>
        <v>JAN</v>
      </c>
      <c r="AB9" s="4">
        <f t="shared" si="2"/>
        <v>45693</v>
      </c>
      <c r="AC9" s="2">
        <v>139</v>
      </c>
      <c r="AD9" s="7">
        <v>45684</v>
      </c>
      <c r="AE9" s="7" t="s">
        <v>116</v>
      </c>
      <c r="AF9" s="4">
        <v>45677</v>
      </c>
      <c r="AG9" s="7" t="s">
        <v>117</v>
      </c>
      <c r="AH9" s="4">
        <v>45686</v>
      </c>
      <c r="AI9" s="2" t="s">
        <v>118</v>
      </c>
      <c r="AJ9" s="2" t="s">
        <v>670</v>
      </c>
      <c r="AK9" s="4">
        <v>45687</v>
      </c>
      <c r="AL9" s="4">
        <v>45687</v>
      </c>
      <c r="AM9" s="4">
        <v>45687</v>
      </c>
      <c r="AN9" s="2">
        <f t="shared" si="3"/>
        <v>20250004</v>
      </c>
      <c r="AO9" s="4">
        <f t="shared" si="4"/>
        <v>45686</v>
      </c>
      <c r="AP9" s="16">
        <v>624.57000000000005</v>
      </c>
      <c r="AQ9" s="8">
        <f t="shared" si="5"/>
        <v>169883.04</v>
      </c>
      <c r="AR9" s="13">
        <v>5.8924000000000003</v>
      </c>
      <c r="AS9" s="19">
        <f>Tabela1[[#This Row],[TAXA]]*Tabela1[[#This Row],[VALOR TOTAL  USD]]</f>
        <v>1001018.8248960001</v>
      </c>
      <c r="AT9" s="71">
        <v>14</v>
      </c>
      <c r="AU9" s="72">
        <f>Tabela1[[#This Row],[DATA NF EXP]]-Tabela1[[#This Row],[CARREGAMENTO]]</f>
        <v>7</v>
      </c>
      <c r="AV9" s="72">
        <f>Tabela1[[#This Row],[Realizado]]-Tabela1[[#This Row],[Previsto]]</f>
        <v>-7</v>
      </c>
      <c r="AW9" s="72" t="str">
        <f>IF(Tabela1[[#This Row],[Resultado]]&lt;=0,"Atendido","Não atendido")</f>
        <v>Atendido</v>
      </c>
    </row>
    <row r="10" spans="1:49" x14ac:dyDescent="0.2">
      <c r="A10" s="17" t="s">
        <v>37</v>
      </c>
      <c r="B10" s="2" t="s">
        <v>59</v>
      </c>
      <c r="C10" s="3">
        <v>20250005</v>
      </c>
      <c r="D10" s="2" t="s">
        <v>46</v>
      </c>
      <c r="E10" s="2" t="s">
        <v>44</v>
      </c>
      <c r="F10" s="2">
        <v>9362633</v>
      </c>
      <c r="G10" s="2" t="s">
        <v>83</v>
      </c>
      <c r="H10" s="2" t="s">
        <v>82</v>
      </c>
      <c r="I10" s="2" t="s">
        <v>51</v>
      </c>
      <c r="J10" s="2">
        <v>25000010729</v>
      </c>
      <c r="K10" s="2" t="s">
        <v>792</v>
      </c>
      <c r="L10" s="2" t="s">
        <v>84</v>
      </c>
      <c r="M10" s="2" t="s">
        <v>42</v>
      </c>
      <c r="N10" s="107">
        <v>4250</v>
      </c>
      <c r="O10" s="107">
        <v>4250</v>
      </c>
      <c r="P10" s="107">
        <f>Tabela1[[#This Row],[Valor anterior]]-Tabela1[[#This Row],[VALOR]]</f>
        <v>0</v>
      </c>
      <c r="Q10" s="14" t="s">
        <v>87</v>
      </c>
      <c r="R10" s="4">
        <v>45671</v>
      </c>
      <c r="S10" s="7" t="s">
        <v>88</v>
      </c>
      <c r="T10" s="4">
        <v>45674</v>
      </c>
      <c r="U10" s="5">
        <v>20</v>
      </c>
      <c r="V10" s="5">
        <v>30</v>
      </c>
      <c r="W10" s="6" t="s">
        <v>43</v>
      </c>
      <c r="X10" s="15">
        <v>39.6</v>
      </c>
      <c r="Y10" s="5">
        <f t="shared" si="0"/>
        <v>-9.6000000000000014</v>
      </c>
      <c r="Z10" s="4">
        <v>45679</v>
      </c>
      <c r="AA10" s="4" t="str">
        <f t="shared" si="1"/>
        <v>JAN</v>
      </c>
      <c r="AB10" s="4">
        <f t="shared" si="2"/>
        <v>45693</v>
      </c>
      <c r="AC10" s="2">
        <v>140</v>
      </c>
      <c r="AD10" s="7">
        <v>45684</v>
      </c>
      <c r="AE10" s="7" t="s">
        <v>119</v>
      </c>
      <c r="AF10" s="4">
        <v>45677</v>
      </c>
      <c r="AG10" s="7" t="s">
        <v>120</v>
      </c>
      <c r="AH10" s="4">
        <v>45686</v>
      </c>
      <c r="AI10" s="2" t="s">
        <v>121</v>
      </c>
      <c r="AJ10" s="2" t="s">
        <v>671</v>
      </c>
      <c r="AK10" s="4">
        <v>45687</v>
      </c>
      <c r="AL10" s="4">
        <v>45687</v>
      </c>
      <c r="AM10" s="4">
        <v>45687</v>
      </c>
      <c r="AN10" s="2">
        <f t="shared" si="3"/>
        <v>20250005</v>
      </c>
      <c r="AO10" s="4">
        <f t="shared" si="4"/>
        <v>45686</v>
      </c>
      <c r="AP10" s="16">
        <v>873.12</v>
      </c>
      <c r="AQ10" s="8">
        <f t="shared" si="5"/>
        <v>34575.552000000003</v>
      </c>
      <c r="AR10" s="13">
        <v>5.8924000000000003</v>
      </c>
      <c r="AS10" s="19">
        <f>Tabela1[[#This Row],[TAXA]]*Tabela1[[#This Row],[VALOR TOTAL  USD]]</f>
        <v>203732.98260480003</v>
      </c>
      <c r="AT10" s="71">
        <v>14</v>
      </c>
      <c r="AU10" s="72">
        <f>Tabela1[[#This Row],[DATA NF EXP]]-Tabela1[[#This Row],[CARREGAMENTO]]</f>
        <v>7</v>
      </c>
      <c r="AV10" s="72">
        <f>Tabela1[[#This Row],[Realizado]]-Tabela1[[#This Row],[Previsto]]</f>
        <v>-7</v>
      </c>
      <c r="AW10" s="72" t="str">
        <f>IF(Tabela1[[#This Row],[Resultado]]&lt;=0,"Atendido","Não atendido")</f>
        <v>Atendido</v>
      </c>
    </row>
    <row r="11" spans="1:49" x14ac:dyDescent="0.2">
      <c r="A11" s="17" t="s">
        <v>37</v>
      </c>
      <c r="B11" s="2" t="s">
        <v>59</v>
      </c>
      <c r="C11" s="3">
        <v>20250003</v>
      </c>
      <c r="D11" s="2" t="s">
        <v>46</v>
      </c>
      <c r="E11" s="2" t="s">
        <v>44</v>
      </c>
      <c r="F11" s="2">
        <v>9156462</v>
      </c>
      <c r="G11" s="2" t="s">
        <v>71</v>
      </c>
      <c r="H11" s="2" t="s">
        <v>48</v>
      </c>
      <c r="I11" s="2" t="s">
        <v>51</v>
      </c>
      <c r="J11" s="2">
        <v>25000015038</v>
      </c>
      <c r="K11" s="2" t="s">
        <v>793</v>
      </c>
      <c r="L11" s="2" t="s">
        <v>55</v>
      </c>
      <c r="M11" s="2" t="s">
        <v>42</v>
      </c>
      <c r="N11" s="107">
        <v>4250</v>
      </c>
      <c r="O11" s="107">
        <v>4250</v>
      </c>
      <c r="P11" s="107">
        <f>Tabela1[[#This Row],[Valor anterior]]-Tabela1[[#This Row],[VALOR]]</f>
        <v>0</v>
      </c>
      <c r="Q11" s="14" t="s">
        <v>78</v>
      </c>
      <c r="R11" s="4">
        <v>45673</v>
      </c>
      <c r="S11" s="7" t="s">
        <v>79</v>
      </c>
      <c r="T11" s="4">
        <v>45674</v>
      </c>
      <c r="U11" s="5">
        <v>80</v>
      </c>
      <c r="V11" s="5">
        <v>80</v>
      </c>
      <c r="W11" s="6" t="s">
        <v>43</v>
      </c>
      <c r="X11" s="15">
        <v>81.23</v>
      </c>
      <c r="Y11" s="5">
        <f t="shared" si="0"/>
        <v>-1.230000000000004</v>
      </c>
      <c r="Z11" s="4">
        <v>45674</v>
      </c>
      <c r="AA11" s="4" t="str">
        <f t="shared" si="1"/>
        <v>JAN</v>
      </c>
      <c r="AB11" s="4">
        <f t="shared" si="2"/>
        <v>45688</v>
      </c>
      <c r="AC11" s="2">
        <v>138</v>
      </c>
      <c r="AD11" s="7">
        <v>45684</v>
      </c>
      <c r="AE11" s="7" t="s">
        <v>107</v>
      </c>
      <c r="AF11" s="4">
        <v>45683</v>
      </c>
      <c r="AG11" s="7" t="s">
        <v>108</v>
      </c>
      <c r="AH11" s="4">
        <v>45684</v>
      </c>
      <c r="AI11" s="2" t="s">
        <v>115</v>
      </c>
      <c r="AJ11" s="2" t="s">
        <v>669</v>
      </c>
      <c r="AK11" s="4">
        <v>45687</v>
      </c>
      <c r="AL11" s="4">
        <v>45687</v>
      </c>
      <c r="AM11" s="4">
        <v>45687</v>
      </c>
      <c r="AN11" s="2">
        <f t="shared" si="3"/>
        <v>20250003</v>
      </c>
      <c r="AO11" s="4">
        <f t="shared" si="4"/>
        <v>45684</v>
      </c>
      <c r="AP11" s="16">
        <v>795.66</v>
      </c>
      <c r="AQ11" s="8">
        <f t="shared" si="5"/>
        <v>64631.461799999997</v>
      </c>
      <c r="AR11" s="13">
        <v>5.8918999999999997</v>
      </c>
      <c r="AS11" s="19">
        <f>Tabela1[[#This Row],[TAXA]]*Tabela1[[#This Row],[VALOR TOTAL  USD]]</f>
        <v>380802.10977941996</v>
      </c>
      <c r="AT11" s="71">
        <v>14</v>
      </c>
      <c r="AU11" s="72">
        <f>Tabela1[[#This Row],[DATA NF EXP]]-Tabela1[[#This Row],[CARREGAMENTO]]</f>
        <v>10</v>
      </c>
      <c r="AV11" s="72">
        <f>Tabela1[[#This Row],[Realizado]]-Tabela1[[#This Row],[Previsto]]</f>
        <v>-4</v>
      </c>
      <c r="AW11" s="72" t="str">
        <f>IF(Tabela1[[#This Row],[Resultado]]&lt;=0,"Atendido","Não atendido")</f>
        <v>Atendido</v>
      </c>
    </row>
    <row r="12" spans="1:49" x14ac:dyDescent="0.2">
      <c r="A12" s="20" t="s">
        <v>37</v>
      </c>
      <c r="B12" s="2" t="s">
        <v>59</v>
      </c>
      <c r="C12" s="3">
        <v>20250009</v>
      </c>
      <c r="D12" s="2" t="s">
        <v>38</v>
      </c>
      <c r="E12" s="2" t="s">
        <v>39</v>
      </c>
      <c r="F12" s="2">
        <v>9323120</v>
      </c>
      <c r="G12" s="2" t="s">
        <v>109</v>
      </c>
      <c r="H12" s="2" t="s">
        <v>61</v>
      </c>
      <c r="I12" s="2" t="s">
        <v>89</v>
      </c>
      <c r="J12" s="2">
        <v>25000013744</v>
      </c>
      <c r="K12" s="2" t="s">
        <v>161</v>
      </c>
      <c r="L12" s="2" t="s">
        <v>91</v>
      </c>
      <c r="M12" s="2" t="s">
        <v>42</v>
      </c>
      <c r="N12" s="107">
        <v>4250</v>
      </c>
      <c r="O12" s="107">
        <v>4250</v>
      </c>
      <c r="P12" s="107">
        <f>Tabela1[[#This Row],[Valor anterior]]-Tabela1[[#This Row],[VALOR]]</f>
        <v>0</v>
      </c>
      <c r="Q12" s="14" t="s">
        <v>112</v>
      </c>
      <c r="R12" s="4">
        <v>45677</v>
      </c>
      <c r="S12" s="7" t="s">
        <v>113</v>
      </c>
      <c r="T12" s="4">
        <v>45687</v>
      </c>
      <c r="U12" s="5">
        <v>160</v>
      </c>
      <c r="V12" s="5">
        <v>160</v>
      </c>
      <c r="W12" s="6" t="s">
        <v>43</v>
      </c>
      <c r="X12" s="15">
        <v>160.31800000000001</v>
      </c>
      <c r="Y12" s="5">
        <f t="shared" si="0"/>
        <v>-0.31800000000001205</v>
      </c>
      <c r="Z12" s="4">
        <v>45689</v>
      </c>
      <c r="AA12" s="4" t="str">
        <f t="shared" si="1"/>
        <v>FEV</v>
      </c>
      <c r="AB12" s="4">
        <f t="shared" si="2"/>
        <v>45703</v>
      </c>
      <c r="AC12" s="2">
        <v>144</v>
      </c>
      <c r="AD12" s="7">
        <v>45722</v>
      </c>
      <c r="AE12" s="2" t="s">
        <v>693</v>
      </c>
      <c r="AF12" s="4">
        <v>45690</v>
      </c>
      <c r="AG12" s="4" t="s">
        <v>695</v>
      </c>
      <c r="AH12" s="4">
        <v>45689</v>
      </c>
      <c r="AI12" s="2" t="s">
        <v>122</v>
      </c>
      <c r="AJ12" s="2" t="s">
        <v>122</v>
      </c>
      <c r="AK12" s="4" t="s">
        <v>122</v>
      </c>
      <c r="AL12" s="4" t="s">
        <v>122</v>
      </c>
      <c r="AM12" s="4" t="s">
        <v>122</v>
      </c>
      <c r="AN12" s="2">
        <f t="shared" si="3"/>
        <v>20250009</v>
      </c>
      <c r="AO12" s="4">
        <f t="shared" si="4"/>
        <v>45689</v>
      </c>
      <c r="AP12" s="16">
        <v>638.12</v>
      </c>
      <c r="AQ12" s="8">
        <f t="shared" si="5"/>
        <v>102302.12216000001</v>
      </c>
      <c r="AR12" s="13">
        <v>0</v>
      </c>
      <c r="AS12" s="19">
        <v>775769.78</v>
      </c>
      <c r="AT12" s="71">
        <v>14</v>
      </c>
      <c r="AU12" s="72">
        <f>Tabela1[[#This Row],[DATA NF EXP]]-Tabela1[[#This Row],[CARREGAMENTO]]</f>
        <v>0</v>
      </c>
      <c r="AV12" s="72">
        <f>Tabela1[[#This Row],[Realizado]]-Tabela1[[#This Row],[Previsto]]</f>
        <v>-14</v>
      </c>
      <c r="AW12" s="72" t="str">
        <f>IF(Tabela1[[#This Row],[Resultado]]&lt;=0,"Atendido","Não atendido")</f>
        <v>Atendido</v>
      </c>
    </row>
    <row r="13" spans="1:49" x14ac:dyDescent="0.2">
      <c r="A13" s="20" t="s">
        <v>37</v>
      </c>
      <c r="B13" s="2" t="s">
        <v>59</v>
      </c>
      <c r="C13" s="3">
        <v>20250010</v>
      </c>
      <c r="D13" s="2" t="s">
        <v>46</v>
      </c>
      <c r="E13" s="2" t="s">
        <v>39</v>
      </c>
      <c r="F13" s="2">
        <v>9323120</v>
      </c>
      <c r="G13" s="2" t="s">
        <v>109</v>
      </c>
      <c r="H13" s="2" t="s">
        <v>61</v>
      </c>
      <c r="I13" s="2" t="s">
        <v>89</v>
      </c>
      <c r="J13" s="2">
        <v>25000013744</v>
      </c>
      <c r="K13" s="2" t="s">
        <v>161</v>
      </c>
      <c r="L13" s="2" t="s">
        <v>91</v>
      </c>
      <c r="M13" s="2" t="s">
        <v>42</v>
      </c>
      <c r="N13" s="107">
        <v>4250</v>
      </c>
      <c r="O13" s="107">
        <v>4250</v>
      </c>
      <c r="P13" s="107">
        <f>Tabela1[[#This Row],[Valor anterior]]-Tabela1[[#This Row],[VALOR]]</f>
        <v>0</v>
      </c>
      <c r="Q13" s="14" t="s">
        <v>124</v>
      </c>
      <c r="R13" s="4">
        <v>45677</v>
      </c>
      <c r="S13" s="7" t="s">
        <v>123</v>
      </c>
      <c r="T13" s="4">
        <v>45687</v>
      </c>
      <c r="U13" s="5">
        <v>35</v>
      </c>
      <c r="V13" s="5">
        <v>35</v>
      </c>
      <c r="W13" s="6" t="s">
        <v>43</v>
      </c>
      <c r="X13" s="15">
        <v>33.649000000000001</v>
      </c>
      <c r="Y13" s="5">
        <f t="shared" si="0"/>
        <v>1.3509999999999991</v>
      </c>
      <c r="Z13" s="4">
        <v>45689</v>
      </c>
      <c r="AA13" s="4" t="str">
        <f t="shared" si="1"/>
        <v>FEV</v>
      </c>
      <c r="AB13" s="4">
        <f t="shared" si="2"/>
        <v>45703</v>
      </c>
      <c r="AC13" s="2">
        <v>145</v>
      </c>
      <c r="AD13" s="7">
        <v>45722</v>
      </c>
      <c r="AE13" s="2" t="s">
        <v>694</v>
      </c>
      <c r="AF13" s="4">
        <v>45690</v>
      </c>
      <c r="AG13" s="4" t="s">
        <v>692</v>
      </c>
      <c r="AH13" s="4">
        <v>45689</v>
      </c>
      <c r="AI13" s="2" t="s">
        <v>122</v>
      </c>
      <c r="AJ13" s="2" t="s">
        <v>122</v>
      </c>
      <c r="AK13" s="4" t="s">
        <v>122</v>
      </c>
      <c r="AL13" s="4" t="s">
        <v>122</v>
      </c>
      <c r="AM13" s="4" t="s">
        <v>122</v>
      </c>
      <c r="AN13" s="2">
        <f t="shared" si="3"/>
        <v>20250010</v>
      </c>
      <c r="AO13" s="4">
        <f t="shared" si="4"/>
        <v>45689</v>
      </c>
      <c r="AP13" s="16">
        <v>888.17</v>
      </c>
      <c r="AQ13" s="8">
        <f t="shared" si="5"/>
        <v>29886.032329999998</v>
      </c>
      <c r="AR13" s="13">
        <v>0</v>
      </c>
      <c r="AS13" s="19">
        <v>226434.32</v>
      </c>
      <c r="AT13" s="71">
        <v>14</v>
      </c>
      <c r="AU13" s="72">
        <f>Tabela1[[#This Row],[DATA NF EXP]]-Tabela1[[#This Row],[CARREGAMENTO]]</f>
        <v>0</v>
      </c>
      <c r="AV13" s="72">
        <f>Tabela1[[#This Row],[Realizado]]-Tabela1[[#This Row],[Previsto]]</f>
        <v>-14</v>
      </c>
      <c r="AW13" s="72" t="str">
        <f>IF(Tabela1[[#This Row],[Resultado]]&lt;=0,"Atendido","Não atendido")</f>
        <v>Atendido</v>
      </c>
    </row>
    <row r="14" spans="1:49" x14ac:dyDescent="0.2">
      <c r="A14" s="20" t="s">
        <v>37</v>
      </c>
      <c r="B14" s="2" t="s">
        <v>59</v>
      </c>
      <c r="C14" s="3">
        <v>20250006</v>
      </c>
      <c r="D14" s="2" t="s">
        <v>38</v>
      </c>
      <c r="E14" s="2" t="s">
        <v>39</v>
      </c>
      <c r="F14" s="2">
        <v>9341794</v>
      </c>
      <c r="G14" s="2" t="s">
        <v>90</v>
      </c>
      <c r="H14" s="2" t="s">
        <v>82</v>
      </c>
      <c r="I14" s="2" t="s">
        <v>89</v>
      </c>
      <c r="J14" s="2">
        <v>24000615177</v>
      </c>
      <c r="K14" s="2" t="s">
        <v>161</v>
      </c>
      <c r="L14" s="2" t="s">
        <v>91</v>
      </c>
      <c r="M14" s="2" t="s">
        <v>42</v>
      </c>
      <c r="N14" s="107">
        <v>4250</v>
      </c>
      <c r="O14" s="107">
        <v>4250</v>
      </c>
      <c r="P14" s="107">
        <f>Tabela1[[#This Row],[Valor anterior]]-Tabela1[[#This Row],[VALOR]]</f>
        <v>0</v>
      </c>
      <c r="Q14" s="14" t="s">
        <v>92</v>
      </c>
      <c r="R14" s="4">
        <v>45677</v>
      </c>
      <c r="S14" s="7" t="s">
        <v>97</v>
      </c>
      <c r="T14" s="4">
        <v>45679</v>
      </c>
      <c r="U14" s="5">
        <v>330</v>
      </c>
      <c r="V14" s="5">
        <v>350</v>
      </c>
      <c r="W14" s="6" t="s">
        <v>43</v>
      </c>
      <c r="X14" s="15">
        <v>338.899</v>
      </c>
      <c r="Y14" s="5">
        <f t="shared" si="0"/>
        <v>11.100999999999999</v>
      </c>
      <c r="Z14" s="4">
        <v>45680</v>
      </c>
      <c r="AA14" s="4" t="str">
        <f t="shared" si="1"/>
        <v>JAN</v>
      </c>
      <c r="AB14" s="4">
        <f t="shared" si="2"/>
        <v>45694</v>
      </c>
      <c r="AC14" s="2">
        <v>142</v>
      </c>
      <c r="AD14" s="7">
        <v>45722</v>
      </c>
      <c r="AE14" s="2" t="s">
        <v>698</v>
      </c>
      <c r="AF14" s="4">
        <v>45684</v>
      </c>
      <c r="AG14" s="4" t="s">
        <v>699</v>
      </c>
      <c r="AH14" s="4">
        <v>45680</v>
      </c>
      <c r="AI14" s="2" t="s">
        <v>122</v>
      </c>
      <c r="AJ14" s="2" t="s">
        <v>122</v>
      </c>
      <c r="AK14" s="4" t="s">
        <v>122</v>
      </c>
      <c r="AL14" s="4" t="s">
        <v>122</v>
      </c>
      <c r="AM14" s="4" t="s">
        <v>122</v>
      </c>
      <c r="AN14" s="2">
        <f t="shared" si="3"/>
        <v>20250006</v>
      </c>
      <c r="AO14" s="4">
        <f t="shared" si="4"/>
        <v>45680</v>
      </c>
      <c r="AP14" s="16">
        <v>636.47</v>
      </c>
      <c r="AQ14" s="8">
        <f t="shared" si="5"/>
        <v>215699.04653000002</v>
      </c>
      <c r="AR14" s="13">
        <v>0</v>
      </c>
      <c r="AS14" s="19">
        <v>1496974.45</v>
      </c>
      <c r="AT14" s="71">
        <v>14</v>
      </c>
      <c r="AU14" s="72">
        <f>Tabela1[[#This Row],[DATA NF EXP]]-Tabela1[[#This Row],[CARREGAMENTO]]</f>
        <v>0</v>
      </c>
      <c r="AV14" s="72">
        <f>Tabela1[[#This Row],[Realizado]]-Tabela1[[#This Row],[Previsto]]</f>
        <v>-14</v>
      </c>
      <c r="AW14" s="72" t="str">
        <f>IF(Tabela1[[#This Row],[Resultado]]&lt;=0,"Atendido","Não atendido")</f>
        <v>Atendido</v>
      </c>
    </row>
    <row r="15" spans="1:49" x14ac:dyDescent="0.2">
      <c r="A15" s="20" t="s">
        <v>37</v>
      </c>
      <c r="B15" s="2" t="s">
        <v>59</v>
      </c>
      <c r="C15" s="3">
        <v>20250007</v>
      </c>
      <c r="D15" s="2" t="s">
        <v>46</v>
      </c>
      <c r="E15" s="2" t="s">
        <v>39</v>
      </c>
      <c r="F15" s="2">
        <v>9341794</v>
      </c>
      <c r="G15" s="2" t="s">
        <v>90</v>
      </c>
      <c r="H15" s="2" t="s">
        <v>82</v>
      </c>
      <c r="I15" s="2" t="s">
        <v>89</v>
      </c>
      <c r="J15" s="2">
        <v>24000615177</v>
      </c>
      <c r="K15" s="2" t="s">
        <v>161</v>
      </c>
      <c r="L15" s="2" t="s">
        <v>91</v>
      </c>
      <c r="M15" s="2" t="s">
        <v>42</v>
      </c>
      <c r="N15" s="107">
        <v>4250</v>
      </c>
      <c r="O15" s="107">
        <v>4250</v>
      </c>
      <c r="P15" s="107">
        <f>Tabela1[[#This Row],[Valor anterior]]-Tabela1[[#This Row],[VALOR]]</f>
        <v>0</v>
      </c>
      <c r="Q15" s="14" t="s">
        <v>93</v>
      </c>
      <c r="R15" s="4">
        <v>45677</v>
      </c>
      <c r="S15" s="7" t="s">
        <v>98</v>
      </c>
      <c r="T15" s="4">
        <v>45679</v>
      </c>
      <c r="U15" s="5">
        <v>50</v>
      </c>
      <c r="V15" s="5">
        <v>50</v>
      </c>
      <c r="W15" s="6" t="s">
        <v>43</v>
      </c>
      <c r="X15" s="15">
        <v>49.613</v>
      </c>
      <c r="Y15" s="5">
        <f t="shared" si="0"/>
        <v>0.38700000000000045</v>
      </c>
      <c r="Z15" s="4">
        <v>45680</v>
      </c>
      <c r="AA15" s="4" t="str">
        <f t="shared" si="1"/>
        <v>JAN</v>
      </c>
      <c r="AB15" s="4">
        <f t="shared" si="2"/>
        <v>45694</v>
      </c>
      <c r="AC15" s="2">
        <v>141</v>
      </c>
      <c r="AD15" s="7">
        <v>45722</v>
      </c>
      <c r="AE15" s="2" t="s">
        <v>696</v>
      </c>
      <c r="AF15" s="4">
        <v>45684</v>
      </c>
      <c r="AG15" s="4" t="s">
        <v>697</v>
      </c>
      <c r="AH15" s="4">
        <v>45680</v>
      </c>
      <c r="AI15" s="2" t="s">
        <v>122</v>
      </c>
      <c r="AJ15" s="2" t="s">
        <v>122</v>
      </c>
      <c r="AK15" s="4" t="s">
        <v>122</v>
      </c>
      <c r="AL15" s="4" t="s">
        <v>122</v>
      </c>
      <c r="AM15" s="4" t="s">
        <v>122</v>
      </c>
      <c r="AN15" s="2">
        <f t="shared" si="3"/>
        <v>20250007</v>
      </c>
      <c r="AO15" s="4">
        <f t="shared" si="4"/>
        <v>45680</v>
      </c>
      <c r="AP15" s="16">
        <v>888.17</v>
      </c>
      <c r="AQ15" s="8">
        <f t="shared" si="5"/>
        <v>44064.778209999997</v>
      </c>
      <c r="AR15" s="13">
        <v>0</v>
      </c>
      <c r="AS15" s="19">
        <v>332606.44</v>
      </c>
      <c r="AT15" s="71">
        <v>14</v>
      </c>
      <c r="AU15" s="72">
        <f>Tabela1[[#This Row],[DATA NF EXP]]-Tabela1[[#This Row],[CARREGAMENTO]]</f>
        <v>0</v>
      </c>
      <c r="AV15" s="72">
        <f>Tabela1[[#This Row],[Realizado]]-Tabela1[[#This Row],[Previsto]]</f>
        <v>-14</v>
      </c>
      <c r="AW15" s="72" t="str">
        <f>IF(Tabela1[[#This Row],[Resultado]]&lt;=0,"Atendido","Não atendido")</f>
        <v>Atendido</v>
      </c>
    </row>
    <row r="16" spans="1:49" x14ac:dyDescent="0.2">
      <c r="A16" s="17" t="s">
        <v>37</v>
      </c>
      <c r="B16" s="2" t="s">
        <v>59</v>
      </c>
      <c r="C16" s="3">
        <v>20250008</v>
      </c>
      <c r="D16" s="2" t="s">
        <v>46</v>
      </c>
      <c r="E16" s="2" t="s">
        <v>44</v>
      </c>
      <c r="F16" s="2">
        <v>9169524</v>
      </c>
      <c r="G16" s="2" t="s">
        <v>94</v>
      </c>
      <c r="H16" s="2" t="s">
        <v>48</v>
      </c>
      <c r="I16" s="2" t="s">
        <v>49</v>
      </c>
      <c r="J16" s="2">
        <v>25000021682</v>
      </c>
      <c r="K16" s="2" t="s">
        <v>793</v>
      </c>
      <c r="L16" s="2" t="s">
        <v>47</v>
      </c>
      <c r="M16" s="2" t="s">
        <v>42</v>
      </c>
      <c r="N16" s="107">
        <v>4250</v>
      </c>
      <c r="O16" s="107">
        <v>4250</v>
      </c>
      <c r="P16" s="107">
        <f>Tabela1[[#This Row],[Valor anterior]]-Tabela1[[#This Row],[VALOR]]</f>
        <v>0</v>
      </c>
      <c r="Q16" s="14" t="s">
        <v>95</v>
      </c>
      <c r="R16" s="4">
        <v>45685</v>
      </c>
      <c r="S16" s="7" t="s">
        <v>96</v>
      </c>
      <c r="T16" s="4">
        <v>45685</v>
      </c>
      <c r="U16" s="5">
        <v>350</v>
      </c>
      <c r="V16" s="5">
        <v>400</v>
      </c>
      <c r="W16" s="6" t="s">
        <v>43</v>
      </c>
      <c r="X16" s="15">
        <v>352.5</v>
      </c>
      <c r="Y16" s="5">
        <f t="shared" si="0"/>
        <v>47.5</v>
      </c>
      <c r="Z16" s="4">
        <v>45685</v>
      </c>
      <c r="AA16" s="4" t="str">
        <f t="shared" si="1"/>
        <v>JAN</v>
      </c>
      <c r="AB16" s="4">
        <f t="shared" si="2"/>
        <v>45699</v>
      </c>
      <c r="AC16" s="2">
        <v>143</v>
      </c>
      <c r="AD16" s="7">
        <v>45722</v>
      </c>
      <c r="AE16" s="7" t="s">
        <v>110</v>
      </c>
      <c r="AF16" s="4">
        <v>45685</v>
      </c>
      <c r="AG16" s="7" t="s">
        <v>154</v>
      </c>
      <c r="AH16" s="4">
        <v>45692</v>
      </c>
      <c r="AI16" s="2" t="s">
        <v>155</v>
      </c>
      <c r="AJ16" s="2" t="s">
        <v>672</v>
      </c>
      <c r="AK16" s="4">
        <v>45694</v>
      </c>
      <c r="AL16" s="4">
        <v>45695</v>
      </c>
      <c r="AM16" s="4">
        <v>45695</v>
      </c>
      <c r="AN16" s="2">
        <f t="shared" si="3"/>
        <v>20250008</v>
      </c>
      <c r="AO16" s="4">
        <f t="shared" si="4"/>
        <v>45692</v>
      </c>
      <c r="AP16" s="16">
        <v>894.86</v>
      </c>
      <c r="AQ16" s="8">
        <f t="shared" si="5"/>
        <v>315438.15000000002</v>
      </c>
      <c r="AR16" s="13">
        <v>5.8681000000000001</v>
      </c>
      <c r="AS16" s="19">
        <f>Tabela1[[#This Row],[TAXA]]*Tabela1[[#This Row],[VALOR TOTAL  USD]]</f>
        <v>1851022.6080150001</v>
      </c>
      <c r="AT16" s="71">
        <v>14</v>
      </c>
      <c r="AU16" s="72">
        <f>Tabela1[[#This Row],[DATA NF EXP]]-Tabela1[[#This Row],[CARREGAMENTO]]</f>
        <v>7</v>
      </c>
      <c r="AV16" s="72">
        <f>Tabela1[[#This Row],[Realizado]]-Tabela1[[#This Row],[Previsto]]</f>
        <v>-7</v>
      </c>
      <c r="AW16" s="72" t="str">
        <f>IF(Tabela1[[#This Row],[Resultado]]&lt;=0,"Atendido","Não atendido")</f>
        <v>Atendido</v>
      </c>
    </row>
    <row r="17" spans="1:49" x14ac:dyDescent="0.2">
      <c r="A17" s="20" t="s">
        <v>37</v>
      </c>
      <c r="B17" s="2" t="s">
        <v>59</v>
      </c>
      <c r="C17" s="3">
        <v>20250011</v>
      </c>
      <c r="D17" s="2" t="s">
        <v>38</v>
      </c>
      <c r="E17" s="2" t="s">
        <v>44</v>
      </c>
      <c r="F17" s="2">
        <v>9308089</v>
      </c>
      <c r="G17" s="2" t="s">
        <v>111</v>
      </c>
      <c r="H17" s="2" t="s">
        <v>82</v>
      </c>
      <c r="I17" s="2" t="s">
        <v>187</v>
      </c>
      <c r="J17" s="2">
        <v>25000038712</v>
      </c>
      <c r="K17" s="2" t="s">
        <v>160</v>
      </c>
      <c r="L17" s="2" t="s">
        <v>50</v>
      </c>
      <c r="M17" s="2" t="s">
        <v>42</v>
      </c>
      <c r="N17" s="107">
        <v>4250</v>
      </c>
      <c r="O17" s="107">
        <v>4250</v>
      </c>
      <c r="P17" s="107">
        <f>Tabela1[[#This Row],[Valor anterior]]-Tabela1[[#This Row],[VALOR]]</f>
        <v>0</v>
      </c>
      <c r="Q17" s="14" t="s">
        <v>125</v>
      </c>
      <c r="R17" s="4">
        <v>45686</v>
      </c>
      <c r="S17" s="7" t="s">
        <v>126</v>
      </c>
      <c r="T17" s="4">
        <v>45691</v>
      </c>
      <c r="U17" s="5">
        <v>895</v>
      </c>
      <c r="V17" s="5">
        <v>900</v>
      </c>
      <c r="W17" s="6" t="s">
        <v>43</v>
      </c>
      <c r="X17" s="15">
        <v>894.9</v>
      </c>
      <c r="Y17" s="5">
        <f t="shared" si="0"/>
        <v>5.1000000000000227</v>
      </c>
      <c r="Z17" s="4">
        <v>45692</v>
      </c>
      <c r="AA17" s="4" t="str">
        <f t="shared" si="1"/>
        <v>FEV</v>
      </c>
      <c r="AB17" s="4">
        <f t="shared" si="2"/>
        <v>45706</v>
      </c>
      <c r="AC17" s="2">
        <v>146</v>
      </c>
      <c r="AD17" s="7">
        <v>45722</v>
      </c>
      <c r="AE17" s="7" t="s">
        <v>156</v>
      </c>
      <c r="AF17" s="4">
        <v>45691</v>
      </c>
      <c r="AG17" s="7" t="s">
        <v>157</v>
      </c>
      <c r="AH17" s="4">
        <v>45702</v>
      </c>
      <c r="AI17" s="2" t="s">
        <v>158</v>
      </c>
      <c r="AJ17" s="2" t="s">
        <v>673</v>
      </c>
      <c r="AK17" s="4">
        <v>45705</v>
      </c>
      <c r="AL17" s="4">
        <v>45705</v>
      </c>
      <c r="AM17" s="4">
        <v>45705</v>
      </c>
      <c r="AN17" s="2">
        <f t="shared" si="3"/>
        <v>20250011</v>
      </c>
      <c r="AO17" s="4">
        <f t="shared" si="4"/>
        <v>45702</v>
      </c>
      <c r="AP17" s="16">
        <v>636.14</v>
      </c>
      <c r="AQ17" s="8">
        <f t="shared" si="5"/>
        <v>569281.68599999999</v>
      </c>
      <c r="AR17" s="13">
        <v>5.7782</v>
      </c>
      <c r="AS17" s="19">
        <f>Tabela1[[#This Row],[TAXA]]*Tabela1[[#This Row],[VALOR TOTAL  USD]]</f>
        <v>3289423.4380452</v>
      </c>
      <c r="AT17" s="71">
        <v>14</v>
      </c>
      <c r="AU17" s="72">
        <f>Tabela1[[#This Row],[DATA NF EXP]]-Tabela1[[#This Row],[CARREGAMENTO]]</f>
        <v>10</v>
      </c>
      <c r="AV17" s="72">
        <f>Tabela1[[#This Row],[Realizado]]-Tabela1[[#This Row],[Previsto]]</f>
        <v>-4</v>
      </c>
      <c r="AW17" s="72" t="str">
        <f>IF(Tabela1[[#This Row],[Resultado]]&lt;=0,"Atendido","Não atendido")</f>
        <v>Atendido</v>
      </c>
    </row>
    <row r="18" spans="1:49" x14ac:dyDescent="0.2">
      <c r="A18" s="20" t="s">
        <v>37</v>
      </c>
      <c r="B18" s="2" t="s">
        <v>59</v>
      </c>
      <c r="C18" s="3">
        <v>20250012</v>
      </c>
      <c r="D18" s="2" t="s">
        <v>46</v>
      </c>
      <c r="E18" s="2" t="s">
        <v>44</v>
      </c>
      <c r="F18" s="2">
        <v>9308089</v>
      </c>
      <c r="G18" s="2" t="s">
        <v>111</v>
      </c>
      <c r="H18" s="2" t="s">
        <v>82</v>
      </c>
      <c r="I18" s="2" t="s">
        <v>187</v>
      </c>
      <c r="J18" s="2">
        <v>25000038712</v>
      </c>
      <c r="K18" s="2" t="s">
        <v>160</v>
      </c>
      <c r="L18" s="2" t="s">
        <v>50</v>
      </c>
      <c r="M18" s="2" t="s">
        <v>42</v>
      </c>
      <c r="N18" s="107">
        <v>4250</v>
      </c>
      <c r="O18" s="107">
        <v>4250</v>
      </c>
      <c r="P18" s="107">
        <f>Tabela1[[#This Row],[Valor anterior]]-Tabela1[[#This Row],[VALOR]]</f>
        <v>0</v>
      </c>
      <c r="Q18" s="14" t="s">
        <v>127</v>
      </c>
      <c r="R18" s="4">
        <v>45686</v>
      </c>
      <c r="S18" s="7" t="s">
        <v>128</v>
      </c>
      <c r="T18" s="4">
        <v>45691</v>
      </c>
      <c r="U18" s="5">
        <v>250</v>
      </c>
      <c r="V18" s="5">
        <v>350</v>
      </c>
      <c r="W18" s="6" t="s">
        <v>43</v>
      </c>
      <c r="X18" s="15">
        <v>249.3</v>
      </c>
      <c r="Y18" s="5">
        <f t="shared" si="0"/>
        <v>100.69999999999999</v>
      </c>
      <c r="Z18" s="4">
        <v>45691</v>
      </c>
      <c r="AA18" s="4" t="str">
        <f t="shared" si="1"/>
        <v>FEV</v>
      </c>
      <c r="AB18" s="4">
        <f t="shared" si="2"/>
        <v>45705</v>
      </c>
      <c r="AC18" s="2">
        <v>147</v>
      </c>
      <c r="AD18" s="7">
        <v>45722</v>
      </c>
      <c r="AE18" s="7" t="s">
        <v>140</v>
      </c>
      <c r="AF18" s="4">
        <v>45691</v>
      </c>
      <c r="AG18" s="7" t="s">
        <v>141</v>
      </c>
      <c r="AH18" s="4">
        <v>45693</v>
      </c>
      <c r="AI18" s="2" t="s">
        <v>151</v>
      </c>
      <c r="AJ18" s="2" t="s">
        <v>674</v>
      </c>
      <c r="AK18" s="4">
        <v>45701</v>
      </c>
      <c r="AL18" s="4">
        <v>45701</v>
      </c>
      <c r="AM18" s="4">
        <v>45701</v>
      </c>
      <c r="AN18" s="2">
        <f t="shared" si="3"/>
        <v>20250012</v>
      </c>
      <c r="AO18" s="4">
        <f t="shared" si="4"/>
        <v>45693</v>
      </c>
      <c r="AP18" s="16">
        <v>822.87</v>
      </c>
      <c r="AQ18" s="8">
        <f t="shared" si="5"/>
        <v>205141.49100000001</v>
      </c>
      <c r="AR18" s="13">
        <v>5.7920999999999996</v>
      </c>
      <c r="AS18" s="19">
        <f>Tabela1[[#This Row],[TAXA]]*Tabela1[[#This Row],[VALOR TOTAL  USD]]</f>
        <v>1188200.0300211001</v>
      </c>
      <c r="AT18" s="71">
        <v>14</v>
      </c>
      <c r="AU18" s="72">
        <f>Tabela1[[#This Row],[DATA NF EXP]]-Tabela1[[#This Row],[CARREGAMENTO]]</f>
        <v>2</v>
      </c>
      <c r="AV18" s="72">
        <f>Tabela1[[#This Row],[Realizado]]-Tabela1[[#This Row],[Previsto]]</f>
        <v>-12</v>
      </c>
      <c r="AW18" s="72" t="str">
        <f>IF(Tabela1[[#This Row],[Resultado]]&lt;=0,"Atendido","Não atendido")</f>
        <v>Atendido</v>
      </c>
    </row>
    <row r="19" spans="1:49" x14ac:dyDescent="0.2">
      <c r="A19" s="17" t="s">
        <v>37</v>
      </c>
      <c r="B19" s="2" t="s">
        <v>129</v>
      </c>
      <c r="C19" s="3">
        <v>20250014</v>
      </c>
      <c r="D19" s="2" t="s">
        <v>46</v>
      </c>
      <c r="E19" s="2" t="s">
        <v>44</v>
      </c>
      <c r="F19" s="2">
        <v>9259317</v>
      </c>
      <c r="G19" s="2" t="s">
        <v>132</v>
      </c>
      <c r="H19" s="2" t="s">
        <v>82</v>
      </c>
      <c r="I19" s="2" t="s">
        <v>187</v>
      </c>
      <c r="J19" s="2">
        <v>25000050712</v>
      </c>
      <c r="K19" s="2" t="s">
        <v>160</v>
      </c>
      <c r="L19" s="2" t="s">
        <v>50</v>
      </c>
      <c r="M19" s="2" t="s">
        <v>42</v>
      </c>
      <c r="N19" s="107">
        <v>4250</v>
      </c>
      <c r="O19" s="107">
        <v>4250</v>
      </c>
      <c r="P19" s="107">
        <f>Tabela1[[#This Row],[Valor anterior]]-Tabela1[[#This Row],[VALOR]]</f>
        <v>0</v>
      </c>
      <c r="Q19" s="14" t="s">
        <v>136</v>
      </c>
      <c r="R19" s="4">
        <v>45695</v>
      </c>
      <c r="S19" s="7" t="s">
        <v>164</v>
      </c>
      <c r="T19" s="4">
        <v>45705</v>
      </c>
      <c r="U19" s="5">
        <v>180</v>
      </c>
      <c r="V19" s="5">
        <v>250</v>
      </c>
      <c r="W19" s="6" t="s">
        <v>43</v>
      </c>
      <c r="X19" s="15">
        <v>175.3</v>
      </c>
      <c r="Y19" s="5">
        <f t="shared" si="0"/>
        <v>74.699999999999989</v>
      </c>
      <c r="Z19" s="4">
        <v>45705</v>
      </c>
      <c r="AA19" s="4" t="str">
        <f t="shared" si="1"/>
        <v>FEV</v>
      </c>
      <c r="AB19" s="4">
        <f t="shared" si="2"/>
        <v>45719</v>
      </c>
      <c r="AC19" s="2">
        <v>152</v>
      </c>
      <c r="AD19" s="7">
        <v>45722</v>
      </c>
      <c r="AE19" s="7" t="s">
        <v>217</v>
      </c>
      <c r="AF19" s="4">
        <v>45717</v>
      </c>
      <c r="AG19" s="7" t="s">
        <v>178</v>
      </c>
      <c r="AH19" s="4">
        <v>45715</v>
      </c>
      <c r="AI19" s="2" t="s">
        <v>657</v>
      </c>
      <c r="AJ19" s="2" t="s">
        <v>676</v>
      </c>
      <c r="AK19" s="4">
        <v>45715</v>
      </c>
      <c r="AL19" s="4">
        <v>45715</v>
      </c>
      <c r="AM19" s="4">
        <v>45715</v>
      </c>
      <c r="AN19" s="2">
        <f t="shared" si="3"/>
        <v>20250014</v>
      </c>
      <c r="AO19" s="4">
        <f t="shared" si="4"/>
        <v>45715</v>
      </c>
      <c r="AP19" s="16">
        <v>830.46</v>
      </c>
      <c r="AQ19" s="8">
        <f t="shared" si="5"/>
        <v>145579.63800000001</v>
      </c>
      <c r="AR19" s="13">
        <v>5.7751000000000001</v>
      </c>
      <c r="AS19" s="19">
        <f>Tabela1[[#This Row],[TAXA]]*Tabela1[[#This Row],[VALOR TOTAL  USD]]</f>
        <v>840736.96741380007</v>
      </c>
      <c r="AT19" s="71">
        <v>14</v>
      </c>
      <c r="AU19" s="72">
        <f>Tabela1[[#This Row],[DATA NF EXP]]-Tabela1[[#This Row],[CARREGAMENTO]]</f>
        <v>10</v>
      </c>
      <c r="AV19" s="72">
        <f>Tabela1[[#This Row],[Realizado]]-Tabela1[[#This Row],[Previsto]]</f>
        <v>-4</v>
      </c>
      <c r="AW19" s="72" t="str">
        <f>IF(Tabela1[[#This Row],[Resultado]]&lt;=0,"Atendido","Não atendido")</f>
        <v>Atendido</v>
      </c>
    </row>
    <row r="20" spans="1:49" x14ac:dyDescent="0.2">
      <c r="A20" s="17" t="s">
        <v>37</v>
      </c>
      <c r="B20" s="2" t="s">
        <v>129</v>
      </c>
      <c r="C20" s="3">
        <v>20250015</v>
      </c>
      <c r="D20" s="2" t="s">
        <v>38</v>
      </c>
      <c r="E20" s="2" t="s">
        <v>44</v>
      </c>
      <c r="F20" s="2">
        <v>9259317</v>
      </c>
      <c r="G20" s="2" t="s">
        <v>132</v>
      </c>
      <c r="H20" s="2" t="s">
        <v>82</v>
      </c>
      <c r="I20" s="2" t="s">
        <v>187</v>
      </c>
      <c r="J20" s="2">
        <v>25000050712</v>
      </c>
      <c r="K20" s="2" t="s">
        <v>160</v>
      </c>
      <c r="L20" s="2" t="s">
        <v>50</v>
      </c>
      <c r="M20" s="2" t="s">
        <v>42</v>
      </c>
      <c r="N20" s="107">
        <v>4250</v>
      </c>
      <c r="O20" s="107">
        <v>4250</v>
      </c>
      <c r="P20" s="107">
        <f>Tabela1[[#This Row],[Valor anterior]]-Tabela1[[#This Row],[VALOR]]</f>
        <v>0</v>
      </c>
      <c r="Q20" s="14" t="s">
        <v>137</v>
      </c>
      <c r="R20" s="4">
        <v>45695</v>
      </c>
      <c r="S20" s="7" t="s">
        <v>165</v>
      </c>
      <c r="T20" s="4">
        <v>45705</v>
      </c>
      <c r="U20" s="5">
        <v>850</v>
      </c>
      <c r="V20" s="5">
        <v>900</v>
      </c>
      <c r="W20" s="6" t="s">
        <v>43</v>
      </c>
      <c r="X20" s="15">
        <v>848.5</v>
      </c>
      <c r="Y20" s="5">
        <f t="shared" si="0"/>
        <v>51.5</v>
      </c>
      <c r="Z20" s="4">
        <v>45705</v>
      </c>
      <c r="AA20" s="4" t="str">
        <f t="shared" si="1"/>
        <v>FEV</v>
      </c>
      <c r="AB20" s="4">
        <f t="shared" si="2"/>
        <v>45719</v>
      </c>
      <c r="AC20" s="2">
        <v>151</v>
      </c>
      <c r="AD20" s="7">
        <v>45722</v>
      </c>
      <c r="AE20" s="7" t="s">
        <v>218</v>
      </c>
      <c r="AF20" s="4">
        <v>45717</v>
      </c>
      <c r="AG20" s="7" t="s">
        <v>179</v>
      </c>
      <c r="AH20" s="4">
        <v>45715</v>
      </c>
      <c r="AI20" s="2" t="s">
        <v>658</v>
      </c>
      <c r="AJ20" s="2" t="s">
        <v>677</v>
      </c>
      <c r="AK20" s="4">
        <v>45715</v>
      </c>
      <c r="AL20" s="4">
        <v>45715</v>
      </c>
      <c r="AM20" s="4">
        <v>45715</v>
      </c>
      <c r="AN20" s="2">
        <f t="shared" si="3"/>
        <v>20250015</v>
      </c>
      <c r="AO20" s="4">
        <f t="shared" si="4"/>
        <v>45715</v>
      </c>
      <c r="AP20" s="16">
        <v>633.19000000000005</v>
      </c>
      <c r="AQ20" s="8">
        <f t="shared" si="5"/>
        <v>537261.71500000008</v>
      </c>
      <c r="AR20" s="13">
        <v>5.7751000000000001</v>
      </c>
      <c r="AS20" s="19">
        <f>Tabela1[[#This Row],[TAXA]]*Tabela1[[#This Row],[VALOR TOTAL  USD]]</f>
        <v>3102740.1302965004</v>
      </c>
      <c r="AT20" s="71">
        <v>14</v>
      </c>
      <c r="AU20" s="72">
        <f>Tabela1[[#This Row],[DATA NF EXP]]-Tabela1[[#This Row],[CARREGAMENTO]]</f>
        <v>10</v>
      </c>
      <c r="AV20" s="72">
        <f>Tabela1[[#This Row],[Realizado]]-Tabela1[[#This Row],[Previsto]]</f>
        <v>-4</v>
      </c>
      <c r="AW20" s="72" t="str">
        <f>IF(Tabela1[[#This Row],[Resultado]]&lt;=0,"Atendido","Não atendido")</f>
        <v>Atendido</v>
      </c>
    </row>
    <row r="21" spans="1:49" x14ac:dyDescent="0.2">
      <c r="A21" s="17" t="s">
        <v>37</v>
      </c>
      <c r="B21" s="2" t="s">
        <v>129</v>
      </c>
      <c r="C21" s="3">
        <v>20250013</v>
      </c>
      <c r="D21" s="2" t="s">
        <v>38</v>
      </c>
      <c r="E21" s="2" t="s">
        <v>44</v>
      </c>
      <c r="F21" s="2">
        <v>9272943</v>
      </c>
      <c r="G21" s="2" t="s">
        <v>131</v>
      </c>
      <c r="H21" s="2" t="s">
        <v>142</v>
      </c>
      <c r="I21" s="2" t="s">
        <v>133</v>
      </c>
      <c r="J21" s="2">
        <v>25000041187</v>
      </c>
      <c r="K21" s="2" t="s">
        <v>159</v>
      </c>
      <c r="L21" s="2" t="s">
        <v>801</v>
      </c>
      <c r="M21" s="2" t="s">
        <v>42</v>
      </c>
      <c r="N21" s="107">
        <v>4250</v>
      </c>
      <c r="O21" s="107">
        <v>4250</v>
      </c>
      <c r="P21" s="107">
        <f>Tabela1[[#This Row],[Valor anterior]]-Tabela1[[#This Row],[VALOR]]</f>
        <v>0</v>
      </c>
      <c r="Q21" s="14" t="s">
        <v>134</v>
      </c>
      <c r="R21" s="4">
        <v>45695</v>
      </c>
      <c r="S21" s="7" t="s">
        <v>135</v>
      </c>
      <c r="T21" s="4">
        <v>45698</v>
      </c>
      <c r="U21" s="5">
        <v>200</v>
      </c>
      <c r="V21" s="5">
        <v>800</v>
      </c>
      <c r="W21" s="6" t="s">
        <v>43</v>
      </c>
      <c r="X21" s="15">
        <v>331.55</v>
      </c>
      <c r="Y21" s="5">
        <f t="shared" si="0"/>
        <v>468.45</v>
      </c>
      <c r="Z21" s="4">
        <v>45703</v>
      </c>
      <c r="AA21" s="4" t="str">
        <f t="shared" si="1"/>
        <v>FEV</v>
      </c>
      <c r="AB21" s="4">
        <v>45714</v>
      </c>
      <c r="AC21" s="2">
        <v>148</v>
      </c>
      <c r="AD21" s="7" t="s">
        <v>122</v>
      </c>
      <c r="AE21" s="7" t="s">
        <v>166</v>
      </c>
      <c r="AF21" s="4">
        <v>45707</v>
      </c>
      <c r="AG21" s="7" t="s">
        <v>167</v>
      </c>
      <c r="AH21" s="4">
        <v>45707</v>
      </c>
      <c r="AI21" s="2" t="s">
        <v>171</v>
      </c>
      <c r="AJ21" s="2" t="s">
        <v>675</v>
      </c>
      <c r="AK21" s="4">
        <v>45708</v>
      </c>
      <c r="AL21" s="4">
        <v>45708</v>
      </c>
      <c r="AM21" s="4">
        <v>45708</v>
      </c>
      <c r="AN21" s="2">
        <f t="shared" si="3"/>
        <v>20250013</v>
      </c>
      <c r="AO21" s="4">
        <f t="shared" si="4"/>
        <v>45707</v>
      </c>
      <c r="AP21" s="16">
        <v>640.67999999999995</v>
      </c>
      <c r="AQ21" s="8">
        <f t="shared" si="5"/>
        <v>212417.454</v>
      </c>
      <c r="AR21" s="13">
        <v>5.6973000000000003</v>
      </c>
      <c r="AS21" s="19">
        <f>Tabela1[[#This Row],[TAXA]]*Tabela1[[#This Row],[VALOR TOTAL  USD]]</f>
        <v>1210205.9606742</v>
      </c>
      <c r="AT21" s="71">
        <v>14</v>
      </c>
      <c r="AU21" s="72">
        <f>Tabela1[[#This Row],[DATA NF EXP]]-Tabela1[[#This Row],[CARREGAMENTO]]</f>
        <v>4</v>
      </c>
      <c r="AV21" s="72">
        <f>Tabela1[[#This Row],[Realizado]]-Tabela1[[#This Row],[Previsto]]</f>
        <v>-10</v>
      </c>
      <c r="AW21" s="72" t="str">
        <f>IF(Tabela1[[#This Row],[Resultado]]&lt;=0,"Atendido","Não atendido")</f>
        <v>Atendido</v>
      </c>
    </row>
    <row r="22" spans="1:49" x14ac:dyDescent="0.2">
      <c r="A22" s="78" t="s">
        <v>306</v>
      </c>
      <c r="B22" s="79" t="s">
        <v>129</v>
      </c>
      <c r="C22" s="80">
        <v>20250017</v>
      </c>
      <c r="D22" s="79" t="s">
        <v>46</v>
      </c>
      <c r="E22" s="79" t="s">
        <v>39</v>
      </c>
      <c r="F22" s="79">
        <v>7801738</v>
      </c>
      <c r="G22" s="79" t="s">
        <v>54</v>
      </c>
      <c r="H22" s="79" t="s">
        <v>82</v>
      </c>
      <c r="I22" s="79" t="s">
        <v>53</v>
      </c>
      <c r="J22" s="79">
        <v>24000482290</v>
      </c>
      <c r="K22" s="79" t="s">
        <v>160</v>
      </c>
      <c r="L22" s="79" t="s">
        <v>45</v>
      </c>
      <c r="M22" s="79" t="s">
        <v>42</v>
      </c>
      <c r="N22" s="110">
        <v>4250</v>
      </c>
      <c r="O22" s="107">
        <v>4250</v>
      </c>
      <c r="P22" s="110">
        <f>Tabela1[[#This Row],[Valor anterior]]-Tabela1[[#This Row],[VALOR]]</f>
        <v>0</v>
      </c>
      <c r="Q22" s="81" t="s">
        <v>146</v>
      </c>
      <c r="R22" s="82">
        <v>45698</v>
      </c>
      <c r="S22" s="83" t="s">
        <v>147</v>
      </c>
      <c r="T22" s="82">
        <v>45700</v>
      </c>
      <c r="U22" s="84">
        <v>90</v>
      </c>
      <c r="V22" s="84">
        <v>100</v>
      </c>
      <c r="W22" s="85" t="s">
        <v>43</v>
      </c>
      <c r="X22" s="86"/>
      <c r="Y22" s="84">
        <f t="shared" si="0"/>
        <v>100</v>
      </c>
      <c r="Z22" s="82"/>
      <c r="AA22" s="82" t="str">
        <f t="shared" si="1"/>
        <v/>
      </c>
      <c r="AB22" s="82"/>
      <c r="AC22" s="79"/>
      <c r="AD22" s="83"/>
      <c r="AE22" s="83"/>
      <c r="AF22" s="82"/>
      <c r="AG22" s="83"/>
      <c r="AH22" s="82"/>
      <c r="AI22" s="79"/>
      <c r="AJ22" s="79"/>
      <c r="AK22" s="82"/>
      <c r="AL22" s="82"/>
      <c r="AM22" s="82"/>
      <c r="AN22" s="79">
        <f t="shared" si="3"/>
        <v>20250017</v>
      </c>
      <c r="AO22" s="82"/>
      <c r="AP22" s="87">
        <v>0</v>
      </c>
      <c r="AQ22" s="88">
        <f t="shared" si="5"/>
        <v>0</v>
      </c>
      <c r="AR22" s="89"/>
      <c r="AS22" s="90">
        <f>Tabela1[[#This Row],[TAXA]]*Tabela1[[#This Row],[VALOR TOTAL  USD]]</f>
        <v>0</v>
      </c>
      <c r="AT22" s="91">
        <v>14</v>
      </c>
      <c r="AU22" s="79">
        <f>Tabela1[[#This Row],[DATA NF EXP]]-Tabela1[[#This Row],[CARREGAMENTO]]</f>
        <v>0</v>
      </c>
      <c r="AV22" s="79">
        <f>Tabela1[[#This Row],[Realizado]]-Tabela1[[#This Row],[Previsto]]</f>
        <v>-14</v>
      </c>
      <c r="AW22" s="79" t="str">
        <f>IF(Tabela1[[#This Row],[Resultado]]&lt;=0,"Atendido","Não atendido")</f>
        <v>Atendido</v>
      </c>
    </row>
    <row r="23" spans="1:49" x14ac:dyDescent="0.2">
      <c r="A23" s="17" t="s">
        <v>37</v>
      </c>
      <c r="B23" s="2" t="s">
        <v>129</v>
      </c>
      <c r="C23" s="3">
        <v>20250016</v>
      </c>
      <c r="D23" s="2" t="s">
        <v>38</v>
      </c>
      <c r="E23" s="2" t="s">
        <v>44</v>
      </c>
      <c r="F23" s="2">
        <v>9929015</v>
      </c>
      <c r="G23" s="2" t="s">
        <v>143</v>
      </c>
      <c r="H23" s="2" t="s">
        <v>130</v>
      </c>
      <c r="I23" s="2" t="s">
        <v>313</v>
      </c>
      <c r="J23" s="2">
        <v>25000035560</v>
      </c>
      <c r="K23" s="2" t="s">
        <v>159</v>
      </c>
      <c r="L23" s="2" t="s">
        <v>801</v>
      </c>
      <c r="M23" s="2" t="s">
        <v>42</v>
      </c>
      <c r="N23" s="107">
        <v>4250</v>
      </c>
      <c r="O23" s="107">
        <v>4250</v>
      </c>
      <c r="P23" s="107">
        <f>Tabela1[[#This Row],[Valor anterior]]-Tabela1[[#This Row],[VALOR]]</f>
        <v>0</v>
      </c>
      <c r="Q23" s="14" t="s">
        <v>144</v>
      </c>
      <c r="R23" s="4">
        <v>45699</v>
      </c>
      <c r="S23" s="7" t="s">
        <v>145</v>
      </c>
      <c r="T23" s="4">
        <v>45699</v>
      </c>
      <c r="U23" s="5">
        <v>600</v>
      </c>
      <c r="V23" s="5">
        <v>700</v>
      </c>
      <c r="W23" s="6" t="s">
        <v>43</v>
      </c>
      <c r="X23" s="15">
        <v>595.62</v>
      </c>
      <c r="Y23" s="5">
        <f t="shared" si="0"/>
        <v>104.38</v>
      </c>
      <c r="Z23" s="4">
        <v>45700</v>
      </c>
      <c r="AA23" s="4" t="str">
        <f t="shared" si="1"/>
        <v>FEV</v>
      </c>
      <c r="AB23" s="4">
        <f>Z23+12</f>
        <v>45712</v>
      </c>
      <c r="AC23" s="2">
        <v>149</v>
      </c>
      <c r="AD23" s="7">
        <v>45722</v>
      </c>
      <c r="AE23" s="7" t="s">
        <v>172</v>
      </c>
      <c r="AF23" s="4">
        <v>45708</v>
      </c>
      <c r="AG23" s="7" t="s">
        <v>180</v>
      </c>
      <c r="AH23" s="4">
        <v>45715</v>
      </c>
      <c r="AI23" s="2" t="s">
        <v>659</v>
      </c>
      <c r="AJ23" s="2" t="s">
        <v>678</v>
      </c>
      <c r="AK23" s="4">
        <v>45716</v>
      </c>
      <c r="AL23" s="4">
        <v>45716</v>
      </c>
      <c r="AM23" s="4">
        <v>45716</v>
      </c>
      <c r="AN23" s="2">
        <f t="shared" si="3"/>
        <v>20250016</v>
      </c>
      <c r="AO23" s="4">
        <f t="shared" ref="AO23:AO63" si="6">AH23</f>
        <v>45715</v>
      </c>
      <c r="AP23" s="16">
        <v>606.32000000000005</v>
      </c>
      <c r="AQ23" s="8">
        <f t="shared" si="5"/>
        <v>361136.31840000005</v>
      </c>
      <c r="AR23" s="13">
        <v>5.7751000000000001</v>
      </c>
      <c r="AS23" s="19">
        <f>Tabela1[[#This Row],[TAXA]]*Tabela1[[#This Row],[VALOR TOTAL  USD]]</f>
        <v>2085598.3523918404</v>
      </c>
      <c r="AT23" s="71">
        <v>14</v>
      </c>
      <c r="AU23" s="72">
        <f>Tabela1[[#This Row],[DATA NF EXP]]-Tabela1[[#This Row],[CARREGAMENTO]]</f>
        <v>15</v>
      </c>
      <c r="AV23" s="72">
        <f>Tabela1[[#This Row],[Realizado]]-Tabela1[[#This Row],[Previsto]]</f>
        <v>1</v>
      </c>
      <c r="AW23" s="72" t="str">
        <f>IF(Tabela1[[#This Row],[Resultado]]&lt;=0,"Atendido","Não atendido")</f>
        <v>Não atendido</v>
      </c>
    </row>
    <row r="24" spans="1:49" x14ac:dyDescent="0.2">
      <c r="A24" s="17" t="s">
        <v>37</v>
      </c>
      <c r="B24" s="2" t="s">
        <v>59</v>
      </c>
      <c r="C24" s="3">
        <v>20250020</v>
      </c>
      <c r="D24" s="2" t="s">
        <v>46</v>
      </c>
      <c r="E24" s="2" t="s">
        <v>39</v>
      </c>
      <c r="F24" s="2">
        <v>9323120</v>
      </c>
      <c r="G24" s="2" t="s">
        <v>109</v>
      </c>
      <c r="H24" s="2" t="s">
        <v>61</v>
      </c>
      <c r="I24" s="2" t="s">
        <v>162</v>
      </c>
      <c r="J24" s="2">
        <v>25000063750</v>
      </c>
      <c r="K24" s="2" t="s">
        <v>161</v>
      </c>
      <c r="L24" s="2" t="s">
        <v>91</v>
      </c>
      <c r="M24" s="2" t="s">
        <v>42</v>
      </c>
      <c r="N24" s="107">
        <v>4250</v>
      </c>
      <c r="O24" s="107">
        <v>4250</v>
      </c>
      <c r="P24" s="107">
        <f>Tabela1[[#This Row],[Valor anterior]]-Tabela1[[#This Row],[VALOR]]</f>
        <v>0</v>
      </c>
      <c r="Q24" s="14" t="s">
        <v>173</v>
      </c>
      <c r="R24" s="4">
        <v>45702</v>
      </c>
      <c r="S24" s="7" t="s">
        <v>174</v>
      </c>
      <c r="T24" s="4">
        <v>45709</v>
      </c>
      <c r="U24" s="5">
        <v>25</v>
      </c>
      <c r="V24" s="5">
        <v>50</v>
      </c>
      <c r="W24" s="6" t="s">
        <v>43</v>
      </c>
      <c r="X24" s="15">
        <v>26.271000000000001</v>
      </c>
      <c r="Y24" s="5">
        <f t="shared" si="0"/>
        <v>23.728999999999999</v>
      </c>
      <c r="Z24" s="4">
        <v>45739</v>
      </c>
      <c r="AA24" s="4" t="str">
        <f t="shared" si="1"/>
        <v>MAR</v>
      </c>
      <c r="AB24" s="4">
        <f>Z24+14</f>
        <v>45753</v>
      </c>
      <c r="AC24" s="2">
        <v>165</v>
      </c>
      <c r="AD24" s="7" t="s">
        <v>122</v>
      </c>
      <c r="AE24" s="7" t="s">
        <v>236</v>
      </c>
      <c r="AF24" s="4">
        <v>45743</v>
      </c>
      <c r="AG24" s="7" t="s">
        <v>690</v>
      </c>
      <c r="AH24" s="4">
        <v>45742</v>
      </c>
      <c r="AI24" s="2" t="s">
        <v>122</v>
      </c>
      <c r="AJ24" s="2" t="s">
        <v>122</v>
      </c>
      <c r="AK24" s="2" t="s">
        <v>122</v>
      </c>
      <c r="AL24" s="2" t="s">
        <v>122</v>
      </c>
      <c r="AM24" s="2" t="s">
        <v>122</v>
      </c>
      <c r="AN24" s="2">
        <f t="shared" si="3"/>
        <v>20250020</v>
      </c>
      <c r="AO24" s="4">
        <f t="shared" si="6"/>
        <v>45742</v>
      </c>
      <c r="AP24" s="16">
        <v>811.23</v>
      </c>
      <c r="AQ24" s="8">
        <f t="shared" si="5"/>
        <v>21311.823330000003</v>
      </c>
      <c r="AR24" s="13">
        <v>0</v>
      </c>
      <c r="AS24" s="19">
        <v>158842.94</v>
      </c>
      <c r="AT24" s="71">
        <v>14</v>
      </c>
      <c r="AU24" s="72">
        <f>Tabela1[[#This Row],[DATA NF EXP]]-Tabela1[[#This Row],[CARREGAMENTO]]</f>
        <v>3</v>
      </c>
      <c r="AV24" s="72">
        <f>Tabela1[[#This Row],[Realizado]]-Tabela1[[#This Row],[Previsto]]</f>
        <v>-11</v>
      </c>
      <c r="AW24" s="72" t="str">
        <f>IF(Tabela1[[#This Row],[Resultado]]&lt;=0,"Atendido","Não atendido")</f>
        <v>Atendido</v>
      </c>
    </row>
    <row r="25" spans="1:49" x14ac:dyDescent="0.2">
      <c r="A25" s="17" t="s">
        <v>37</v>
      </c>
      <c r="B25" s="2" t="s">
        <v>59</v>
      </c>
      <c r="C25" s="3">
        <v>20250021</v>
      </c>
      <c r="D25" s="2" t="s">
        <v>38</v>
      </c>
      <c r="E25" s="2" t="s">
        <v>39</v>
      </c>
      <c r="F25" s="2">
        <v>9323120</v>
      </c>
      <c r="G25" s="2" t="s">
        <v>109</v>
      </c>
      <c r="H25" s="2" t="s">
        <v>61</v>
      </c>
      <c r="I25" s="2" t="s">
        <v>162</v>
      </c>
      <c r="J25" s="2">
        <v>25000063750</v>
      </c>
      <c r="K25" s="2" t="s">
        <v>161</v>
      </c>
      <c r="L25" s="2" t="s">
        <v>91</v>
      </c>
      <c r="M25" s="2" t="s">
        <v>42</v>
      </c>
      <c r="N25" s="107">
        <v>4250</v>
      </c>
      <c r="O25" s="107">
        <v>4250</v>
      </c>
      <c r="P25" s="107">
        <f>Tabela1[[#This Row],[Valor anterior]]-Tabela1[[#This Row],[VALOR]]</f>
        <v>0</v>
      </c>
      <c r="Q25" s="14" t="s">
        <v>175</v>
      </c>
      <c r="R25" s="4">
        <v>45702</v>
      </c>
      <c r="S25" s="7" t="s">
        <v>176</v>
      </c>
      <c r="T25" s="4">
        <v>45709</v>
      </c>
      <c r="U25" s="5">
        <v>320</v>
      </c>
      <c r="V25" s="5">
        <v>350</v>
      </c>
      <c r="W25" s="6" t="s">
        <v>43</v>
      </c>
      <c r="X25" s="15">
        <v>313.88400000000001</v>
      </c>
      <c r="Y25" s="5">
        <f t="shared" si="0"/>
        <v>36.115999999999985</v>
      </c>
      <c r="Z25" s="4">
        <v>45710</v>
      </c>
      <c r="AA25" s="4" t="str">
        <f t="shared" si="1"/>
        <v>FEV</v>
      </c>
      <c r="AB25" s="4">
        <f>Z25+14</f>
        <v>45724</v>
      </c>
      <c r="AC25" s="2">
        <v>156</v>
      </c>
      <c r="AD25" s="7">
        <v>45722</v>
      </c>
      <c r="AE25" s="2" t="s">
        <v>691</v>
      </c>
      <c r="AF25" s="4">
        <v>45742</v>
      </c>
      <c r="AG25" s="4" t="s">
        <v>122</v>
      </c>
      <c r="AH25" s="4" t="s">
        <v>122</v>
      </c>
      <c r="AI25" s="2" t="s">
        <v>122</v>
      </c>
      <c r="AJ25" s="2" t="s">
        <v>122</v>
      </c>
      <c r="AK25" s="2" t="s">
        <v>122</v>
      </c>
      <c r="AL25" s="4" t="s">
        <v>122</v>
      </c>
      <c r="AM25" s="4" t="s">
        <v>122</v>
      </c>
      <c r="AN25" s="2">
        <f t="shared" si="3"/>
        <v>20250021</v>
      </c>
      <c r="AO25" s="4" t="str">
        <f t="shared" si="6"/>
        <v>NA</v>
      </c>
      <c r="AP25" s="16">
        <v>627.21</v>
      </c>
      <c r="AQ25" s="8">
        <f t="shared" si="5"/>
        <v>196871.18364000003</v>
      </c>
      <c r="AR25" s="13">
        <v>0</v>
      </c>
      <c r="AS25" s="19">
        <f>Tabela1[[#This Row],[TAXA]]*Tabela1[[#This Row],[VALOR TOTAL  USD]]</f>
        <v>0</v>
      </c>
      <c r="AT25" s="71">
        <v>14</v>
      </c>
      <c r="AU25" s="72" t="e">
        <f>Tabela1[[#This Row],[DATA NF EXP]]-Tabela1[[#This Row],[CARREGAMENTO]]</f>
        <v>#VALUE!</v>
      </c>
      <c r="AV25" s="72" t="e">
        <f>Tabela1[[#This Row],[Realizado]]-Tabela1[[#This Row],[Previsto]]</f>
        <v>#VALUE!</v>
      </c>
      <c r="AW25" s="72" t="e">
        <f>IF(Tabela1[[#This Row],[Resultado]]&lt;=0,"Atendido","Não atendido")</f>
        <v>#VALUE!</v>
      </c>
    </row>
    <row r="26" spans="1:49" x14ac:dyDescent="0.2">
      <c r="A26" s="17" t="s">
        <v>37</v>
      </c>
      <c r="B26" s="2" t="s">
        <v>59</v>
      </c>
      <c r="C26" s="3">
        <v>20250018</v>
      </c>
      <c r="D26" s="2" t="s">
        <v>38</v>
      </c>
      <c r="E26" s="2" t="s">
        <v>39</v>
      </c>
      <c r="F26" s="2">
        <v>9341794</v>
      </c>
      <c r="G26" s="2" t="s">
        <v>90</v>
      </c>
      <c r="H26" s="2" t="s">
        <v>82</v>
      </c>
      <c r="I26" s="2" t="s">
        <v>162</v>
      </c>
      <c r="J26" s="2">
        <v>25000044232</v>
      </c>
      <c r="K26" s="2" t="s">
        <v>161</v>
      </c>
      <c r="L26" s="2" t="s">
        <v>91</v>
      </c>
      <c r="M26" s="2" t="s">
        <v>42</v>
      </c>
      <c r="N26" s="107">
        <v>4250</v>
      </c>
      <c r="O26" s="107">
        <v>4250</v>
      </c>
      <c r="P26" s="107">
        <f>Tabela1[[#This Row],[Valor anterior]]-Tabela1[[#This Row],[VALOR]]</f>
        <v>0</v>
      </c>
      <c r="Q26" s="14" t="s">
        <v>163</v>
      </c>
      <c r="R26" s="4">
        <v>45702</v>
      </c>
      <c r="S26" s="7" t="s">
        <v>170</v>
      </c>
      <c r="T26" s="4">
        <v>45705</v>
      </c>
      <c r="U26" s="5">
        <v>275</v>
      </c>
      <c r="V26" s="5">
        <v>300</v>
      </c>
      <c r="W26" s="6" t="s">
        <v>43</v>
      </c>
      <c r="X26" s="15">
        <v>270.15300000000002</v>
      </c>
      <c r="Y26" s="5">
        <f t="shared" si="0"/>
        <v>29.84699999999998</v>
      </c>
      <c r="Z26" s="4">
        <v>45707</v>
      </c>
      <c r="AA26" s="4" t="str">
        <f t="shared" si="1"/>
        <v>FEV</v>
      </c>
      <c r="AB26" s="4">
        <f>Z26+12</f>
        <v>45719</v>
      </c>
      <c r="AC26" s="2">
        <v>153</v>
      </c>
      <c r="AD26" s="7">
        <v>45722</v>
      </c>
      <c r="AE26" s="2" t="s">
        <v>122</v>
      </c>
      <c r="AF26" s="4" t="s">
        <v>122</v>
      </c>
      <c r="AG26" s="4" t="s">
        <v>122</v>
      </c>
      <c r="AH26" s="4" t="s">
        <v>122</v>
      </c>
      <c r="AI26" s="2" t="s">
        <v>122</v>
      </c>
      <c r="AJ26" s="2" t="s">
        <v>122</v>
      </c>
      <c r="AK26" s="4" t="s">
        <v>122</v>
      </c>
      <c r="AL26" s="4" t="s">
        <v>122</v>
      </c>
      <c r="AM26" s="4" t="s">
        <v>122</v>
      </c>
      <c r="AN26" s="2">
        <f t="shared" si="3"/>
        <v>20250018</v>
      </c>
      <c r="AO26" s="4" t="str">
        <f t="shared" si="6"/>
        <v>NA</v>
      </c>
      <c r="AP26" s="16">
        <v>625</v>
      </c>
      <c r="AQ26" s="8">
        <f t="shared" si="5"/>
        <v>168845.625</v>
      </c>
      <c r="AR26" s="13">
        <v>0</v>
      </c>
      <c r="AS26" s="19">
        <f>Tabela1[[#This Row],[TAXA]]*Tabela1[[#This Row],[VALOR TOTAL  USD]]</f>
        <v>0</v>
      </c>
      <c r="AT26" s="71">
        <v>14</v>
      </c>
      <c r="AU26" s="72" t="e">
        <f>Tabela1[[#This Row],[DATA NF EXP]]-Tabela1[[#This Row],[CARREGAMENTO]]</f>
        <v>#VALUE!</v>
      </c>
      <c r="AV26" s="72" t="e">
        <f>Tabela1[[#This Row],[Realizado]]-Tabela1[[#This Row],[Previsto]]</f>
        <v>#VALUE!</v>
      </c>
      <c r="AW26" s="72" t="e">
        <f>IF(Tabela1[[#This Row],[Resultado]]&lt;=0,"Atendido","Não atendido")</f>
        <v>#VALUE!</v>
      </c>
    </row>
    <row r="27" spans="1:49" x14ac:dyDescent="0.2">
      <c r="A27" s="17" t="s">
        <v>37</v>
      </c>
      <c r="B27" s="2" t="s">
        <v>59</v>
      </c>
      <c r="C27" s="3">
        <v>20250019</v>
      </c>
      <c r="D27" s="2" t="s">
        <v>38</v>
      </c>
      <c r="E27" s="2" t="s">
        <v>44</v>
      </c>
      <c r="F27" s="2">
        <v>9305867</v>
      </c>
      <c r="G27" s="2" t="s">
        <v>168</v>
      </c>
      <c r="H27" s="2" t="s">
        <v>40</v>
      </c>
      <c r="I27" s="2" t="s">
        <v>60</v>
      </c>
      <c r="J27" s="2">
        <v>25000030886</v>
      </c>
      <c r="K27" s="2" t="s">
        <v>41</v>
      </c>
      <c r="L27" s="2" t="s">
        <v>50</v>
      </c>
      <c r="M27" s="2" t="s">
        <v>42</v>
      </c>
      <c r="N27" s="107">
        <v>4250</v>
      </c>
      <c r="O27" s="107">
        <v>4250</v>
      </c>
      <c r="P27" s="107">
        <f>Tabela1[[#This Row],[Valor anterior]]-Tabela1[[#This Row],[VALOR]]</f>
        <v>0</v>
      </c>
      <c r="Q27" s="14" t="s">
        <v>169</v>
      </c>
      <c r="R27" s="4">
        <v>45707</v>
      </c>
      <c r="S27" s="7" t="s">
        <v>177</v>
      </c>
      <c r="T27" s="4">
        <v>45708</v>
      </c>
      <c r="U27" s="5">
        <v>200</v>
      </c>
      <c r="V27" s="5">
        <v>300</v>
      </c>
      <c r="W27" s="6" t="s">
        <v>43</v>
      </c>
      <c r="X27" s="15">
        <v>196.55799999999999</v>
      </c>
      <c r="Y27" s="5">
        <f t="shared" si="0"/>
        <v>103.44200000000001</v>
      </c>
      <c r="Z27" s="4">
        <v>45709</v>
      </c>
      <c r="AA27" s="4" t="str">
        <f t="shared" si="1"/>
        <v>FEV</v>
      </c>
      <c r="AB27" s="4">
        <f t="shared" ref="AB27:AB53" si="7">Z27+14</f>
        <v>45723</v>
      </c>
      <c r="AC27" s="2">
        <v>154</v>
      </c>
      <c r="AD27" s="7">
        <v>45722</v>
      </c>
      <c r="AE27" s="7" t="s">
        <v>181</v>
      </c>
      <c r="AF27" s="4">
        <v>45719</v>
      </c>
      <c r="AG27" s="7" t="s">
        <v>182</v>
      </c>
      <c r="AH27" s="4">
        <v>45716</v>
      </c>
      <c r="AI27" s="2" t="s">
        <v>660</v>
      </c>
      <c r="AJ27" s="2" t="s">
        <v>679</v>
      </c>
      <c r="AK27" s="4">
        <v>45722</v>
      </c>
      <c r="AL27" s="4">
        <v>45722</v>
      </c>
      <c r="AM27" s="4">
        <v>45722</v>
      </c>
      <c r="AN27" s="2">
        <f t="shared" si="3"/>
        <v>20250019</v>
      </c>
      <c r="AO27" s="4">
        <f t="shared" si="6"/>
        <v>45716</v>
      </c>
      <c r="AP27" s="16">
        <v>611.46</v>
      </c>
      <c r="AQ27" s="8">
        <f t="shared" si="5"/>
        <v>120187.35468</v>
      </c>
      <c r="AR27" s="13">
        <v>5.8221999999999996</v>
      </c>
      <c r="AS27" s="19">
        <f>Tabela1[[#This Row],[TAXA]]*Tabela1[[#This Row],[VALOR TOTAL  USD]]</f>
        <v>699754.81641789596</v>
      </c>
      <c r="AT27" s="71">
        <v>14</v>
      </c>
      <c r="AU27" s="72">
        <f>Tabela1[[#This Row],[DATA NF EXP]]-Tabela1[[#This Row],[CARREGAMENTO]]</f>
        <v>7</v>
      </c>
      <c r="AV27" s="72">
        <f>Tabela1[[#This Row],[Realizado]]-Tabela1[[#This Row],[Previsto]]</f>
        <v>-7</v>
      </c>
      <c r="AW27" s="72" t="str">
        <f>IF(Tabela1[[#This Row],[Resultado]]&lt;=0,"Atendido","Não atendido")</f>
        <v>Atendido</v>
      </c>
    </row>
    <row r="28" spans="1:49" x14ac:dyDescent="0.2">
      <c r="A28" s="17" t="s">
        <v>37</v>
      </c>
      <c r="B28" s="2" t="s">
        <v>59</v>
      </c>
      <c r="C28" s="3">
        <v>20250022</v>
      </c>
      <c r="D28" s="2" t="s">
        <v>38</v>
      </c>
      <c r="E28" s="2" t="s">
        <v>44</v>
      </c>
      <c r="F28" s="2">
        <v>9394765</v>
      </c>
      <c r="G28" s="2" t="s">
        <v>183</v>
      </c>
      <c r="H28" s="2" t="s">
        <v>130</v>
      </c>
      <c r="I28" s="2" t="s">
        <v>313</v>
      </c>
      <c r="J28" s="2">
        <v>25000088639</v>
      </c>
      <c r="K28" s="2" t="s">
        <v>159</v>
      </c>
      <c r="L28" s="2" t="s">
        <v>801</v>
      </c>
      <c r="M28" s="2" t="s">
        <v>42</v>
      </c>
      <c r="N28" s="107">
        <v>4250</v>
      </c>
      <c r="O28" s="107">
        <v>4250</v>
      </c>
      <c r="P28" s="107">
        <f>Tabela1[[#This Row],[Valor anterior]]-Tabela1[[#This Row],[VALOR]]</f>
        <v>0</v>
      </c>
      <c r="Q28" s="14" t="s">
        <v>184</v>
      </c>
      <c r="R28" s="4">
        <v>45709</v>
      </c>
      <c r="S28" s="7" t="s">
        <v>185</v>
      </c>
      <c r="T28" s="4">
        <v>45714</v>
      </c>
      <c r="U28" s="5">
        <v>1050</v>
      </c>
      <c r="V28" s="5">
        <v>1050</v>
      </c>
      <c r="W28" s="6" t="s">
        <v>43</v>
      </c>
      <c r="X28" s="15">
        <v>947.48</v>
      </c>
      <c r="Y28" s="5">
        <f t="shared" si="0"/>
        <v>102.51999999999998</v>
      </c>
      <c r="Z28" s="4">
        <v>45715</v>
      </c>
      <c r="AA28" s="4" t="str">
        <f t="shared" si="1"/>
        <v>FEV</v>
      </c>
      <c r="AB28" s="4">
        <f t="shared" si="7"/>
        <v>45729</v>
      </c>
      <c r="AC28" s="2">
        <v>157</v>
      </c>
      <c r="AD28" s="7">
        <v>45722</v>
      </c>
      <c r="AE28" s="7" t="s">
        <v>195</v>
      </c>
      <c r="AF28" s="4">
        <v>45728</v>
      </c>
      <c r="AG28" s="7" t="s">
        <v>196</v>
      </c>
      <c r="AH28" s="4">
        <v>45729</v>
      </c>
      <c r="AI28" s="2" t="s">
        <v>661</v>
      </c>
      <c r="AJ28" s="2" t="s">
        <v>680</v>
      </c>
      <c r="AK28" s="4">
        <v>45733</v>
      </c>
      <c r="AL28" s="4">
        <v>45733</v>
      </c>
      <c r="AM28" s="4">
        <v>45733</v>
      </c>
      <c r="AN28" s="2">
        <f t="shared" si="3"/>
        <v>20250022</v>
      </c>
      <c r="AO28" s="4">
        <f t="shared" si="6"/>
        <v>45729</v>
      </c>
      <c r="AP28" s="16">
        <v>623</v>
      </c>
      <c r="AQ28" s="8">
        <f t="shared" si="5"/>
        <v>590280.04</v>
      </c>
      <c r="AR28" s="13">
        <v>5.8262</v>
      </c>
      <c r="AS28" s="19">
        <f>Tabela1[[#This Row],[TAXA]]*Tabela1[[#This Row],[VALOR TOTAL  USD]]</f>
        <v>3439089.569048</v>
      </c>
      <c r="AT28" s="71">
        <v>14</v>
      </c>
      <c r="AU28" s="72">
        <f>Tabela1[[#This Row],[DATA NF EXP]]-Tabela1[[#This Row],[CARREGAMENTO]]</f>
        <v>14</v>
      </c>
      <c r="AV28" s="72">
        <f>Tabela1[[#This Row],[Realizado]]-Tabela1[[#This Row],[Previsto]]</f>
        <v>0</v>
      </c>
      <c r="AW28" s="72" t="str">
        <f>IF(Tabela1[[#This Row],[Resultado]]&lt;=0,"Atendido","Não atendido")</f>
        <v>Atendido</v>
      </c>
    </row>
    <row r="29" spans="1:49" x14ac:dyDescent="0.2">
      <c r="A29" s="17" t="s">
        <v>37</v>
      </c>
      <c r="B29" s="2" t="s">
        <v>59</v>
      </c>
      <c r="C29" s="3">
        <v>20250023</v>
      </c>
      <c r="D29" s="2" t="s">
        <v>38</v>
      </c>
      <c r="E29" s="2" t="s">
        <v>44</v>
      </c>
      <c r="F29" s="2">
        <v>9298674</v>
      </c>
      <c r="G29" s="2" t="s">
        <v>188</v>
      </c>
      <c r="H29" s="2" t="s">
        <v>186</v>
      </c>
      <c r="I29" s="2" t="s">
        <v>187</v>
      </c>
      <c r="J29" s="2">
        <v>25000086121</v>
      </c>
      <c r="K29" s="2" t="s">
        <v>794</v>
      </c>
      <c r="L29" s="2" t="s">
        <v>50</v>
      </c>
      <c r="M29" s="2" t="s">
        <v>42</v>
      </c>
      <c r="N29" s="107">
        <v>4250</v>
      </c>
      <c r="O29" s="107">
        <v>4250</v>
      </c>
      <c r="P29" s="107">
        <f>Tabela1[[#This Row],[Valor anterior]]-Tabela1[[#This Row],[VALOR]]</f>
        <v>0</v>
      </c>
      <c r="Q29" s="14" t="s">
        <v>189</v>
      </c>
      <c r="R29" s="4">
        <v>45716</v>
      </c>
      <c r="S29" s="7" t="s">
        <v>190</v>
      </c>
      <c r="T29" s="4">
        <v>45716</v>
      </c>
      <c r="U29" s="5">
        <v>650</v>
      </c>
      <c r="V29" s="5">
        <v>800</v>
      </c>
      <c r="W29" s="6" t="s">
        <v>43</v>
      </c>
      <c r="X29" s="15">
        <v>661.96299999999997</v>
      </c>
      <c r="Y29" s="5">
        <f t="shared" si="0"/>
        <v>138.03700000000003</v>
      </c>
      <c r="Z29" s="4">
        <v>45727</v>
      </c>
      <c r="AA29" s="4" t="str">
        <f t="shared" si="1"/>
        <v>MAR</v>
      </c>
      <c r="AB29" s="4">
        <f t="shared" si="7"/>
        <v>45741</v>
      </c>
      <c r="AC29" s="2">
        <v>158</v>
      </c>
      <c r="AD29" s="7" t="s">
        <v>122</v>
      </c>
      <c r="AE29" s="7" t="s">
        <v>197</v>
      </c>
      <c r="AF29" s="4">
        <v>45730</v>
      </c>
      <c r="AG29" s="7" t="s">
        <v>198</v>
      </c>
      <c r="AH29" s="4">
        <v>45730</v>
      </c>
      <c r="AI29" s="2" t="s">
        <v>662</v>
      </c>
      <c r="AJ29" s="2" t="s">
        <v>224</v>
      </c>
      <c r="AK29" s="4">
        <v>45735</v>
      </c>
      <c r="AL29" s="4">
        <v>45735</v>
      </c>
      <c r="AM29" s="4">
        <v>45735</v>
      </c>
      <c r="AN29" s="2">
        <f t="shared" si="3"/>
        <v>20250023</v>
      </c>
      <c r="AO29" s="4">
        <f t="shared" si="6"/>
        <v>45730</v>
      </c>
      <c r="AP29" s="16">
        <v>602.78</v>
      </c>
      <c r="AQ29" s="8">
        <f t="shared" si="5"/>
        <v>399018.05713999999</v>
      </c>
      <c r="AR29" s="13">
        <v>5.8125</v>
      </c>
      <c r="AS29" s="19">
        <f>Tabela1[[#This Row],[TAXA]]*Tabela1[[#This Row],[VALOR TOTAL  USD]]</f>
        <v>2319292.45712625</v>
      </c>
      <c r="AT29" s="71">
        <v>14</v>
      </c>
      <c r="AU29" s="72">
        <f>Tabela1[[#This Row],[DATA NF EXP]]-Tabela1[[#This Row],[CARREGAMENTO]]</f>
        <v>3</v>
      </c>
      <c r="AV29" s="72">
        <f>Tabela1[[#This Row],[Realizado]]-Tabela1[[#This Row],[Previsto]]</f>
        <v>-11</v>
      </c>
      <c r="AW29" s="72" t="str">
        <f>IF(Tabela1[[#This Row],[Resultado]]&lt;=0,"Atendido","Não atendido")</f>
        <v>Atendido</v>
      </c>
    </row>
    <row r="30" spans="1:49" x14ac:dyDescent="0.2">
      <c r="A30" s="17" t="s">
        <v>37</v>
      </c>
      <c r="B30" s="2" t="s">
        <v>59</v>
      </c>
      <c r="C30" s="3">
        <v>20250024</v>
      </c>
      <c r="D30" s="2" t="s">
        <v>46</v>
      </c>
      <c r="E30" s="2" t="s">
        <v>44</v>
      </c>
      <c r="F30" s="2">
        <v>9298674</v>
      </c>
      <c r="G30" s="2" t="s">
        <v>188</v>
      </c>
      <c r="H30" s="2" t="s">
        <v>186</v>
      </c>
      <c r="I30" s="2" t="s">
        <v>187</v>
      </c>
      <c r="J30" s="2">
        <v>25000086121</v>
      </c>
      <c r="K30" s="2" t="s">
        <v>794</v>
      </c>
      <c r="L30" s="2" t="s">
        <v>50</v>
      </c>
      <c r="M30" s="2" t="s">
        <v>42</v>
      </c>
      <c r="N30" s="107">
        <v>4250</v>
      </c>
      <c r="O30" s="107">
        <v>4250</v>
      </c>
      <c r="P30" s="107">
        <f>Tabela1[[#This Row],[Valor anterior]]-Tabela1[[#This Row],[VALOR]]</f>
        <v>0</v>
      </c>
      <c r="Q30" s="14" t="s">
        <v>191</v>
      </c>
      <c r="R30" s="4">
        <v>45716</v>
      </c>
      <c r="S30" s="7" t="s">
        <v>192</v>
      </c>
      <c r="T30" s="4">
        <v>45716</v>
      </c>
      <c r="U30" s="5">
        <v>165</v>
      </c>
      <c r="V30" s="5">
        <v>250</v>
      </c>
      <c r="W30" s="6" t="s">
        <v>43</v>
      </c>
      <c r="X30" s="15">
        <v>171.36600000000001</v>
      </c>
      <c r="Y30" s="5">
        <f t="shared" si="0"/>
        <v>78.633999999999986</v>
      </c>
      <c r="Z30" s="4">
        <v>45727</v>
      </c>
      <c r="AA30" s="4" t="str">
        <f t="shared" si="1"/>
        <v>MAR</v>
      </c>
      <c r="AB30" s="4">
        <f t="shared" si="7"/>
        <v>45741</v>
      </c>
      <c r="AC30" s="2">
        <v>159</v>
      </c>
      <c r="AD30" s="7" t="s">
        <v>122</v>
      </c>
      <c r="AE30" s="7" t="s">
        <v>199</v>
      </c>
      <c r="AF30" s="4">
        <v>45730</v>
      </c>
      <c r="AG30" s="7" t="s">
        <v>200</v>
      </c>
      <c r="AH30" s="4">
        <v>45730</v>
      </c>
      <c r="AI30" s="2" t="s">
        <v>225</v>
      </c>
      <c r="AJ30" s="2" t="s">
        <v>226</v>
      </c>
      <c r="AK30" s="4">
        <v>45735</v>
      </c>
      <c r="AL30" s="4">
        <v>45735</v>
      </c>
      <c r="AM30" s="4">
        <v>45735</v>
      </c>
      <c r="AN30" s="2">
        <f t="shared" si="3"/>
        <v>20250024</v>
      </c>
      <c r="AO30" s="4">
        <f t="shared" si="6"/>
        <v>45730</v>
      </c>
      <c r="AP30" s="16">
        <v>832.38</v>
      </c>
      <c r="AQ30" s="8">
        <f t="shared" si="5"/>
        <v>142641.63108000002</v>
      </c>
      <c r="AR30" s="13">
        <v>5.8125</v>
      </c>
      <c r="AS30" s="19">
        <f>Tabela1[[#This Row],[TAXA]]*Tabela1[[#This Row],[VALOR TOTAL  USD]]</f>
        <v>829104.48065250018</v>
      </c>
      <c r="AT30" s="71">
        <v>14</v>
      </c>
      <c r="AU30" s="72">
        <f>Tabela1[[#This Row],[DATA NF EXP]]-Tabela1[[#This Row],[CARREGAMENTO]]</f>
        <v>3</v>
      </c>
      <c r="AV30" s="72">
        <f>Tabela1[[#This Row],[Realizado]]-Tabela1[[#This Row],[Previsto]]</f>
        <v>-11</v>
      </c>
      <c r="AW30" s="72" t="str">
        <f>IF(Tabela1[[#This Row],[Resultado]]&lt;=0,"Atendido","Não atendido")</f>
        <v>Atendido</v>
      </c>
    </row>
    <row r="31" spans="1:49" x14ac:dyDescent="0.2">
      <c r="A31" s="17" t="s">
        <v>37</v>
      </c>
      <c r="B31" s="2" t="s">
        <v>129</v>
      </c>
      <c r="C31" s="3">
        <v>20250026</v>
      </c>
      <c r="D31" s="2" t="s">
        <v>38</v>
      </c>
      <c r="E31" s="2" t="s">
        <v>44</v>
      </c>
      <c r="F31" s="2">
        <v>9200940</v>
      </c>
      <c r="G31" s="2" t="s">
        <v>204</v>
      </c>
      <c r="H31" s="2" t="s">
        <v>48</v>
      </c>
      <c r="I31" s="2" t="s">
        <v>60</v>
      </c>
      <c r="J31" s="2">
        <v>25000114508</v>
      </c>
      <c r="K31" s="2" t="s">
        <v>793</v>
      </c>
      <c r="L31" s="2" t="s">
        <v>47</v>
      </c>
      <c r="M31" s="2" t="s">
        <v>42</v>
      </c>
      <c r="N31" s="107">
        <v>4250</v>
      </c>
      <c r="O31" s="107">
        <v>4250</v>
      </c>
      <c r="P31" s="107">
        <f>Tabela1[[#This Row],[Valor anterior]]-Tabela1[[#This Row],[VALOR]]</f>
        <v>0</v>
      </c>
      <c r="Q31" s="14" t="s">
        <v>205</v>
      </c>
      <c r="R31" s="4">
        <v>45722</v>
      </c>
      <c r="S31" s="7" t="s">
        <v>206</v>
      </c>
      <c r="T31" s="4">
        <v>45729</v>
      </c>
      <c r="U31" s="5">
        <v>500</v>
      </c>
      <c r="V31" s="5">
        <v>700</v>
      </c>
      <c r="W31" s="6" t="s">
        <v>43</v>
      </c>
      <c r="X31" s="15">
        <v>346.04199999999997</v>
      </c>
      <c r="Y31" s="5">
        <f t="shared" si="0"/>
        <v>353.95800000000003</v>
      </c>
      <c r="Z31" s="4">
        <v>45730</v>
      </c>
      <c r="AA31" s="4" t="str">
        <f t="shared" si="1"/>
        <v>MAR</v>
      </c>
      <c r="AB31" s="4">
        <f t="shared" si="7"/>
        <v>45744</v>
      </c>
      <c r="AC31" s="2">
        <v>161</v>
      </c>
      <c r="AD31" s="7" t="s">
        <v>122</v>
      </c>
      <c r="AE31" s="7" t="s">
        <v>228</v>
      </c>
      <c r="AF31" s="4">
        <v>45733</v>
      </c>
      <c r="AG31" s="7" t="s">
        <v>229</v>
      </c>
      <c r="AH31" s="4">
        <v>45733</v>
      </c>
      <c r="AI31" s="2" t="s">
        <v>231</v>
      </c>
      <c r="AJ31" s="2" t="s">
        <v>230</v>
      </c>
      <c r="AK31" s="4">
        <v>45735</v>
      </c>
      <c r="AL31" s="4">
        <v>45742</v>
      </c>
      <c r="AM31" s="4">
        <v>45742</v>
      </c>
      <c r="AN31" s="2">
        <f t="shared" si="3"/>
        <v>20250026</v>
      </c>
      <c r="AO31" s="4">
        <f t="shared" si="6"/>
        <v>45733</v>
      </c>
      <c r="AP31" s="16">
        <v>605.72</v>
      </c>
      <c r="AQ31" s="8">
        <f t="shared" si="5"/>
        <v>209604.56023999999</v>
      </c>
      <c r="AR31" s="13">
        <v>5.7412999999999998</v>
      </c>
      <c r="AS31" s="19">
        <f>Tabela1[[#This Row],[TAXA]]*Tabela1[[#This Row],[VALOR TOTAL  USD]]</f>
        <v>1203402.6617059119</v>
      </c>
      <c r="AT31" s="71">
        <v>14</v>
      </c>
      <c r="AU31" s="72">
        <f>Tabela1[[#This Row],[DATA NF EXP]]-Tabela1[[#This Row],[CARREGAMENTO]]</f>
        <v>3</v>
      </c>
      <c r="AV31" s="72">
        <f>Tabela1[[#This Row],[Realizado]]-Tabela1[[#This Row],[Previsto]]</f>
        <v>-11</v>
      </c>
      <c r="AW31" s="72" t="str">
        <f>IF(Tabela1[[#This Row],[Resultado]]&lt;=0,"Atendido","Não atendido")</f>
        <v>Atendido</v>
      </c>
    </row>
    <row r="32" spans="1:49" x14ac:dyDescent="0.2">
      <c r="A32" s="17" t="s">
        <v>37</v>
      </c>
      <c r="B32" s="2" t="s">
        <v>129</v>
      </c>
      <c r="C32" s="3">
        <v>20250027</v>
      </c>
      <c r="D32" s="2" t="s">
        <v>46</v>
      </c>
      <c r="E32" s="2" t="s">
        <v>44</v>
      </c>
      <c r="F32" s="2">
        <v>9886225</v>
      </c>
      <c r="G32" s="2" t="s">
        <v>207</v>
      </c>
      <c r="H32" s="2" t="s">
        <v>48</v>
      </c>
      <c r="I32" s="2" t="s">
        <v>60</v>
      </c>
      <c r="J32" s="2">
        <v>25000067151</v>
      </c>
      <c r="K32" s="2" t="s">
        <v>793</v>
      </c>
      <c r="L32" s="2" t="s">
        <v>208</v>
      </c>
      <c r="M32" s="2" t="s">
        <v>42</v>
      </c>
      <c r="N32" s="107">
        <v>4250</v>
      </c>
      <c r="O32" s="107">
        <v>4250</v>
      </c>
      <c r="P32" s="107">
        <f>Tabela1[[#This Row],[Valor anterior]]-Tabela1[[#This Row],[VALOR]]</f>
        <v>0</v>
      </c>
      <c r="Q32" s="14" t="s">
        <v>209</v>
      </c>
      <c r="R32" s="4">
        <v>45722</v>
      </c>
      <c r="S32" s="7" t="s">
        <v>210</v>
      </c>
      <c r="T32" s="4">
        <v>45729</v>
      </c>
      <c r="U32" s="5">
        <v>300</v>
      </c>
      <c r="V32" s="5">
        <v>400</v>
      </c>
      <c r="W32" s="6" t="s">
        <v>43</v>
      </c>
      <c r="X32" s="15">
        <v>298.44499999999999</v>
      </c>
      <c r="Y32" s="5">
        <f t="shared" si="0"/>
        <v>101.55500000000001</v>
      </c>
      <c r="Z32" s="4">
        <v>45732</v>
      </c>
      <c r="AA32" s="4" t="str">
        <f t="shared" si="1"/>
        <v>MAR</v>
      </c>
      <c r="AB32" s="4">
        <f t="shared" si="7"/>
        <v>45746</v>
      </c>
      <c r="AC32" s="2">
        <v>162</v>
      </c>
      <c r="AD32" s="7">
        <v>45754</v>
      </c>
      <c r="AE32" s="7" t="s">
        <v>211</v>
      </c>
      <c r="AF32" s="4">
        <v>45733</v>
      </c>
      <c r="AG32" s="7" t="s">
        <v>271</v>
      </c>
      <c r="AH32" s="4">
        <v>45743</v>
      </c>
      <c r="AI32" s="2" t="s">
        <v>272</v>
      </c>
      <c r="AJ32" s="2" t="s">
        <v>273</v>
      </c>
      <c r="AK32" s="4">
        <v>45749</v>
      </c>
      <c r="AL32" s="4">
        <v>45749</v>
      </c>
      <c r="AM32" s="4">
        <v>45749</v>
      </c>
      <c r="AN32" s="2">
        <f t="shared" si="3"/>
        <v>20250027</v>
      </c>
      <c r="AO32" s="4">
        <f t="shared" si="6"/>
        <v>45743</v>
      </c>
      <c r="AP32" s="16">
        <v>829.32</v>
      </c>
      <c r="AQ32" s="8">
        <f t="shared" si="5"/>
        <v>247506.4074</v>
      </c>
      <c r="AR32" s="13">
        <v>5.7291999999999996</v>
      </c>
      <c r="AS32" s="19">
        <f>Tabela1[[#This Row],[TAXA]]*Tabela1[[#This Row],[VALOR TOTAL  USD]]</f>
        <v>1418013.7092760799</v>
      </c>
      <c r="AT32" s="71">
        <v>14</v>
      </c>
      <c r="AU32" s="72">
        <f>Tabela1[[#This Row],[DATA NF EXP]]-Tabela1[[#This Row],[CARREGAMENTO]]</f>
        <v>11</v>
      </c>
      <c r="AV32" s="72">
        <f>Tabela1[[#This Row],[Realizado]]-Tabela1[[#This Row],[Previsto]]</f>
        <v>-3</v>
      </c>
      <c r="AW32" s="72" t="str">
        <f>IF(Tabela1[[#This Row],[Resultado]]&lt;=0,"Atendido","Não atendido")</f>
        <v>Atendido</v>
      </c>
    </row>
    <row r="33" spans="1:49" x14ac:dyDescent="0.2">
      <c r="A33" s="17" t="s">
        <v>37</v>
      </c>
      <c r="B33" s="2" t="s">
        <v>59</v>
      </c>
      <c r="C33" s="3">
        <v>20250025</v>
      </c>
      <c r="D33" s="2" t="s">
        <v>38</v>
      </c>
      <c r="E33" s="2" t="s">
        <v>44</v>
      </c>
      <c r="F33" s="2">
        <v>9725421</v>
      </c>
      <c r="G33" s="2" t="s">
        <v>52</v>
      </c>
      <c r="H33" s="2" t="s">
        <v>48</v>
      </c>
      <c r="I33" s="2" t="s">
        <v>60</v>
      </c>
      <c r="J33" s="2">
        <v>25000048599</v>
      </c>
      <c r="K33" s="2" t="s">
        <v>793</v>
      </c>
      <c r="L33" s="2" t="s">
        <v>47</v>
      </c>
      <c r="M33" s="2" t="s">
        <v>42</v>
      </c>
      <c r="N33" s="107">
        <v>4250</v>
      </c>
      <c r="O33" s="107">
        <v>4250</v>
      </c>
      <c r="P33" s="107">
        <f>Tabela1[[#This Row],[Valor anterior]]-Tabela1[[#This Row],[VALOR]]</f>
        <v>0</v>
      </c>
      <c r="Q33" s="14" t="s">
        <v>193</v>
      </c>
      <c r="R33" s="4">
        <v>45722</v>
      </c>
      <c r="S33" s="7" t="s">
        <v>201</v>
      </c>
      <c r="T33" s="4">
        <v>45723</v>
      </c>
      <c r="U33" s="5">
        <v>250</v>
      </c>
      <c r="V33" s="5">
        <v>300</v>
      </c>
      <c r="W33" s="6" t="s">
        <v>43</v>
      </c>
      <c r="X33" s="15">
        <v>245.714</v>
      </c>
      <c r="Y33" s="5">
        <f t="shared" si="0"/>
        <v>54.286000000000001</v>
      </c>
      <c r="Z33" s="4">
        <v>45725</v>
      </c>
      <c r="AA33" s="4" t="str">
        <f t="shared" si="1"/>
        <v>MAR</v>
      </c>
      <c r="AB33" s="4">
        <f t="shared" si="7"/>
        <v>45739</v>
      </c>
      <c r="AC33" s="2">
        <v>160</v>
      </c>
      <c r="AD33" s="7" t="s">
        <v>122</v>
      </c>
      <c r="AE33" s="7" t="s">
        <v>202</v>
      </c>
      <c r="AF33" s="4">
        <v>45726</v>
      </c>
      <c r="AG33" s="7" t="s">
        <v>203</v>
      </c>
      <c r="AH33" s="4">
        <v>45726</v>
      </c>
      <c r="AI33" s="2" t="s">
        <v>233</v>
      </c>
      <c r="AJ33" s="2" t="s">
        <v>232</v>
      </c>
      <c r="AK33" s="4">
        <v>45735</v>
      </c>
      <c r="AL33" s="4">
        <v>45742</v>
      </c>
      <c r="AM33" s="4">
        <v>45742</v>
      </c>
      <c r="AN33" s="2">
        <f t="shared" si="3"/>
        <v>20250025</v>
      </c>
      <c r="AO33" s="4">
        <f t="shared" si="6"/>
        <v>45726</v>
      </c>
      <c r="AP33" s="16">
        <v>616.13</v>
      </c>
      <c r="AQ33" s="8">
        <f t="shared" si="5"/>
        <v>151391.76681999999</v>
      </c>
      <c r="AR33" s="13">
        <v>5.7682000000000002</v>
      </c>
      <c r="AS33" s="19">
        <f>Tabela1[[#This Row],[TAXA]]*Tabela1[[#This Row],[VALOR TOTAL  USD]]</f>
        <v>873257.98937112396</v>
      </c>
      <c r="AT33" s="71">
        <v>14</v>
      </c>
      <c r="AU33" s="72">
        <f>Tabela1[[#This Row],[DATA NF EXP]]-Tabela1[[#This Row],[CARREGAMENTO]]</f>
        <v>1</v>
      </c>
      <c r="AV33" s="72">
        <f>Tabela1[[#This Row],[Realizado]]-Tabela1[[#This Row],[Previsto]]</f>
        <v>-13</v>
      </c>
      <c r="AW33" s="72" t="str">
        <f>IF(Tabela1[[#This Row],[Resultado]]&lt;=0,"Atendido","Não atendido")</f>
        <v>Atendido</v>
      </c>
    </row>
    <row r="34" spans="1:49" x14ac:dyDescent="0.2">
      <c r="A34" s="17" t="s">
        <v>37</v>
      </c>
      <c r="B34" s="2" t="s">
        <v>129</v>
      </c>
      <c r="C34" s="3">
        <v>20250028</v>
      </c>
      <c r="D34" s="2" t="s">
        <v>38</v>
      </c>
      <c r="E34" s="2" t="s">
        <v>44</v>
      </c>
      <c r="F34" s="2">
        <v>9295036</v>
      </c>
      <c r="G34" s="2" t="s">
        <v>213</v>
      </c>
      <c r="H34" s="2" t="s">
        <v>214</v>
      </c>
      <c r="I34" s="2" t="s">
        <v>187</v>
      </c>
      <c r="J34" s="2">
        <v>25000106874</v>
      </c>
      <c r="K34" s="2" t="s">
        <v>160</v>
      </c>
      <c r="L34" s="2" t="s">
        <v>50</v>
      </c>
      <c r="M34" s="2" t="s">
        <v>42</v>
      </c>
      <c r="N34" s="107">
        <v>4250</v>
      </c>
      <c r="O34" s="107">
        <v>4250</v>
      </c>
      <c r="P34" s="107">
        <f>Tabela1[[#This Row],[Valor anterior]]-Tabela1[[#This Row],[VALOR]]</f>
        <v>0</v>
      </c>
      <c r="Q34" s="14" t="s">
        <v>215</v>
      </c>
      <c r="R34" s="4">
        <v>45728</v>
      </c>
      <c r="S34" s="7" t="s">
        <v>222</v>
      </c>
      <c r="T34" s="4">
        <v>45740</v>
      </c>
      <c r="U34" s="5">
        <v>800</v>
      </c>
      <c r="V34" s="5">
        <v>850</v>
      </c>
      <c r="W34" s="6" t="s">
        <v>43</v>
      </c>
      <c r="X34" s="15">
        <v>798.26400000000001</v>
      </c>
      <c r="Y34" s="5">
        <f t="shared" ref="Y34:Y65" si="8">V34-X34</f>
        <v>51.73599999999999</v>
      </c>
      <c r="Z34" s="4">
        <v>45741</v>
      </c>
      <c r="AA34" s="4" t="str">
        <f t="shared" ref="AA34:AA65" si="9">IF(Z34="","",UPPER(TEXT(Z34,"MMM")))</f>
        <v>MAR</v>
      </c>
      <c r="AB34" s="4">
        <f t="shared" si="7"/>
        <v>45755</v>
      </c>
      <c r="AC34" s="2">
        <v>166</v>
      </c>
      <c r="AD34" s="7">
        <v>45754</v>
      </c>
      <c r="AE34" s="7" t="s">
        <v>227</v>
      </c>
      <c r="AF34" s="4">
        <v>45742</v>
      </c>
      <c r="AG34" s="7" t="s">
        <v>274</v>
      </c>
      <c r="AH34" s="4">
        <v>45747</v>
      </c>
      <c r="AI34" s="2" t="s">
        <v>275</v>
      </c>
      <c r="AJ34" s="2" t="s">
        <v>276</v>
      </c>
      <c r="AK34" s="4">
        <v>45751</v>
      </c>
      <c r="AL34" s="4">
        <v>45751</v>
      </c>
      <c r="AM34" s="4">
        <v>45751</v>
      </c>
      <c r="AN34" s="2">
        <f t="shared" ref="AN34:AN65" si="10">C34</f>
        <v>20250028</v>
      </c>
      <c r="AO34" s="4">
        <f t="shared" si="6"/>
        <v>45747</v>
      </c>
      <c r="AP34" s="16">
        <v>558</v>
      </c>
      <c r="AQ34" s="8">
        <f t="shared" ref="AQ34:AQ65" si="11">X34*AP34</f>
        <v>445431.31200000003</v>
      </c>
      <c r="AR34" s="13">
        <v>5.7653999999999996</v>
      </c>
      <c r="AS34" s="19">
        <f>Tabela1[[#This Row],[TAXA]]*Tabela1[[#This Row],[VALOR TOTAL  USD]]</f>
        <v>2568089.6862047999</v>
      </c>
      <c r="AT34" s="71">
        <v>14</v>
      </c>
      <c r="AU34" s="72">
        <f>Tabela1[[#This Row],[DATA NF EXP]]-Tabela1[[#This Row],[CARREGAMENTO]]</f>
        <v>6</v>
      </c>
      <c r="AV34" s="72">
        <f>Tabela1[[#This Row],[Realizado]]-Tabela1[[#This Row],[Previsto]]</f>
        <v>-8</v>
      </c>
      <c r="AW34" s="72" t="str">
        <f>IF(Tabela1[[#This Row],[Resultado]]&lt;=0,"Atendido","Não atendido")</f>
        <v>Atendido</v>
      </c>
    </row>
    <row r="35" spans="1:49" x14ac:dyDescent="0.2">
      <c r="A35" s="17" t="s">
        <v>37</v>
      </c>
      <c r="B35" s="2" t="s">
        <v>129</v>
      </c>
      <c r="C35" s="3">
        <v>20250030</v>
      </c>
      <c r="D35" s="2" t="s">
        <v>38</v>
      </c>
      <c r="E35" s="2" t="s">
        <v>39</v>
      </c>
      <c r="F35" s="2">
        <v>9323120</v>
      </c>
      <c r="G35" s="2" t="s">
        <v>109</v>
      </c>
      <c r="H35" s="2" t="s">
        <v>61</v>
      </c>
      <c r="I35" s="2" t="s">
        <v>162</v>
      </c>
      <c r="J35" s="2">
        <v>25000063750</v>
      </c>
      <c r="K35" s="2" t="s">
        <v>161</v>
      </c>
      <c r="L35" s="2" t="s">
        <v>91</v>
      </c>
      <c r="M35" s="2" t="s">
        <v>42</v>
      </c>
      <c r="N35" s="107">
        <v>4250</v>
      </c>
      <c r="O35" s="107">
        <v>4250</v>
      </c>
      <c r="P35" s="107">
        <f>Tabela1[[#This Row],[Valor anterior]]-Tabela1[[#This Row],[VALOR]]</f>
        <v>0</v>
      </c>
      <c r="Q35" s="14" t="s">
        <v>219</v>
      </c>
      <c r="R35" s="4">
        <v>45728</v>
      </c>
      <c r="S35" s="7" t="s">
        <v>220</v>
      </c>
      <c r="T35" s="4">
        <v>45737</v>
      </c>
      <c r="U35" s="5">
        <v>160</v>
      </c>
      <c r="V35" s="5">
        <v>210</v>
      </c>
      <c r="W35" s="6" t="s">
        <v>43</v>
      </c>
      <c r="X35" s="15">
        <v>174.66300000000001</v>
      </c>
      <c r="Y35" s="5">
        <f t="shared" si="8"/>
        <v>35.336999999999989</v>
      </c>
      <c r="Z35" s="4">
        <v>45739</v>
      </c>
      <c r="AA35" s="4" t="str">
        <f t="shared" si="9"/>
        <v>MAR</v>
      </c>
      <c r="AB35" s="4">
        <f t="shared" si="7"/>
        <v>45753</v>
      </c>
      <c r="AC35" s="2">
        <v>164</v>
      </c>
      <c r="AD35" s="7" t="s">
        <v>122</v>
      </c>
      <c r="AE35" s="7" t="s">
        <v>122</v>
      </c>
      <c r="AF35" s="4" t="s">
        <v>122</v>
      </c>
      <c r="AG35" s="7" t="s">
        <v>122</v>
      </c>
      <c r="AH35" s="4" t="s">
        <v>122</v>
      </c>
      <c r="AI35" s="2" t="s">
        <v>122</v>
      </c>
      <c r="AJ35" s="2" t="s">
        <v>122</v>
      </c>
      <c r="AK35" s="2" t="s">
        <v>122</v>
      </c>
      <c r="AL35" s="2" t="s">
        <v>122</v>
      </c>
      <c r="AM35" s="2" t="s">
        <v>122</v>
      </c>
      <c r="AN35" s="2">
        <f t="shared" si="10"/>
        <v>20250030</v>
      </c>
      <c r="AO35" s="4" t="str">
        <f t="shared" si="6"/>
        <v>NA</v>
      </c>
      <c r="AP35" s="16">
        <v>560</v>
      </c>
      <c r="AQ35" s="8">
        <f t="shared" si="11"/>
        <v>97811.28</v>
      </c>
      <c r="AR35" s="13">
        <v>0</v>
      </c>
      <c r="AS35" s="19">
        <f>Tabela1[[#This Row],[TAXA]]*Tabela1[[#This Row],[VALOR TOTAL  USD]]</f>
        <v>0</v>
      </c>
      <c r="AT35" s="71">
        <v>14</v>
      </c>
      <c r="AU35" s="72" t="e">
        <f>Tabela1[[#This Row],[DATA NF EXP]]-Tabela1[[#This Row],[CARREGAMENTO]]</f>
        <v>#VALUE!</v>
      </c>
      <c r="AV35" s="72" t="e">
        <f>Tabela1[[#This Row],[Realizado]]-Tabela1[[#This Row],[Previsto]]</f>
        <v>#VALUE!</v>
      </c>
      <c r="AW35" s="72" t="e">
        <f>IF(Tabela1[[#This Row],[Resultado]]&lt;=0,"Atendido","Não atendido")</f>
        <v>#VALUE!</v>
      </c>
    </row>
    <row r="36" spans="1:49" x14ac:dyDescent="0.2">
      <c r="A36" s="17" t="s">
        <v>37</v>
      </c>
      <c r="B36" s="2" t="s">
        <v>129</v>
      </c>
      <c r="C36" s="3">
        <v>20250029</v>
      </c>
      <c r="D36" s="2" t="s">
        <v>38</v>
      </c>
      <c r="E36" s="2" t="s">
        <v>39</v>
      </c>
      <c r="F36" s="2">
        <v>9341794</v>
      </c>
      <c r="G36" s="2" t="s">
        <v>90</v>
      </c>
      <c r="H36" s="2" t="s">
        <v>82</v>
      </c>
      <c r="I36" s="2" t="s">
        <v>162</v>
      </c>
      <c r="J36" s="2">
        <v>25000044232</v>
      </c>
      <c r="K36" s="2" t="s">
        <v>161</v>
      </c>
      <c r="L36" s="2" t="s">
        <v>91</v>
      </c>
      <c r="M36" s="2" t="s">
        <v>42</v>
      </c>
      <c r="N36" s="107">
        <v>4250</v>
      </c>
      <c r="O36" s="107">
        <v>4250</v>
      </c>
      <c r="P36" s="107">
        <f>Tabela1[[#This Row],[Valor anterior]]-Tabela1[[#This Row],[VALOR]]</f>
        <v>0</v>
      </c>
      <c r="Q36" s="14" t="s">
        <v>216</v>
      </c>
      <c r="R36" s="4">
        <v>45728</v>
      </c>
      <c r="S36" s="7" t="s">
        <v>221</v>
      </c>
      <c r="T36" s="4">
        <v>45734</v>
      </c>
      <c r="U36" s="5">
        <v>370</v>
      </c>
      <c r="V36" s="5">
        <v>400</v>
      </c>
      <c r="W36" s="6" t="s">
        <v>43</v>
      </c>
      <c r="X36" s="15">
        <v>370.166</v>
      </c>
      <c r="Y36" s="5">
        <f t="shared" si="8"/>
        <v>29.834000000000003</v>
      </c>
      <c r="Z36" s="4">
        <v>45736</v>
      </c>
      <c r="AA36" s="4" t="str">
        <f t="shared" si="9"/>
        <v>MAR</v>
      </c>
      <c r="AB36" s="4">
        <f t="shared" si="7"/>
        <v>45750</v>
      </c>
      <c r="AC36" s="2">
        <v>163</v>
      </c>
      <c r="AD36" s="7" t="s">
        <v>122</v>
      </c>
      <c r="AE36" s="7" t="s">
        <v>234</v>
      </c>
      <c r="AF36" s="4">
        <v>45737</v>
      </c>
      <c r="AG36" s="7" t="s">
        <v>235</v>
      </c>
      <c r="AH36" s="4">
        <v>45736</v>
      </c>
      <c r="AI36" s="2" t="s">
        <v>122</v>
      </c>
      <c r="AJ36" s="2" t="s">
        <v>122</v>
      </c>
      <c r="AK36" s="2" t="s">
        <v>122</v>
      </c>
      <c r="AL36" s="2" t="s">
        <v>122</v>
      </c>
      <c r="AM36" s="2" t="s">
        <v>122</v>
      </c>
      <c r="AN36" s="2">
        <f t="shared" si="10"/>
        <v>20250029</v>
      </c>
      <c r="AO36" s="4">
        <f t="shared" si="6"/>
        <v>45736</v>
      </c>
      <c r="AP36" s="16">
        <v>560</v>
      </c>
      <c r="AQ36" s="8">
        <f t="shared" si="11"/>
        <v>207292.96</v>
      </c>
      <c r="AR36" s="13">
        <v>0</v>
      </c>
      <c r="AS36" s="19">
        <v>1500904.69</v>
      </c>
      <c r="AT36" s="71">
        <v>14</v>
      </c>
      <c r="AU36" s="72">
        <f>Tabela1[[#This Row],[DATA NF EXP]]-Tabela1[[#This Row],[CARREGAMENTO]]</f>
        <v>0</v>
      </c>
      <c r="AV36" s="72">
        <f>Tabela1[[#This Row],[Realizado]]-Tabela1[[#This Row],[Previsto]]</f>
        <v>-14</v>
      </c>
      <c r="AW36" s="72" t="str">
        <f>IF(Tabela1[[#This Row],[Resultado]]&lt;=0,"Atendido","Não atendido")</f>
        <v>Atendido</v>
      </c>
    </row>
    <row r="37" spans="1:49" x14ac:dyDescent="0.2">
      <c r="A37" s="17" t="s">
        <v>37</v>
      </c>
      <c r="B37" s="2" t="s">
        <v>59</v>
      </c>
      <c r="C37" s="3">
        <v>20250032</v>
      </c>
      <c r="D37" s="2" t="s">
        <v>46</v>
      </c>
      <c r="E37" s="2" t="s">
        <v>44</v>
      </c>
      <c r="F37" s="2">
        <v>9156515</v>
      </c>
      <c r="G37" s="2" t="s">
        <v>242</v>
      </c>
      <c r="H37" s="2" t="s">
        <v>243</v>
      </c>
      <c r="I37" s="2" t="s">
        <v>244</v>
      </c>
      <c r="J37" s="2">
        <v>25000114915</v>
      </c>
      <c r="K37" s="2" t="s">
        <v>793</v>
      </c>
      <c r="L37" s="2" t="s">
        <v>47</v>
      </c>
      <c r="M37" s="2" t="s">
        <v>42</v>
      </c>
      <c r="N37" s="107">
        <v>4250</v>
      </c>
      <c r="O37" s="107">
        <v>4250</v>
      </c>
      <c r="P37" s="107">
        <f>Tabela1[[#This Row],[Valor anterior]]-Tabela1[[#This Row],[VALOR]]</f>
        <v>0</v>
      </c>
      <c r="Q37" s="14" t="s">
        <v>245</v>
      </c>
      <c r="R37" s="4">
        <v>45735</v>
      </c>
      <c r="S37" s="7" t="s">
        <v>277</v>
      </c>
      <c r="T37" s="4">
        <v>45748</v>
      </c>
      <c r="U37" s="5">
        <v>500</v>
      </c>
      <c r="V37" s="5">
        <v>550</v>
      </c>
      <c r="W37" s="6" t="s">
        <v>43</v>
      </c>
      <c r="X37" s="15">
        <v>550</v>
      </c>
      <c r="Y37" s="5">
        <f t="shared" si="8"/>
        <v>0</v>
      </c>
      <c r="Z37" s="4">
        <v>45748</v>
      </c>
      <c r="AA37" s="4" t="str">
        <f t="shared" si="9"/>
        <v>ABR</v>
      </c>
      <c r="AB37" s="4">
        <f t="shared" si="7"/>
        <v>45762</v>
      </c>
      <c r="AC37" s="2">
        <v>168</v>
      </c>
      <c r="AD37" s="7">
        <v>45754</v>
      </c>
      <c r="AE37" s="7" t="s">
        <v>279</v>
      </c>
      <c r="AF37" s="4">
        <v>45749</v>
      </c>
      <c r="AG37" s="7" t="s">
        <v>280</v>
      </c>
      <c r="AH37" s="4">
        <v>45749</v>
      </c>
      <c r="AI37" s="2" t="s">
        <v>308</v>
      </c>
      <c r="AJ37" s="2" t="s">
        <v>309</v>
      </c>
      <c r="AK37" s="4">
        <v>45771</v>
      </c>
      <c r="AL37" s="4">
        <v>45771</v>
      </c>
      <c r="AM37" s="4">
        <v>45771</v>
      </c>
      <c r="AN37" s="2">
        <f t="shared" si="10"/>
        <v>20250032</v>
      </c>
      <c r="AO37" s="4">
        <f t="shared" si="6"/>
        <v>45749</v>
      </c>
      <c r="AP37" s="16">
        <v>811.32</v>
      </c>
      <c r="AQ37" s="8">
        <f t="shared" si="11"/>
        <v>446226</v>
      </c>
      <c r="AR37" s="13">
        <v>5.7045000000000003</v>
      </c>
      <c r="AS37" s="19">
        <f>Tabela1[[#This Row],[TAXA]]*Tabela1[[#This Row],[VALOR TOTAL  USD]]</f>
        <v>2545496.2170000002</v>
      </c>
      <c r="AT37" s="71">
        <v>14</v>
      </c>
      <c r="AU37" s="72">
        <f>Tabela1[[#This Row],[DATA NF EXP]]-Tabela1[[#This Row],[CARREGAMENTO]]</f>
        <v>1</v>
      </c>
      <c r="AV37" s="72">
        <f>Tabela1[[#This Row],[Realizado]]-Tabela1[[#This Row],[Previsto]]</f>
        <v>-13</v>
      </c>
      <c r="AW37" s="72" t="str">
        <f>IF(Tabela1[[#This Row],[Resultado]]&lt;=0,"Atendido","Não atendido")</f>
        <v>Atendido</v>
      </c>
    </row>
    <row r="38" spans="1:49" x14ac:dyDescent="0.2">
      <c r="A38" s="17" t="s">
        <v>37</v>
      </c>
      <c r="B38" s="2" t="s">
        <v>59</v>
      </c>
      <c r="C38" s="3">
        <v>20250031</v>
      </c>
      <c r="D38" s="2" t="s">
        <v>38</v>
      </c>
      <c r="E38" s="2" t="s">
        <v>44</v>
      </c>
      <c r="F38" s="2">
        <v>9227285</v>
      </c>
      <c r="G38" s="2" t="s">
        <v>237</v>
      </c>
      <c r="H38" s="2" t="s">
        <v>238</v>
      </c>
      <c r="I38" s="2" t="s">
        <v>372</v>
      </c>
      <c r="J38" s="2">
        <v>25000072945</v>
      </c>
      <c r="K38" s="2" t="s">
        <v>795</v>
      </c>
      <c r="L38" s="2" t="s">
        <v>239</v>
      </c>
      <c r="M38" s="2" t="s">
        <v>42</v>
      </c>
      <c r="N38" s="107">
        <v>4250</v>
      </c>
      <c r="O38" s="107">
        <v>4250</v>
      </c>
      <c r="P38" s="107">
        <f>Tabela1[[#This Row],[Valor anterior]]-Tabela1[[#This Row],[VALOR]]</f>
        <v>0</v>
      </c>
      <c r="Q38" s="14" t="s">
        <v>240</v>
      </c>
      <c r="R38" s="4">
        <v>45740</v>
      </c>
      <c r="S38" s="7" t="s">
        <v>241</v>
      </c>
      <c r="T38" s="4">
        <v>45744</v>
      </c>
      <c r="U38" s="5">
        <v>1000</v>
      </c>
      <c r="V38" s="5">
        <v>1100</v>
      </c>
      <c r="W38" s="6" t="s">
        <v>43</v>
      </c>
      <c r="X38" s="15">
        <v>1002.937</v>
      </c>
      <c r="Y38" s="5">
        <f t="shared" si="8"/>
        <v>97.062999999999988</v>
      </c>
      <c r="Z38" s="4">
        <v>45746</v>
      </c>
      <c r="AA38" s="4" t="str">
        <f t="shared" si="9"/>
        <v>MAR</v>
      </c>
      <c r="AB38" s="4">
        <f t="shared" si="7"/>
        <v>45760</v>
      </c>
      <c r="AC38" s="2">
        <v>167</v>
      </c>
      <c r="AD38" s="7">
        <v>45754</v>
      </c>
      <c r="AE38" s="7" t="s">
        <v>248</v>
      </c>
      <c r="AF38" s="4">
        <v>45747</v>
      </c>
      <c r="AG38" s="7" t="s">
        <v>247</v>
      </c>
      <c r="AH38" s="4">
        <v>45755</v>
      </c>
      <c r="AI38" s="2" t="s">
        <v>296</v>
      </c>
      <c r="AJ38" s="2" t="s">
        <v>297</v>
      </c>
      <c r="AK38" s="4">
        <v>45757</v>
      </c>
      <c r="AL38" s="4">
        <v>45757</v>
      </c>
      <c r="AM38" s="4">
        <v>45757</v>
      </c>
      <c r="AN38" s="2">
        <f t="shared" si="10"/>
        <v>20250031</v>
      </c>
      <c r="AO38" s="4">
        <f t="shared" si="6"/>
        <v>45755</v>
      </c>
      <c r="AP38" s="16">
        <v>584</v>
      </c>
      <c r="AQ38" s="8">
        <f t="shared" si="11"/>
        <v>585715.20799999998</v>
      </c>
      <c r="AR38" s="13">
        <v>5.8871000000000002</v>
      </c>
      <c r="AS38" s="19">
        <f>Tabela1[[#This Row],[TAXA]]*Tabela1[[#This Row],[VALOR TOTAL  USD]]</f>
        <v>3448164.0010167998</v>
      </c>
      <c r="AT38" s="71">
        <v>14</v>
      </c>
      <c r="AU38" s="72">
        <f>Tabela1[[#This Row],[DATA NF EXP]]-Tabela1[[#This Row],[CARREGAMENTO]]</f>
        <v>9</v>
      </c>
      <c r="AV38" s="72">
        <f>Tabela1[[#This Row],[Realizado]]-Tabela1[[#This Row],[Previsto]]</f>
        <v>-5</v>
      </c>
      <c r="AW38" s="72" t="str">
        <f>IF(Tabela1[[#This Row],[Resultado]]&lt;=0,"Atendido","Não atendido")</f>
        <v>Atendido</v>
      </c>
    </row>
    <row r="39" spans="1:49" x14ac:dyDescent="0.2">
      <c r="A39" s="17" t="s">
        <v>37</v>
      </c>
      <c r="B39" s="2" t="s">
        <v>59</v>
      </c>
      <c r="C39" s="3">
        <v>20250033</v>
      </c>
      <c r="D39" s="2" t="s">
        <v>46</v>
      </c>
      <c r="E39" s="2" t="s">
        <v>44</v>
      </c>
      <c r="F39" s="2">
        <v>9156515</v>
      </c>
      <c r="G39" s="2" t="s">
        <v>242</v>
      </c>
      <c r="H39" s="2" t="s">
        <v>243</v>
      </c>
      <c r="I39" s="2" t="s">
        <v>244</v>
      </c>
      <c r="J39" s="2">
        <v>25000114915</v>
      </c>
      <c r="K39" s="2" t="s">
        <v>793</v>
      </c>
      <c r="L39" s="2" t="s">
        <v>47</v>
      </c>
      <c r="M39" s="2" t="s">
        <v>42</v>
      </c>
      <c r="N39" s="107">
        <v>4250</v>
      </c>
      <c r="O39" s="107">
        <v>4250</v>
      </c>
      <c r="P39" s="107">
        <f>Tabela1[[#This Row],[Valor anterior]]-Tabela1[[#This Row],[VALOR]]</f>
        <v>0</v>
      </c>
      <c r="Q39" s="14" t="s">
        <v>246</v>
      </c>
      <c r="R39" s="4">
        <v>45748</v>
      </c>
      <c r="S39" s="7" t="s">
        <v>278</v>
      </c>
      <c r="T39" s="4">
        <v>45748</v>
      </c>
      <c r="U39" s="5">
        <v>700</v>
      </c>
      <c r="V39" s="5">
        <v>300</v>
      </c>
      <c r="W39" s="6" t="s">
        <v>43</v>
      </c>
      <c r="X39" s="15">
        <v>185.465</v>
      </c>
      <c r="Y39" s="5">
        <f t="shared" si="8"/>
        <v>114.535</v>
      </c>
      <c r="Z39" s="4">
        <v>45748</v>
      </c>
      <c r="AA39" s="4" t="str">
        <f t="shared" si="9"/>
        <v>ABR</v>
      </c>
      <c r="AB39" s="4">
        <f t="shared" si="7"/>
        <v>45762</v>
      </c>
      <c r="AC39" s="2">
        <v>168</v>
      </c>
      <c r="AD39" s="7">
        <v>45754</v>
      </c>
      <c r="AE39" s="7" t="s">
        <v>281</v>
      </c>
      <c r="AF39" s="4">
        <v>45749</v>
      </c>
      <c r="AG39" s="7" t="s">
        <v>282</v>
      </c>
      <c r="AH39" s="4">
        <v>45749</v>
      </c>
      <c r="AI39" s="2" t="s">
        <v>310</v>
      </c>
      <c r="AJ39" s="2" t="s">
        <v>311</v>
      </c>
      <c r="AK39" s="4">
        <v>45771</v>
      </c>
      <c r="AL39" s="4">
        <v>45771</v>
      </c>
      <c r="AM39" s="4">
        <v>45771</v>
      </c>
      <c r="AN39" s="2">
        <f t="shared" si="10"/>
        <v>20250033</v>
      </c>
      <c r="AO39" s="4">
        <f t="shared" si="6"/>
        <v>45749</v>
      </c>
      <c r="AP39" s="16">
        <v>811.32</v>
      </c>
      <c r="AQ39" s="8">
        <f t="shared" si="11"/>
        <v>150471.4638</v>
      </c>
      <c r="AR39" s="13">
        <v>5.7045000000000003</v>
      </c>
      <c r="AS39" s="19">
        <f>Tabela1[[#This Row],[TAXA]]*Tabela1[[#This Row],[VALOR TOTAL  USD]]</f>
        <v>858364.46524709999</v>
      </c>
      <c r="AT39" s="71">
        <v>14</v>
      </c>
      <c r="AU39" s="72">
        <f>Tabela1[[#This Row],[DATA NF EXP]]-Tabela1[[#This Row],[CARREGAMENTO]]</f>
        <v>1</v>
      </c>
      <c r="AV39" s="72">
        <f>Tabela1[[#This Row],[Realizado]]-Tabela1[[#This Row],[Previsto]]</f>
        <v>-13</v>
      </c>
      <c r="AW39" s="72" t="str">
        <f>IF(Tabela1[[#This Row],[Resultado]]&lt;=0,"Atendido","Não atendido")</f>
        <v>Atendido</v>
      </c>
    </row>
    <row r="40" spans="1:49" x14ac:dyDescent="0.2">
      <c r="A40" s="17" t="s">
        <v>37</v>
      </c>
      <c r="B40" s="2" t="s">
        <v>59</v>
      </c>
      <c r="C40" s="3">
        <v>20250034</v>
      </c>
      <c r="D40" s="2" t="s">
        <v>46</v>
      </c>
      <c r="E40" s="2" t="s">
        <v>44</v>
      </c>
      <c r="F40" s="2">
        <v>11474866</v>
      </c>
      <c r="G40" s="2" t="s">
        <v>556</v>
      </c>
      <c r="H40" s="2" t="s">
        <v>40</v>
      </c>
      <c r="I40" s="2" t="s">
        <v>53</v>
      </c>
      <c r="J40" s="2">
        <v>25000155956</v>
      </c>
      <c r="K40" s="2" t="s">
        <v>796</v>
      </c>
      <c r="L40" s="2" t="s">
        <v>53</v>
      </c>
      <c r="M40" s="2" t="s">
        <v>42</v>
      </c>
      <c r="N40" s="107">
        <v>4250</v>
      </c>
      <c r="O40" s="107">
        <v>4250</v>
      </c>
      <c r="P40" s="107">
        <f>Tabela1[[#This Row],[Valor anterior]]-Tabela1[[#This Row],[VALOR]]</f>
        <v>0</v>
      </c>
      <c r="Q40" s="14" t="s">
        <v>266</v>
      </c>
      <c r="R40" s="4">
        <v>45749</v>
      </c>
      <c r="S40" s="7" t="s">
        <v>267</v>
      </c>
      <c r="T40" s="4">
        <v>45750</v>
      </c>
      <c r="U40" s="5">
        <v>127.185</v>
      </c>
      <c r="V40" s="5">
        <v>127.185</v>
      </c>
      <c r="W40" s="6" t="s">
        <v>43</v>
      </c>
      <c r="X40" s="15">
        <v>74.082999999999998</v>
      </c>
      <c r="Y40" s="5">
        <f t="shared" si="8"/>
        <v>53.102000000000004</v>
      </c>
      <c r="Z40" s="4">
        <v>45750</v>
      </c>
      <c r="AA40" s="4" t="str">
        <f t="shared" si="9"/>
        <v>ABR</v>
      </c>
      <c r="AB40" s="4">
        <f t="shared" si="7"/>
        <v>45764</v>
      </c>
      <c r="AC40" s="2">
        <v>170</v>
      </c>
      <c r="AD40" s="7">
        <v>45754</v>
      </c>
      <c r="AE40" s="7" t="s">
        <v>322</v>
      </c>
      <c r="AF40" s="4">
        <v>45751</v>
      </c>
      <c r="AG40" s="7" t="s">
        <v>268</v>
      </c>
      <c r="AH40" s="4">
        <v>45754</v>
      </c>
      <c r="AI40" s="2" t="s">
        <v>318</v>
      </c>
      <c r="AJ40" s="2" t="s">
        <v>811</v>
      </c>
      <c r="AK40" s="4">
        <v>45758</v>
      </c>
      <c r="AL40" s="4">
        <v>45758</v>
      </c>
      <c r="AM40" s="4">
        <v>45758</v>
      </c>
      <c r="AN40" s="2">
        <f t="shared" si="10"/>
        <v>20250034</v>
      </c>
      <c r="AO40" s="4">
        <f t="shared" si="6"/>
        <v>45754</v>
      </c>
      <c r="AP40" s="16">
        <v>1002.23</v>
      </c>
      <c r="AQ40" s="8">
        <f t="shared" si="11"/>
        <v>74248.205090000003</v>
      </c>
      <c r="AR40" s="13">
        <v>5.7770999999999999</v>
      </c>
      <c r="AS40" s="19">
        <f>Tabela1[[#This Row],[TAXA]]*Tabela1[[#This Row],[VALOR TOTAL  USD]]</f>
        <v>428939.30562543904</v>
      </c>
      <c r="AT40" s="71">
        <v>14</v>
      </c>
      <c r="AU40" s="72">
        <f>Tabela1[[#This Row],[DATA NF EXP]]-Tabela1[[#This Row],[CARREGAMENTO]]</f>
        <v>4</v>
      </c>
      <c r="AV40" s="72">
        <f>Tabela1[[#This Row],[Realizado]]-Tabela1[[#This Row],[Previsto]]</f>
        <v>-10</v>
      </c>
      <c r="AW40" s="72" t="str">
        <f>IF(Tabela1[[#This Row],[Resultado]]&lt;=0,"Atendido","Não atendido")</f>
        <v>Atendido</v>
      </c>
    </row>
    <row r="41" spans="1:49" x14ac:dyDescent="0.2">
      <c r="A41" s="17" t="s">
        <v>37</v>
      </c>
      <c r="B41" s="2" t="s">
        <v>59</v>
      </c>
      <c r="C41" s="3">
        <v>20250035</v>
      </c>
      <c r="D41" s="2" t="s">
        <v>46</v>
      </c>
      <c r="E41" s="2" t="s">
        <v>44</v>
      </c>
      <c r="F41" s="2">
        <v>11474866</v>
      </c>
      <c r="G41" s="2" t="s">
        <v>265</v>
      </c>
      <c r="H41" s="2" t="s">
        <v>40</v>
      </c>
      <c r="I41" s="2" t="s">
        <v>53</v>
      </c>
      <c r="J41" s="2">
        <v>25000155964</v>
      </c>
      <c r="K41" s="2" t="s">
        <v>796</v>
      </c>
      <c r="L41" s="2" t="s">
        <v>53</v>
      </c>
      <c r="M41" s="2" t="s">
        <v>42</v>
      </c>
      <c r="N41" s="107">
        <v>4250</v>
      </c>
      <c r="O41" s="107">
        <v>4250</v>
      </c>
      <c r="P41" s="107">
        <f>Tabela1[[#This Row],[Valor anterior]]-Tabela1[[#This Row],[VALOR]]</f>
        <v>0</v>
      </c>
      <c r="Q41" s="14" t="s">
        <v>269</v>
      </c>
      <c r="R41" s="4">
        <v>45749</v>
      </c>
      <c r="S41" s="7" t="s">
        <v>270</v>
      </c>
      <c r="T41" s="4">
        <v>45750</v>
      </c>
      <c r="U41" s="5">
        <v>75</v>
      </c>
      <c r="V41" s="5">
        <v>75</v>
      </c>
      <c r="W41" s="6" t="s">
        <v>43</v>
      </c>
      <c r="X41" s="15">
        <v>74</v>
      </c>
      <c r="Y41" s="5">
        <f t="shared" si="8"/>
        <v>1</v>
      </c>
      <c r="Z41" s="4">
        <v>45750</v>
      </c>
      <c r="AA41" s="4" t="str">
        <f t="shared" si="9"/>
        <v>ABR</v>
      </c>
      <c r="AB41" s="4">
        <f t="shared" si="7"/>
        <v>45764</v>
      </c>
      <c r="AC41" s="2">
        <v>171</v>
      </c>
      <c r="AD41" s="7">
        <v>45754</v>
      </c>
      <c r="AE41" s="7" t="s">
        <v>702</v>
      </c>
      <c r="AF41" s="4">
        <v>45751</v>
      </c>
      <c r="AG41" s="7" t="s">
        <v>319</v>
      </c>
      <c r="AH41" s="4">
        <v>45754</v>
      </c>
      <c r="AI41" s="2" t="s">
        <v>320</v>
      </c>
      <c r="AJ41" s="2" t="s">
        <v>321</v>
      </c>
      <c r="AK41" s="4">
        <v>45758</v>
      </c>
      <c r="AL41" s="4">
        <v>45758</v>
      </c>
      <c r="AM41" s="4">
        <v>45758</v>
      </c>
      <c r="AN41" s="2">
        <f t="shared" si="10"/>
        <v>20250035</v>
      </c>
      <c r="AO41" s="4">
        <f t="shared" si="6"/>
        <v>45754</v>
      </c>
      <c r="AP41" s="16">
        <v>1002.23</v>
      </c>
      <c r="AQ41" s="8">
        <f t="shared" si="11"/>
        <v>74165.02</v>
      </c>
      <c r="AR41" s="13">
        <v>5.7770999999999999</v>
      </c>
      <c r="AS41" s="19">
        <f>Tabela1[[#This Row],[TAXA]]*Tabela1[[#This Row],[VALOR TOTAL  USD]]</f>
        <v>428458.73704199999</v>
      </c>
      <c r="AT41" s="71">
        <v>14</v>
      </c>
      <c r="AU41" s="72">
        <f>Tabela1[[#This Row],[DATA NF EXP]]-Tabela1[[#This Row],[CARREGAMENTO]]</f>
        <v>4</v>
      </c>
      <c r="AV41" s="72">
        <f>Tabela1[[#This Row],[Realizado]]-Tabela1[[#This Row],[Previsto]]</f>
        <v>-10</v>
      </c>
      <c r="AW41" s="72" t="str">
        <f>IF(Tabela1[[#This Row],[Resultado]]&lt;=0,"Atendido","Não atendido")</f>
        <v>Atendido</v>
      </c>
    </row>
    <row r="42" spans="1:49" x14ac:dyDescent="0.2">
      <c r="A42" s="17" t="s">
        <v>37</v>
      </c>
      <c r="B42" s="2" t="s">
        <v>59</v>
      </c>
      <c r="C42" s="3">
        <v>20250036</v>
      </c>
      <c r="D42" s="2" t="s">
        <v>38</v>
      </c>
      <c r="E42" s="2" t="s">
        <v>39</v>
      </c>
      <c r="F42" s="2">
        <v>9341794</v>
      </c>
      <c r="G42" s="2" t="s">
        <v>90</v>
      </c>
      <c r="H42" s="2" t="s">
        <v>289</v>
      </c>
      <c r="I42" s="2" t="s">
        <v>162</v>
      </c>
      <c r="J42" s="2">
        <v>25000145012</v>
      </c>
      <c r="K42" s="2" t="s">
        <v>161</v>
      </c>
      <c r="L42" s="2" t="s">
        <v>91</v>
      </c>
      <c r="M42" s="2" t="s">
        <v>42</v>
      </c>
      <c r="N42" s="107">
        <v>4250</v>
      </c>
      <c r="O42" s="107">
        <v>4250</v>
      </c>
      <c r="P42" s="107">
        <f>Tabela1[[#This Row],[Valor anterior]]-Tabela1[[#This Row],[VALOR]]</f>
        <v>0</v>
      </c>
      <c r="Q42" s="14" t="s">
        <v>290</v>
      </c>
      <c r="R42" s="4">
        <v>45756</v>
      </c>
      <c r="S42" s="7" t="s">
        <v>291</v>
      </c>
      <c r="T42" s="4">
        <v>45761</v>
      </c>
      <c r="U42" s="5">
        <v>265</v>
      </c>
      <c r="V42" s="5">
        <v>300</v>
      </c>
      <c r="W42" s="6" t="s">
        <v>43</v>
      </c>
      <c r="X42" s="15">
        <v>261.37900000000002</v>
      </c>
      <c r="Y42" s="5">
        <f t="shared" si="8"/>
        <v>38.620999999999981</v>
      </c>
      <c r="Z42" s="4">
        <v>45764</v>
      </c>
      <c r="AA42" s="4" t="str">
        <f t="shared" si="9"/>
        <v>ABR</v>
      </c>
      <c r="AB42" s="4">
        <f t="shared" si="7"/>
        <v>45778</v>
      </c>
      <c r="AC42" s="2">
        <v>173</v>
      </c>
      <c r="AD42" s="7">
        <v>45754</v>
      </c>
      <c r="AE42" s="7" t="s">
        <v>122</v>
      </c>
      <c r="AF42" s="4" t="s">
        <v>122</v>
      </c>
      <c r="AG42" s="7" t="s">
        <v>122</v>
      </c>
      <c r="AH42" s="4" t="s">
        <v>122</v>
      </c>
      <c r="AI42" s="2" t="s">
        <v>122</v>
      </c>
      <c r="AJ42" s="2" t="s">
        <v>122</v>
      </c>
      <c r="AK42" s="4" t="s">
        <v>122</v>
      </c>
      <c r="AL42" s="4" t="s">
        <v>122</v>
      </c>
      <c r="AM42" s="4" t="s">
        <v>122</v>
      </c>
      <c r="AN42" s="2">
        <f t="shared" si="10"/>
        <v>20250036</v>
      </c>
      <c r="AO42" s="4" t="str">
        <f t="shared" si="6"/>
        <v>NA</v>
      </c>
      <c r="AP42" s="16">
        <v>525</v>
      </c>
      <c r="AQ42" s="8">
        <f t="shared" si="11"/>
        <v>137223.97500000001</v>
      </c>
      <c r="AR42" s="13">
        <v>0</v>
      </c>
      <c r="AS42" s="19">
        <f>Tabela1[[#This Row],[TAXA]]*Tabela1[[#This Row],[VALOR TOTAL  USD]]</f>
        <v>0</v>
      </c>
      <c r="AT42" s="71">
        <v>14</v>
      </c>
      <c r="AU42" s="72" t="e">
        <f>Tabela1[[#This Row],[DATA NF EXP]]-Tabela1[[#This Row],[CARREGAMENTO]]</f>
        <v>#VALUE!</v>
      </c>
      <c r="AV42" s="72" t="e">
        <f>Tabela1[[#This Row],[Realizado]]-Tabela1[[#This Row],[Previsto]]</f>
        <v>#VALUE!</v>
      </c>
      <c r="AW42" s="72" t="e">
        <f>IF(Tabela1[[#This Row],[Resultado]]&lt;=0,"Atendido","Não atendido")</f>
        <v>#VALUE!</v>
      </c>
    </row>
    <row r="43" spans="1:49" x14ac:dyDescent="0.2">
      <c r="A43" s="17" t="s">
        <v>37</v>
      </c>
      <c r="B43" s="2" t="s">
        <v>59</v>
      </c>
      <c r="C43" s="3">
        <v>20250037</v>
      </c>
      <c r="D43" s="2" t="s">
        <v>46</v>
      </c>
      <c r="E43" s="2" t="s">
        <v>44</v>
      </c>
      <c r="F43" s="2">
        <v>9817133</v>
      </c>
      <c r="G43" s="2" t="s">
        <v>343</v>
      </c>
      <c r="H43" s="2" t="s">
        <v>243</v>
      </c>
      <c r="I43" s="2" t="s">
        <v>371</v>
      </c>
      <c r="J43" s="2">
        <v>25000138784</v>
      </c>
      <c r="K43" s="2" t="s">
        <v>793</v>
      </c>
      <c r="L43" s="2" t="s">
        <v>91</v>
      </c>
      <c r="M43" s="2" t="s">
        <v>42</v>
      </c>
      <c r="N43" s="107">
        <v>4250</v>
      </c>
      <c r="O43" s="107">
        <v>4250</v>
      </c>
      <c r="P43" s="107">
        <f>Tabela1[[#This Row],[Valor anterior]]-Tabela1[[#This Row],[VALOR]]</f>
        <v>0</v>
      </c>
      <c r="Q43" s="14" t="s">
        <v>292</v>
      </c>
      <c r="R43" s="4">
        <v>45757</v>
      </c>
      <c r="S43" s="7" t="s">
        <v>293</v>
      </c>
      <c r="T43" s="4">
        <v>45762</v>
      </c>
      <c r="U43" s="5">
        <v>450</v>
      </c>
      <c r="V43" s="5">
        <v>600</v>
      </c>
      <c r="W43" s="6" t="s">
        <v>43</v>
      </c>
      <c r="X43" s="15">
        <v>401.80099999999999</v>
      </c>
      <c r="Y43" s="5">
        <f t="shared" si="8"/>
        <v>198.19900000000001</v>
      </c>
      <c r="Z43" s="4">
        <v>45762</v>
      </c>
      <c r="AA43" s="4" t="str">
        <f t="shared" si="9"/>
        <v>ABR</v>
      </c>
      <c r="AB43" s="4">
        <f t="shared" si="7"/>
        <v>45776</v>
      </c>
      <c r="AC43" s="2">
        <v>172</v>
      </c>
      <c r="AD43" s="7" t="s">
        <v>122</v>
      </c>
      <c r="AE43" s="7" t="s">
        <v>122</v>
      </c>
      <c r="AF43" s="4" t="s">
        <v>122</v>
      </c>
      <c r="AG43" s="7" t="s">
        <v>334</v>
      </c>
      <c r="AH43" s="4">
        <v>45777</v>
      </c>
      <c r="AI43" s="2" t="s">
        <v>335</v>
      </c>
      <c r="AJ43" s="2" t="s">
        <v>336</v>
      </c>
      <c r="AK43" s="4">
        <v>45777</v>
      </c>
      <c r="AL43" s="4">
        <v>45779</v>
      </c>
      <c r="AM43" s="4">
        <v>45779</v>
      </c>
      <c r="AN43" s="2">
        <f t="shared" si="10"/>
        <v>20250037</v>
      </c>
      <c r="AO43" s="4">
        <f t="shared" si="6"/>
        <v>45777</v>
      </c>
      <c r="AP43" s="16">
        <v>746.65</v>
      </c>
      <c r="AQ43" s="8">
        <f t="shared" si="11"/>
        <v>300004.71664999996</v>
      </c>
      <c r="AR43" s="13">
        <v>5.6460999999999997</v>
      </c>
      <c r="AS43" s="19">
        <f>Tabela1[[#This Row],[TAXA]]*Tabela1[[#This Row],[VALOR TOTAL  USD]]</f>
        <v>1693856.6306775648</v>
      </c>
      <c r="AT43" s="71">
        <v>14</v>
      </c>
      <c r="AU43" s="72">
        <f>Tabela1[[#This Row],[DATA NF EXP]]-Tabela1[[#This Row],[CARREGAMENTO]]</f>
        <v>15</v>
      </c>
      <c r="AV43" s="72">
        <f>Tabela1[[#This Row],[Realizado]]-Tabela1[[#This Row],[Previsto]]</f>
        <v>1</v>
      </c>
      <c r="AW43" s="72" t="str">
        <f>IF(Tabela1[[#This Row],[Resultado]]&lt;=0,"Atendido","Não atendido")</f>
        <v>Não atendido</v>
      </c>
    </row>
    <row r="44" spans="1:49" x14ac:dyDescent="0.2">
      <c r="A44" s="17" t="s">
        <v>37</v>
      </c>
      <c r="B44" s="2" t="s">
        <v>59</v>
      </c>
      <c r="C44" s="3">
        <v>20250038</v>
      </c>
      <c r="D44" s="2" t="s">
        <v>38</v>
      </c>
      <c r="E44" s="2" t="s">
        <v>44</v>
      </c>
      <c r="F44" s="2">
        <v>9968360</v>
      </c>
      <c r="G44" s="2" t="s">
        <v>312</v>
      </c>
      <c r="H44" s="2" t="s">
        <v>130</v>
      </c>
      <c r="I44" s="2" t="s">
        <v>313</v>
      </c>
      <c r="J44" s="2">
        <v>25000185669</v>
      </c>
      <c r="K44" s="2" t="s">
        <v>159</v>
      </c>
      <c r="L44" s="2" t="s">
        <v>801</v>
      </c>
      <c r="M44" s="2" t="s">
        <v>42</v>
      </c>
      <c r="N44" s="107">
        <v>4250</v>
      </c>
      <c r="O44" s="107">
        <v>4250</v>
      </c>
      <c r="P44" s="107">
        <f>Tabela1[[#This Row],[Valor anterior]]-Tabela1[[#This Row],[VALOR]]</f>
        <v>0</v>
      </c>
      <c r="Q44" s="14" t="s">
        <v>314</v>
      </c>
      <c r="R44" s="4">
        <v>45771</v>
      </c>
      <c r="S44" s="7" t="s">
        <v>323</v>
      </c>
      <c r="T44" s="4">
        <v>45775</v>
      </c>
      <c r="U44" s="5">
        <v>150</v>
      </c>
      <c r="V44" s="5">
        <v>150</v>
      </c>
      <c r="W44" s="6" t="s">
        <v>43</v>
      </c>
      <c r="X44" s="15">
        <v>115.396</v>
      </c>
      <c r="Y44" s="5">
        <f t="shared" si="8"/>
        <v>34.603999999999999</v>
      </c>
      <c r="Z44" s="4">
        <v>45777</v>
      </c>
      <c r="AA44" s="4" t="str">
        <f t="shared" si="9"/>
        <v>ABR</v>
      </c>
      <c r="AB44" s="4">
        <f t="shared" si="7"/>
        <v>45791</v>
      </c>
      <c r="AC44" s="2">
        <v>174</v>
      </c>
      <c r="AD44" s="7">
        <v>45803</v>
      </c>
      <c r="AE44" s="7" t="s">
        <v>122</v>
      </c>
      <c r="AF44" s="4" t="s">
        <v>122</v>
      </c>
      <c r="AG44" s="7" t="s">
        <v>420</v>
      </c>
      <c r="AH44" s="4">
        <v>45793</v>
      </c>
      <c r="AI44" s="2" t="s">
        <v>421</v>
      </c>
      <c r="AJ44" s="2" t="s">
        <v>422</v>
      </c>
      <c r="AK44" s="4">
        <v>45799</v>
      </c>
      <c r="AL44" s="4">
        <v>45799</v>
      </c>
      <c r="AM44" s="4">
        <v>45799</v>
      </c>
      <c r="AN44" s="2">
        <f t="shared" si="10"/>
        <v>20250038</v>
      </c>
      <c r="AO44" s="4">
        <f t="shared" si="6"/>
        <v>45793</v>
      </c>
      <c r="AP44" s="35">
        <v>591.42999999999995</v>
      </c>
      <c r="AQ44" s="8">
        <f t="shared" si="11"/>
        <v>68248.656279999996</v>
      </c>
      <c r="AR44" s="13">
        <v>5.6322000000000001</v>
      </c>
      <c r="AS44" s="36">
        <f>Tabela1[[#This Row],[TAXA]]*Tabela1[[#This Row],[VALOR TOTAL  USD]]</f>
        <v>384390.081900216</v>
      </c>
      <c r="AT44" s="71">
        <v>14</v>
      </c>
      <c r="AU44" s="72">
        <f>Tabela1[[#This Row],[DATA NF EXP]]-Tabela1[[#This Row],[CARREGAMENTO]]</f>
        <v>16</v>
      </c>
      <c r="AV44" s="72">
        <f>Tabela1[[#This Row],[Realizado]]-Tabela1[[#This Row],[Previsto]]</f>
        <v>2</v>
      </c>
      <c r="AW44" s="72" t="str">
        <f>IF(Tabela1[[#This Row],[Resultado]]&lt;=0,"Atendido","Não atendido")</f>
        <v>Não atendido</v>
      </c>
    </row>
    <row r="45" spans="1:49" x14ac:dyDescent="0.2">
      <c r="A45" s="17" t="s">
        <v>37</v>
      </c>
      <c r="B45" s="2" t="s">
        <v>129</v>
      </c>
      <c r="C45" s="3">
        <v>20250041</v>
      </c>
      <c r="D45" s="2" t="s">
        <v>38</v>
      </c>
      <c r="E45" s="2" t="s">
        <v>44</v>
      </c>
      <c r="F45" s="2">
        <v>9463592</v>
      </c>
      <c r="G45" s="2" t="s">
        <v>341</v>
      </c>
      <c r="H45" s="2" t="s">
        <v>130</v>
      </c>
      <c r="I45" s="2" t="s">
        <v>371</v>
      </c>
      <c r="J45" s="2">
        <v>25000163258</v>
      </c>
      <c r="K45" s="2" t="s">
        <v>159</v>
      </c>
      <c r="L45" s="2" t="s">
        <v>91</v>
      </c>
      <c r="M45" s="2" t="s">
        <v>42</v>
      </c>
      <c r="N45" s="107">
        <v>4250</v>
      </c>
      <c r="O45" s="107">
        <v>4250</v>
      </c>
      <c r="P45" s="107">
        <f>Tabela1[[#This Row],[Valor anterior]]-Tabela1[[#This Row],[VALOR]]</f>
        <v>0</v>
      </c>
      <c r="Q45" s="14" t="s">
        <v>342</v>
      </c>
      <c r="R45" s="4">
        <v>45775</v>
      </c>
      <c r="S45" s="7" t="s">
        <v>360</v>
      </c>
      <c r="T45" s="4">
        <v>45783</v>
      </c>
      <c r="U45" s="5">
        <v>120</v>
      </c>
      <c r="V45" s="5">
        <v>150</v>
      </c>
      <c r="W45" s="6" t="s">
        <v>43</v>
      </c>
      <c r="X45" s="15">
        <v>119.57899999999999</v>
      </c>
      <c r="Y45" s="5">
        <f t="shared" si="8"/>
        <v>30.421000000000006</v>
      </c>
      <c r="Z45" s="4">
        <v>45785</v>
      </c>
      <c r="AA45" s="4" t="str">
        <f t="shared" si="9"/>
        <v>MAI</v>
      </c>
      <c r="AB45" s="4">
        <f t="shared" si="7"/>
        <v>45799</v>
      </c>
      <c r="AC45" s="2">
        <v>179</v>
      </c>
      <c r="AD45" s="7">
        <v>45803</v>
      </c>
      <c r="AE45" s="7" t="s">
        <v>428</v>
      </c>
      <c r="AF45" s="4">
        <v>45790</v>
      </c>
      <c r="AG45" s="7" t="s">
        <v>429</v>
      </c>
      <c r="AH45" s="4">
        <v>45790</v>
      </c>
      <c r="AI45" s="2" t="s">
        <v>815</v>
      </c>
      <c r="AJ45" s="2" t="s">
        <v>816</v>
      </c>
      <c r="AK45" s="4">
        <v>45792</v>
      </c>
      <c r="AL45" s="4">
        <v>45855</v>
      </c>
      <c r="AM45" s="4">
        <v>45855</v>
      </c>
      <c r="AN45" s="2">
        <f t="shared" si="10"/>
        <v>20250041</v>
      </c>
      <c r="AO45" s="4">
        <f t="shared" si="6"/>
        <v>45790</v>
      </c>
      <c r="AP45" s="16">
        <v>560</v>
      </c>
      <c r="AQ45" s="8">
        <f t="shared" si="11"/>
        <v>66964.239999999991</v>
      </c>
      <c r="AR45" s="13">
        <v>5.6816000000000004</v>
      </c>
      <c r="AS45" s="19">
        <f>Tabela1[[#This Row],[TAXA]]*Tabela1[[#This Row],[VALOR TOTAL  USD]]</f>
        <v>380464.02598399995</v>
      </c>
      <c r="AT45" s="71">
        <v>14</v>
      </c>
      <c r="AU45" s="72">
        <f>Tabela1[[#This Row],[DATA NF EXP]]-Tabela1[[#This Row],[CARREGAMENTO]]</f>
        <v>5</v>
      </c>
      <c r="AV45" s="72">
        <f>Tabela1[[#This Row],[Realizado]]-Tabela1[[#This Row],[Previsto]]</f>
        <v>-9</v>
      </c>
      <c r="AW45" s="72" t="str">
        <f>IF(Tabela1[[#This Row],[Resultado]]&lt;=0,"Atendido","Não atendido")</f>
        <v>Atendido</v>
      </c>
    </row>
    <row r="46" spans="1:49" x14ac:dyDescent="0.2">
      <c r="A46" s="17" t="s">
        <v>37</v>
      </c>
      <c r="B46" s="2" t="s">
        <v>59</v>
      </c>
      <c r="C46" s="3">
        <v>20250039</v>
      </c>
      <c r="D46" s="2" t="s">
        <v>38</v>
      </c>
      <c r="E46" s="2" t="s">
        <v>44</v>
      </c>
      <c r="F46" s="2">
        <v>9937555</v>
      </c>
      <c r="G46" s="2" t="s">
        <v>315</v>
      </c>
      <c r="H46" s="2" t="s">
        <v>130</v>
      </c>
      <c r="I46" s="2" t="s">
        <v>313</v>
      </c>
      <c r="J46" s="2">
        <v>25000185243</v>
      </c>
      <c r="K46" s="2" t="s">
        <v>159</v>
      </c>
      <c r="L46" s="2" t="s">
        <v>801</v>
      </c>
      <c r="M46" s="2" t="s">
        <v>42</v>
      </c>
      <c r="N46" s="107">
        <v>4250</v>
      </c>
      <c r="O46" s="107">
        <v>4250</v>
      </c>
      <c r="P46" s="107">
        <f>Tabela1[[#This Row],[Valor anterior]]-Tabela1[[#This Row],[VALOR]]</f>
        <v>0</v>
      </c>
      <c r="Q46" s="14" t="s">
        <v>316</v>
      </c>
      <c r="R46" s="4">
        <v>45775</v>
      </c>
      <c r="S46" s="7" t="s">
        <v>324</v>
      </c>
      <c r="T46" s="4">
        <v>45775</v>
      </c>
      <c r="U46" s="5">
        <v>100</v>
      </c>
      <c r="V46" s="5">
        <v>140</v>
      </c>
      <c r="W46" s="6" t="s">
        <v>43</v>
      </c>
      <c r="X46" s="15">
        <v>100.321</v>
      </c>
      <c r="Y46" s="5">
        <f t="shared" si="8"/>
        <v>39.679000000000002</v>
      </c>
      <c r="Z46" s="4">
        <v>45778</v>
      </c>
      <c r="AA46" s="4" t="str">
        <f t="shared" si="9"/>
        <v>MAI</v>
      </c>
      <c r="AB46" s="4">
        <f t="shared" si="7"/>
        <v>45792</v>
      </c>
      <c r="AC46" s="2">
        <v>175</v>
      </c>
      <c r="AD46" s="7">
        <v>45803</v>
      </c>
      <c r="AE46" s="7" t="s">
        <v>122</v>
      </c>
      <c r="AF46" s="4" t="s">
        <v>122</v>
      </c>
      <c r="AG46" s="7" t="s">
        <v>423</v>
      </c>
      <c r="AH46" s="4">
        <v>45793</v>
      </c>
      <c r="AI46" s="2" t="s">
        <v>424</v>
      </c>
      <c r="AJ46" s="2" t="s">
        <v>812</v>
      </c>
      <c r="AK46" s="4">
        <v>45799</v>
      </c>
      <c r="AL46" s="4">
        <v>45799</v>
      </c>
      <c r="AM46" s="4">
        <v>45799</v>
      </c>
      <c r="AN46" s="2">
        <f t="shared" si="10"/>
        <v>20250039</v>
      </c>
      <c r="AO46" s="4">
        <f t="shared" si="6"/>
        <v>45793</v>
      </c>
      <c r="AP46" s="35">
        <v>565</v>
      </c>
      <c r="AQ46" s="8">
        <f t="shared" si="11"/>
        <v>56681.364999999998</v>
      </c>
      <c r="AR46" s="13">
        <v>5.6322000000000001</v>
      </c>
      <c r="AS46" s="36">
        <f>Tabela1[[#This Row],[TAXA]]*Tabela1[[#This Row],[VALOR TOTAL  USD]]</f>
        <v>319240.78395299998</v>
      </c>
      <c r="AT46" s="71">
        <v>14</v>
      </c>
      <c r="AU46" s="72">
        <f>Tabela1[[#This Row],[DATA NF EXP]]-Tabela1[[#This Row],[CARREGAMENTO]]</f>
        <v>15</v>
      </c>
      <c r="AV46" s="72">
        <f>Tabela1[[#This Row],[Realizado]]-Tabela1[[#This Row],[Previsto]]</f>
        <v>1</v>
      </c>
      <c r="AW46" s="72" t="str">
        <f>IF(Tabela1[[#This Row],[Resultado]]&lt;=0,"Atendido","Não atendido")</f>
        <v>Não atendido</v>
      </c>
    </row>
    <row r="47" spans="1:49" x14ac:dyDescent="0.2">
      <c r="A47" s="17" t="s">
        <v>37</v>
      </c>
      <c r="B47" s="2" t="s">
        <v>129</v>
      </c>
      <c r="C47" s="3">
        <v>20250040</v>
      </c>
      <c r="D47" s="2" t="s">
        <v>46</v>
      </c>
      <c r="E47" s="2" t="s">
        <v>44</v>
      </c>
      <c r="F47" s="2">
        <v>9817133</v>
      </c>
      <c r="G47" s="2" t="s">
        <v>343</v>
      </c>
      <c r="H47" s="2" t="s">
        <v>243</v>
      </c>
      <c r="I47" s="2" t="s">
        <v>371</v>
      </c>
      <c r="J47" s="2">
        <v>25000139047</v>
      </c>
      <c r="K47" s="2" t="s">
        <v>793</v>
      </c>
      <c r="L47" s="2" t="s">
        <v>91</v>
      </c>
      <c r="M47" s="2" t="s">
        <v>42</v>
      </c>
      <c r="N47" s="107">
        <v>4250</v>
      </c>
      <c r="O47" s="107">
        <v>4250</v>
      </c>
      <c r="P47" s="107">
        <f>Tabela1[[#This Row],[Valor anterior]]-Tabela1[[#This Row],[VALOR]]</f>
        <v>0</v>
      </c>
      <c r="Q47" s="14" t="s">
        <v>328</v>
      </c>
      <c r="R47" s="4">
        <v>45776</v>
      </c>
      <c r="S47" s="7" t="s">
        <v>340</v>
      </c>
      <c r="T47" s="4">
        <v>45782</v>
      </c>
      <c r="U47" s="5">
        <v>300</v>
      </c>
      <c r="V47" s="5">
        <v>800</v>
      </c>
      <c r="W47" s="6" t="s">
        <v>43</v>
      </c>
      <c r="X47" s="15">
        <v>300</v>
      </c>
      <c r="Y47" s="5">
        <f t="shared" si="8"/>
        <v>500</v>
      </c>
      <c r="Z47" s="4">
        <v>45782</v>
      </c>
      <c r="AA47" s="4" t="str">
        <f t="shared" si="9"/>
        <v>MAI</v>
      </c>
      <c r="AB47" s="4">
        <f t="shared" si="7"/>
        <v>45796</v>
      </c>
      <c r="AC47" s="2">
        <v>176</v>
      </c>
      <c r="AD47" s="7">
        <v>45803</v>
      </c>
      <c r="AE47" s="7" t="s">
        <v>122</v>
      </c>
      <c r="AF47" s="4" t="s">
        <v>122</v>
      </c>
      <c r="AG47" s="7" t="s">
        <v>425</v>
      </c>
      <c r="AH47" s="4">
        <v>45790</v>
      </c>
      <c r="AI47" s="2" t="s">
        <v>426</v>
      </c>
      <c r="AJ47" s="2" t="s">
        <v>427</v>
      </c>
      <c r="AK47" s="4">
        <v>45791</v>
      </c>
      <c r="AL47" s="4">
        <v>45791</v>
      </c>
      <c r="AM47" s="4">
        <v>45791</v>
      </c>
      <c r="AN47" s="2">
        <f t="shared" si="10"/>
        <v>20250040</v>
      </c>
      <c r="AO47" s="4">
        <f t="shared" si="6"/>
        <v>45790</v>
      </c>
      <c r="AP47" s="35">
        <v>746.65</v>
      </c>
      <c r="AQ47" s="8">
        <f t="shared" si="11"/>
        <v>223995</v>
      </c>
      <c r="AR47" s="13">
        <v>5.6816000000000004</v>
      </c>
      <c r="AS47" s="36">
        <f>Tabela1[[#This Row],[TAXA]]*Tabela1[[#This Row],[VALOR TOTAL  USD]]</f>
        <v>1272649.9920000001</v>
      </c>
      <c r="AT47" s="71">
        <v>14</v>
      </c>
      <c r="AU47" s="72">
        <f>Tabela1[[#This Row],[DATA NF EXP]]-Tabela1[[#This Row],[CARREGAMENTO]]</f>
        <v>8</v>
      </c>
      <c r="AV47" s="72">
        <f>Tabela1[[#This Row],[Realizado]]-Tabela1[[#This Row],[Previsto]]</f>
        <v>-6</v>
      </c>
      <c r="AW47" s="72" t="str">
        <f>IF(Tabela1[[#This Row],[Resultado]]&lt;=0,"Atendido","Não atendido")</f>
        <v>Atendido</v>
      </c>
    </row>
    <row r="48" spans="1:49" x14ac:dyDescent="0.2">
      <c r="A48" s="17" t="s">
        <v>37</v>
      </c>
      <c r="B48" s="2" t="s">
        <v>129</v>
      </c>
      <c r="C48" s="3">
        <v>20250042</v>
      </c>
      <c r="D48" s="2" t="s">
        <v>46</v>
      </c>
      <c r="E48" s="2" t="s">
        <v>44</v>
      </c>
      <c r="F48" s="2">
        <v>9817133</v>
      </c>
      <c r="G48" s="2" t="s">
        <v>343</v>
      </c>
      <c r="H48" s="2" t="s">
        <v>243</v>
      </c>
      <c r="I48" s="2" t="s">
        <v>371</v>
      </c>
      <c r="J48" s="2">
        <v>25000139047</v>
      </c>
      <c r="K48" s="2" t="s">
        <v>793</v>
      </c>
      <c r="L48" s="2" t="s">
        <v>91</v>
      </c>
      <c r="M48" s="2" t="s">
        <v>42</v>
      </c>
      <c r="N48" s="107">
        <v>4250</v>
      </c>
      <c r="O48" s="107">
        <v>4250</v>
      </c>
      <c r="P48" s="107">
        <f>Tabela1[[#This Row],[Valor anterior]]-Tabela1[[#This Row],[VALOR]]</f>
        <v>0</v>
      </c>
      <c r="Q48" s="14" t="s">
        <v>344</v>
      </c>
      <c r="R48" s="4">
        <v>45782</v>
      </c>
      <c r="S48" s="7" t="s">
        <v>361</v>
      </c>
      <c r="T48" s="4">
        <v>45783</v>
      </c>
      <c r="U48" s="5">
        <v>100</v>
      </c>
      <c r="V48" s="5">
        <v>100</v>
      </c>
      <c r="W48" s="6" t="s">
        <v>43</v>
      </c>
      <c r="X48" s="15">
        <v>53</v>
      </c>
      <c r="Y48" s="5">
        <f t="shared" si="8"/>
        <v>47</v>
      </c>
      <c r="Z48" s="4">
        <v>45783</v>
      </c>
      <c r="AA48" s="4" t="str">
        <f t="shared" si="9"/>
        <v>MAI</v>
      </c>
      <c r="AB48" s="4">
        <f t="shared" si="7"/>
        <v>45797</v>
      </c>
      <c r="AC48" s="2">
        <v>177</v>
      </c>
      <c r="AD48" s="7">
        <v>45803</v>
      </c>
      <c r="AE48" s="7" t="s">
        <v>430</v>
      </c>
      <c r="AF48" s="4">
        <v>45790</v>
      </c>
      <c r="AG48" s="7" t="s">
        <v>431</v>
      </c>
      <c r="AH48" s="4">
        <v>45790</v>
      </c>
      <c r="AI48" s="2" t="s">
        <v>432</v>
      </c>
      <c r="AJ48" s="2" t="s">
        <v>433</v>
      </c>
      <c r="AK48" s="4">
        <v>45792</v>
      </c>
      <c r="AL48" s="4">
        <v>45792</v>
      </c>
      <c r="AM48" s="4">
        <v>45792</v>
      </c>
      <c r="AN48" s="2">
        <f t="shared" si="10"/>
        <v>20250042</v>
      </c>
      <c r="AO48" s="4">
        <f t="shared" si="6"/>
        <v>45790</v>
      </c>
      <c r="AP48" s="16">
        <v>746.65</v>
      </c>
      <c r="AQ48" s="8">
        <f t="shared" si="11"/>
        <v>39572.449999999997</v>
      </c>
      <c r="AR48" s="13">
        <v>5.6816000000000004</v>
      </c>
      <c r="AS48" s="19">
        <f>Tabela1[[#This Row],[TAXA]]*Tabela1[[#This Row],[VALOR TOTAL  USD]]</f>
        <v>224834.83192</v>
      </c>
      <c r="AT48" s="71">
        <v>14</v>
      </c>
      <c r="AU48" s="72">
        <f>Tabela1[[#This Row],[DATA NF EXP]]-Tabela1[[#This Row],[CARREGAMENTO]]</f>
        <v>7</v>
      </c>
      <c r="AV48" s="72">
        <f>Tabela1[[#This Row],[Realizado]]-Tabela1[[#This Row],[Previsto]]</f>
        <v>-7</v>
      </c>
      <c r="AW48" s="72" t="str">
        <f>IF(Tabela1[[#This Row],[Resultado]]&lt;=0,"Atendido","Não atendido")</f>
        <v>Atendido</v>
      </c>
    </row>
    <row r="49" spans="1:49" x14ac:dyDescent="0.2">
      <c r="A49" s="17" t="s">
        <v>37</v>
      </c>
      <c r="B49" s="2" t="s">
        <v>129</v>
      </c>
      <c r="C49" s="3">
        <v>20250043</v>
      </c>
      <c r="D49" s="2" t="s">
        <v>38</v>
      </c>
      <c r="E49" s="2" t="s">
        <v>39</v>
      </c>
      <c r="F49" s="2">
        <v>9341794</v>
      </c>
      <c r="G49" s="2" t="s">
        <v>90</v>
      </c>
      <c r="H49" s="2" t="s">
        <v>130</v>
      </c>
      <c r="I49" s="2" t="s">
        <v>162</v>
      </c>
      <c r="J49" s="2">
        <v>25000190484</v>
      </c>
      <c r="K49" s="2" t="s">
        <v>161</v>
      </c>
      <c r="L49" s="2" t="s">
        <v>91</v>
      </c>
      <c r="M49" s="2" t="s">
        <v>42</v>
      </c>
      <c r="N49" s="107">
        <v>4250</v>
      </c>
      <c r="O49" s="107">
        <v>4250</v>
      </c>
      <c r="P49" s="107">
        <f>Tabela1[[#This Row],[Valor anterior]]-Tabela1[[#This Row],[VALOR]]</f>
        <v>0</v>
      </c>
      <c r="Q49" s="14" t="s">
        <v>345</v>
      </c>
      <c r="R49" s="4">
        <v>45782</v>
      </c>
      <c r="S49" s="7" t="s">
        <v>362</v>
      </c>
      <c r="T49" s="4">
        <v>45783</v>
      </c>
      <c r="U49" s="5">
        <v>320</v>
      </c>
      <c r="V49" s="5">
        <v>400</v>
      </c>
      <c r="W49" s="6" t="s">
        <v>43</v>
      </c>
      <c r="X49" s="15">
        <v>323.78100000000001</v>
      </c>
      <c r="Y49" s="5">
        <f t="shared" si="8"/>
        <v>76.218999999999994</v>
      </c>
      <c r="Z49" s="4">
        <v>45784</v>
      </c>
      <c r="AA49" s="4" t="str">
        <f t="shared" si="9"/>
        <v>MAI</v>
      </c>
      <c r="AB49" s="4">
        <f t="shared" si="7"/>
        <v>45798</v>
      </c>
      <c r="AC49" s="2">
        <v>178</v>
      </c>
      <c r="AD49" s="7" t="s">
        <v>122</v>
      </c>
      <c r="AE49" s="7" t="s">
        <v>122</v>
      </c>
      <c r="AF49" s="4" t="s">
        <v>122</v>
      </c>
      <c r="AG49" s="7"/>
      <c r="AH49" s="4"/>
      <c r="AI49" s="2" t="s">
        <v>122</v>
      </c>
      <c r="AJ49" s="2" t="s">
        <v>122</v>
      </c>
      <c r="AK49" s="2" t="s">
        <v>122</v>
      </c>
      <c r="AL49" s="2" t="s">
        <v>122</v>
      </c>
      <c r="AM49" s="2" t="s">
        <v>122</v>
      </c>
      <c r="AN49" s="2">
        <f t="shared" si="10"/>
        <v>20250043</v>
      </c>
      <c r="AO49" s="4">
        <f t="shared" si="6"/>
        <v>0</v>
      </c>
      <c r="AP49" s="16">
        <v>507.71</v>
      </c>
      <c r="AQ49" s="8">
        <f t="shared" si="11"/>
        <v>164386.85151000001</v>
      </c>
      <c r="AR49" s="13">
        <v>0</v>
      </c>
      <c r="AS49" s="19">
        <f>Tabela1[[#This Row],[TAXA]]*Tabela1[[#This Row],[VALOR TOTAL  USD]]</f>
        <v>0</v>
      </c>
      <c r="AT49" s="71">
        <v>14</v>
      </c>
      <c r="AU49" s="72">
        <f>Tabela1[[#This Row],[DATA NF EXP]]-Tabela1[[#This Row],[CARREGAMENTO]]</f>
        <v>-45784</v>
      </c>
      <c r="AV49" s="72">
        <f>Tabela1[[#This Row],[Realizado]]-Tabela1[[#This Row],[Previsto]]</f>
        <v>-45798</v>
      </c>
      <c r="AW49" s="72" t="str">
        <f>IF(Tabela1[[#This Row],[Resultado]]&lt;=0,"Atendido","Não atendido")</f>
        <v>Atendido</v>
      </c>
    </row>
    <row r="50" spans="1:49" x14ac:dyDescent="0.2">
      <c r="A50" s="17" t="s">
        <v>37</v>
      </c>
      <c r="B50" s="2" t="s">
        <v>129</v>
      </c>
      <c r="C50" s="3">
        <v>20250044</v>
      </c>
      <c r="D50" s="2" t="s">
        <v>38</v>
      </c>
      <c r="E50" s="2" t="s">
        <v>44</v>
      </c>
      <c r="F50" s="2">
        <v>9223174</v>
      </c>
      <c r="G50" s="2" t="s">
        <v>363</v>
      </c>
      <c r="H50" s="2" t="s">
        <v>130</v>
      </c>
      <c r="I50" s="2" t="s">
        <v>371</v>
      </c>
      <c r="J50" s="2">
        <v>25000090641</v>
      </c>
      <c r="K50" s="2" t="s">
        <v>159</v>
      </c>
      <c r="L50" s="2" t="s">
        <v>50</v>
      </c>
      <c r="M50" s="2" t="s">
        <v>42</v>
      </c>
      <c r="N50" s="107">
        <v>4250</v>
      </c>
      <c r="O50" s="107">
        <v>4250</v>
      </c>
      <c r="P50" s="107">
        <f>Tabela1[[#This Row],[Valor anterior]]-Tabela1[[#This Row],[VALOR]]</f>
        <v>0</v>
      </c>
      <c r="Q50" s="14" t="s">
        <v>364</v>
      </c>
      <c r="R50" s="4">
        <v>45783</v>
      </c>
      <c r="S50" s="7" t="s">
        <v>365</v>
      </c>
      <c r="T50" s="4">
        <v>45784</v>
      </c>
      <c r="U50" s="5">
        <v>80</v>
      </c>
      <c r="V50" s="5">
        <v>120</v>
      </c>
      <c r="W50" s="6" t="s">
        <v>43</v>
      </c>
      <c r="X50" s="15">
        <v>79.722999999999999</v>
      </c>
      <c r="Y50" s="5">
        <f t="shared" si="8"/>
        <v>40.277000000000001</v>
      </c>
      <c r="Z50" s="4">
        <v>45785</v>
      </c>
      <c r="AA50" s="4" t="str">
        <f t="shared" si="9"/>
        <v>MAI</v>
      </c>
      <c r="AB50" s="4">
        <f t="shared" si="7"/>
        <v>45799</v>
      </c>
      <c r="AC50" s="2">
        <v>180</v>
      </c>
      <c r="AD50" s="7">
        <v>45803</v>
      </c>
      <c r="AE50" s="7" t="s">
        <v>434</v>
      </c>
      <c r="AF50" s="4">
        <v>45790</v>
      </c>
      <c r="AG50" s="7" t="s">
        <v>435</v>
      </c>
      <c r="AH50" s="4">
        <v>45790</v>
      </c>
      <c r="AI50" s="2" t="s">
        <v>681</v>
      </c>
      <c r="AJ50" s="2" t="s">
        <v>682</v>
      </c>
      <c r="AK50" s="4">
        <v>45803</v>
      </c>
      <c r="AL50" s="4">
        <v>45804</v>
      </c>
      <c r="AM50" s="4">
        <v>45804</v>
      </c>
      <c r="AN50" s="2">
        <f t="shared" si="10"/>
        <v>20250044</v>
      </c>
      <c r="AO50" s="4">
        <f t="shared" si="6"/>
        <v>45790</v>
      </c>
      <c r="AP50" s="16">
        <v>531.11</v>
      </c>
      <c r="AQ50" s="8">
        <f t="shared" si="11"/>
        <v>42341.682529999998</v>
      </c>
      <c r="AR50" s="13">
        <v>5.6816000000000004</v>
      </c>
      <c r="AS50" s="19">
        <f>Tabela1[[#This Row],[TAXA]]*Tabela1[[#This Row],[VALOR TOTAL  USD]]</f>
        <v>240568.50346244802</v>
      </c>
      <c r="AT50" s="71">
        <v>14</v>
      </c>
      <c r="AU50" s="72">
        <f>Tabela1[[#This Row],[DATA NF EXP]]-Tabela1[[#This Row],[CARREGAMENTO]]</f>
        <v>5</v>
      </c>
      <c r="AV50" s="72">
        <f>Tabela1[[#This Row],[Realizado]]-Tabela1[[#This Row],[Previsto]]</f>
        <v>-9</v>
      </c>
      <c r="AW50" s="72" t="str">
        <f>IF(Tabela1[[#This Row],[Resultado]]&lt;=0,"Atendido","Não atendido")</f>
        <v>Atendido</v>
      </c>
    </row>
    <row r="51" spans="1:49" x14ac:dyDescent="0.2">
      <c r="A51" s="17" t="s">
        <v>419</v>
      </c>
      <c r="B51" s="2" t="s">
        <v>129</v>
      </c>
      <c r="C51" s="3">
        <v>20250045</v>
      </c>
      <c r="D51" s="2" t="s">
        <v>38</v>
      </c>
      <c r="E51" s="2" t="s">
        <v>44</v>
      </c>
      <c r="F51" s="2">
        <v>9298313</v>
      </c>
      <c r="G51" s="2" t="s">
        <v>366</v>
      </c>
      <c r="H51" s="2" t="s">
        <v>82</v>
      </c>
      <c r="I51" s="2" t="s">
        <v>187</v>
      </c>
      <c r="J51" s="2">
        <v>25000204078</v>
      </c>
      <c r="K51" s="2" t="s">
        <v>160</v>
      </c>
      <c r="L51" s="2" t="s">
        <v>50</v>
      </c>
      <c r="M51" s="2" t="s">
        <v>42</v>
      </c>
      <c r="N51" s="107">
        <v>4250</v>
      </c>
      <c r="O51" s="107">
        <v>4250</v>
      </c>
      <c r="P51" s="107">
        <f>Tabela1[[#This Row],[Valor anterior]]-Tabela1[[#This Row],[VALOR]]</f>
        <v>0</v>
      </c>
      <c r="Q51" s="14" t="s">
        <v>367</v>
      </c>
      <c r="R51" s="4">
        <v>45784</v>
      </c>
      <c r="S51" s="7" t="s">
        <v>368</v>
      </c>
      <c r="T51" s="4">
        <v>45786</v>
      </c>
      <c r="U51" s="5">
        <v>970</v>
      </c>
      <c r="V51" s="5">
        <v>1100</v>
      </c>
      <c r="W51" s="6" t="s">
        <v>43</v>
      </c>
      <c r="X51" s="15">
        <v>945.49</v>
      </c>
      <c r="Y51" s="5">
        <f t="shared" si="8"/>
        <v>154.51</v>
      </c>
      <c r="Z51" s="4">
        <v>45788</v>
      </c>
      <c r="AA51" s="4" t="str">
        <f t="shared" si="9"/>
        <v>MAI</v>
      </c>
      <c r="AB51" s="4">
        <f t="shared" si="7"/>
        <v>45802</v>
      </c>
      <c r="AC51" s="2">
        <v>181</v>
      </c>
      <c r="AD51" s="7">
        <v>45803</v>
      </c>
      <c r="AE51" s="7" t="s">
        <v>436</v>
      </c>
      <c r="AF51" s="4">
        <v>45790</v>
      </c>
      <c r="AG51" s="7" t="s">
        <v>437</v>
      </c>
      <c r="AH51" s="4">
        <v>45790</v>
      </c>
      <c r="AI51" s="2" t="s">
        <v>438</v>
      </c>
      <c r="AJ51" s="2" t="s">
        <v>439</v>
      </c>
      <c r="AK51" s="4">
        <v>45799</v>
      </c>
      <c r="AL51" s="4">
        <v>45799</v>
      </c>
      <c r="AM51" s="4">
        <v>45799</v>
      </c>
      <c r="AN51" s="2">
        <f t="shared" si="10"/>
        <v>20250045</v>
      </c>
      <c r="AO51" s="4">
        <f t="shared" si="6"/>
        <v>45790</v>
      </c>
      <c r="AP51" s="16">
        <v>528.83000000000004</v>
      </c>
      <c r="AQ51" s="8">
        <f t="shared" si="11"/>
        <v>500003.47670000006</v>
      </c>
      <c r="AR51" s="13">
        <v>5.6816000000000004</v>
      </c>
      <c r="AS51" s="19">
        <f>Tabela1[[#This Row],[TAXA]]*Tabela1[[#This Row],[VALOR TOTAL  USD]]</f>
        <v>2840819.7532187207</v>
      </c>
      <c r="AT51" s="71">
        <v>14</v>
      </c>
      <c r="AU51" s="72">
        <f>Tabela1[[#This Row],[DATA NF EXP]]-Tabela1[[#This Row],[CARREGAMENTO]]</f>
        <v>2</v>
      </c>
      <c r="AV51" s="72">
        <f>Tabela1[[#This Row],[Realizado]]-Tabela1[[#This Row],[Previsto]]</f>
        <v>-12</v>
      </c>
      <c r="AW51" s="72" t="str">
        <f>IF(Tabela1[[#This Row],[Resultado]]&lt;=0,"Atendido","Não atendido")</f>
        <v>Atendido</v>
      </c>
    </row>
    <row r="52" spans="1:49" x14ac:dyDescent="0.2">
      <c r="A52" s="17" t="s">
        <v>419</v>
      </c>
      <c r="B52" s="2" t="s">
        <v>129</v>
      </c>
      <c r="C52" s="3">
        <v>20250046</v>
      </c>
      <c r="D52" s="2" t="s">
        <v>46</v>
      </c>
      <c r="E52" s="2" t="s">
        <v>44</v>
      </c>
      <c r="F52" s="2">
        <v>9298313</v>
      </c>
      <c r="G52" s="2" t="s">
        <v>366</v>
      </c>
      <c r="H52" s="2" t="s">
        <v>82</v>
      </c>
      <c r="I52" s="2" t="s">
        <v>187</v>
      </c>
      <c r="J52" s="2">
        <v>25000204078</v>
      </c>
      <c r="K52" s="2" t="s">
        <v>160</v>
      </c>
      <c r="L52" s="2" t="s">
        <v>50</v>
      </c>
      <c r="M52" s="2" t="s">
        <v>42</v>
      </c>
      <c r="N52" s="107">
        <v>4250</v>
      </c>
      <c r="O52" s="107">
        <v>4250</v>
      </c>
      <c r="P52" s="107">
        <f>Tabela1[[#This Row],[Valor anterior]]-Tabela1[[#This Row],[VALOR]]</f>
        <v>0</v>
      </c>
      <c r="Q52" s="14" t="s">
        <v>369</v>
      </c>
      <c r="R52" s="4">
        <v>45784</v>
      </c>
      <c r="S52" s="7" t="s">
        <v>370</v>
      </c>
      <c r="T52" s="4">
        <v>45785</v>
      </c>
      <c r="U52" s="5">
        <v>175</v>
      </c>
      <c r="V52" s="5">
        <v>200</v>
      </c>
      <c r="W52" s="6" t="s">
        <v>43</v>
      </c>
      <c r="X52" s="15">
        <v>159.63300000000001</v>
      </c>
      <c r="Y52" s="5">
        <f t="shared" si="8"/>
        <v>40.36699999999999</v>
      </c>
      <c r="Z52" s="4">
        <v>45789</v>
      </c>
      <c r="AA52" s="4" t="str">
        <f t="shared" si="9"/>
        <v>MAI</v>
      </c>
      <c r="AB52" s="4">
        <f t="shared" si="7"/>
        <v>45803</v>
      </c>
      <c r="AC52" s="2">
        <v>182</v>
      </c>
      <c r="AD52" s="7">
        <v>45803</v>
      </c>
      <c r="AE52" s="7" t="s">
        <v>440</v>
      </c>
      <c r="AF52" s="4">
        <v>45790</v>
      </c>
      <c r="AG52" s="7" t="s">
        <v>441</v>
      </c>
      <c r="AH52" s="4">
        <v>45790</v>
      </c>
      <c r="AI52" s="2" t="s">
        <v>442</v>
      </c>
      <c r="AJ52" s="2" t="s">
        <v>443</v>
      </c>
      <c r="AK52" s="4">
        <v>45799</v>
      </c>
      <c r="AL52" s="4">
        <v>45799</v>
      </c>
      <c r="AM52" s="4">
        <v>45799</v>
      </c>
      <c r="AN52" s="2">
        <f t="shared" si="10"/>
        <v>20250046</v>
      </c>
      <c r="AO52" s="4">
        <f t="shared" si="6"/>
        <v>45790</v>
      </c>
      <c r="AP52" s="16">
        <v>748.04</v>
      </c>
      <c r="AQ52" s="8">
        <f t="shared" si="11"/>
        <v>119411.86932</v>
      </c>
      <c r="AR52" s="13">
        <v>5.6816000000000004</v>
      </c>
      <c r="AS52" s="19">
        <f>Tabela1[[#This Row],[TAXA]]*Tabela1[[#This Row],[VALOR TOTAL  USD]]</f>
        <v>678450.47672851209</v>
      </c>
      <c r="AT52" s="71">
        <v>14</v>
      </c>
      <c r="AU52" s="72">
        <f>Tabela1[[#This Row],[DATA NF EXP]]-Tabela1[[#This Row],[CARREGAMENTO]]</f>
        <v>1</v>
      </c>
      <c r="AV52" s="72">
        <f>Tabela1[[#This Row],[Realizado]]-Tabela1[[#This Row],[Previsto]]</f>
        <v>-13</v>
      </c>
      <c r="AW52" s="72" t="str">
        <f>IF(Tabela1[[#This Row],[Resultado]]&lt;=0,"Atendido","Não atendido")</f>
        <v>Atendido</v>
      </c>
    </row>
    <row r="53" spans="1:49" x14ac:dyDescent="0.2">
      <c r="A53" s="17" t="s">
        <v>419</v>
      </c>
      <c r="B53" s="2" t="s">
        <v>59</v>
      </c>
      <c r="C53" s="3">
        <v>20250050</v>
      </c>
      <c r="D53" s="2" t="s">
        <v>46</v>
      </c>
      <c r="E53" s="2" t="s">
        <v>44</v>
      </c>
      <c r="F53" s="2">
        <v>11481889</v>
      </c>
      <c r="G53" s="2" t="s">
        <v>394</v>
      </c>
      <c r="H53" s="2" t="s">
        <v>391</v>
      </c>
      <c r="I53" s="2" t="s">
        <v>392</v>
      </c>
      <c r="J53" s="2">
        <v>25000196830</v>
      </c>
      <c r="K53" s="2" t="s">
        <v>796</v>
      </c>
      <c r="L53" s="2" t="s">
        <v>392</v>
      </c>
      <c r="M53" s="2" t="s">
        <v>42</v>
      </c>
      <c r="N53" s="107">
        <v>4250</v>
      </c>
      <c r="O53" s="107">
        <v>4250</v>
      </c>
      <c r="P53" s="107">
        <f>Tabela1[[#This Row],[Valor anterior]]-Tabela1[[#This Row],[VALOR]]</f>
        <v>0</v>
      </c>
      <c r="Q53" s="14" t="s">
        <v>395</v>
      </c>
      <c r="R53" s="4">
        <v>45787</v>
      </c>
      <c r="S53" s="7" t="s">
        <v>445</v>
      </c>
      <c r="T53" s="4">
        <v>45790</v>
      </c>
      <c r="U53" s="5">
        <v>150</v>
      </c>
      <c r="V53" s="5">
        <v>200</v>
      </c>
      <c r="W53" s="6" t="s">
        <v>43</v>
      </c>
      <c r="X53" s="15">
        <v>125.06100000000001</v>
      </c>
      <c r="Y53" s="5">
        <f t="shared" si="8"/>
        <v>74.938999999999993</v>
      </c>
      <c r="Z53" s="4">
        <v>45793</v>
      </c>
      <c r="AA53" s="4" t="str">
        <f t="shared" si="9"/>
        <v>MAI</v>
      </c>
      <c r="AB53" s="4">
        <f t="shared" si="7"/>
        <v>45807</v>
      </c>
      <c r="AC53" s="2">
        <v>183</v>
      </c>
      <c r="AD53" s="7">
        <v>45803</v>
      </c>
      <c r="AE53" s="7" t="s">
        <v>122</v>
      </c>
      <c r="AF53" s="4" t="s">
        <v>122</v>
      </c>
      <c r="AG53" s="7" t="s">
        <v>475</v>
      </c>
      <c r="AH53" s="4">
        <v>45803</v>
      </c>
      <c r="AI53" s="2" t="s">
        <v>476</v>
      </c>
      <c r="AJ53" s="2" t="s">
        <v>477</v>
      </c>
      <c r="AK53" s="4">
        <v>45806</v>
      </c>
      <c r="AL53" s="4">
        <v>45806</v>
      </c>
      <c r="AM53" s="4">
        <v>45806</v>
      </c>
      <c r="AN53" s="2">
        <f t="shared" si="10"/>
        <v>20250050</v>
      </c>
      <c r="AO53" s="4">
        <f t="shared" si="6"/>
        <v>45803</v>
      </c>
      <c r="AP53" s="16">
        <v>1016.88</v>
      </c>
      <c r="AQ53" s="8">
        <f t="shared" si="11"/>
        <v>127172.02968000001</v>
      </c>
      <c r="AR53" s="13">
        <v>5.6925999999999997</v>
      </c>
      <c r="AS53" s="19">
        <f>Tabela1[[#This Row],[TAXA]]*Tabela1[[#This Row],[VALOR TOTAL  USD]]</f>
        <v>723939.49615636794</v>
      </c>
      <c r="AT53" s="71">
        <v>14</v>
      </c>
      <c r="AU53" s="72">
        <f>Tabela1[[#This Row],[DATA NF EXP]]-Tabela1[[#This Row],[CARREGAMENTO]]</f>
        <v>10</v>
      </c>
      <c r="AV53" s="72">
        <f>Tabela1[[#This Row],[Realizado]]-Tabela1[[#This Row],[Previsto]]</f>
        <v>-4</v>
      </c>
      <c r="AW53" s="72" t="str">
        <f>IF(Tabela1[[#This Row],[Resultado]]&lt;=0,"Atendido","Não atendido")</f>
        <v>Atendido</v>
      </c>
    </row>
    <row r="54" spans="1:49" x14ac:dyDescent="0.2">
      <c r="A54" s="78" t="s">
        <v>306</v>
      </c>
      <c r="B54" s="79" t="s">
        <v>59</v>
      </c>
      <c r="C54" s="80">
        <v>20250049</v>
      </c>
      <c r="D54" s="79" t="s">
        <v>46</v>
      </c>
      <c r="E54" s="79" t="s">
        <v>44</v>
      </c>
      <c r="F54" s="79">
        <v>11436476</v>
      </c>
      <c r="G54" s="79" t="s">
        <v>576</v>
      </c>
      <c r="H54" s="79" t="s">
        <v>391</v>
      </c>
      <c r="I54" s="79" t="s">
        <v>392</v>
      </c>
      <c r="J54" s="79">
        <v>25000211252</v>
      </c>
      <c r="K54" s="79" t="s">
        <v>796</v>
      </c>
      <c r="L54" s="79" t="s">
        <v>392</v>
      </c>
      <c r="M54" s="79" t="s">
        <v>42</v>
      </c>
      <c r="N54" s="110">
        <v>4250</v>
      </c>
      <c r="O54" s="107">
        <v>4250</v>
      </c>
      <c r="P54" s="110">
        <f>Tabela1[[#This Row],[Valor anterior]]-Tabela1[[#This Row],[VALOR]]</f>
        <v>0</v>
      </c>
      <c r="Q54" s="81" t="s">
        <v>393</v>
      </c>
      <c r="R54" s="82">
        <v>45789</v>
      </c>
      <c r="S54" s="83"/>
      <c r="T54" s="82"/>
      <c r="U54" s="84"/>
      <c r="V54" s="84"/>
      <c r="W54" s="85"/>
      <c r="X54" s="86"/>
      <c r="Y54" s="84">
        <f t="shared" si="8"/>
        <v>0</v>
      </c>
      <c r="Z54" s="82"/>
      <c r="AA54" s="82" t="str">
        <f t="shared" si="9"/>
        <v/>
      </c>
      <c r="AB54" s="82"/>
      <c r="AC54" s="79"/>
      <c r="AD54" s="83"/>
      <c r="AE54" s="83"/>
      <c r="AF54" s="82"/>
      <c r="AG54" s="83"/>
      <c r="AH54" s="82"/>
      <c r="AI54" s="79"/>
      <c r="AJ54" s="79"/>
      <c r="AK54" s="82"/>
      <c r="AL54" s="82"/>
      <c r="AM54" s="82"/>
      <c r="AN54" s="79">
        <f t="shared" si="10"/>
        <v>20250049</v>
      </c>
      <c r="AO54" s="82">
        <f t="shared" si="6"/>
        <v>0</v>
      </c>
      <c r="AP54" s="87"/>
      <c r="AQ54" s="88">
        <f t="shared" si="11"/>
        <v>0</v>
      </c>
      <c r="AR54" s="89"/>
      <c r="AS54" s="90">
        <f>Tabela1[[#This Row],[TAXA]]*Tabela1[[#This Row],[VALOR TOTAL  USD]]</f>
        <v>0</v>
      </c>
      <c r="AT54" s="91">
        <v>14</v>
      </c>
      <c r="AU54" s="79">
        <f>Tabela1[[#This Row],[DATA NF EXP]]-Tabela1[[#This Row],[CARREGAMENTO]]</f>
        <v>0</v>
      </c>
      <c r="AV54" s="79">
        <f>Tabela1[[#This Row],[Realizado]]-Tabela1[[#This Row],[Previsto]]</f>
        <v>-14</v>
      </c>
      <c r="AW54" s="79" t="str">
        <f>IF(Tabela1[[#This Row],[Resultado]]&lt;=0,"Atendido","Não atendido")</f>
        <v>Atendido</v>
      </c>
    </row>
    <row r="55" spans="1:49" x14ac:dyDescent="0.2">
      <c r="A55" s="78" t="s">
        <v>306</v>
      </c>
      <c r="B55" s="79" t="s">
        <v>59</v>
      </c>
      <c r="C55" s="80">
        <v>20250048</v>
      </c>
      <c r="D55" s="79" t="s">
        <v>46</v>
      </c>
      <c r="E55" s="79" t="s">
        <v>44</v>
      </c>
      <c r="F55" s="79">
        <v>11475188</v>
      </c>
      <c r="G55" s="79" t="s">
        <v>386</v>
      </c>
      <c r="H55" s="79" t="s">
        <v>387</v>
      </c>
      <c r="I55" s="79" t="s">
        <v>53</v>
      </c>
      <c r="J55" s="79">
        <v>25000222300</v>
      </c>
      <c r="K55" s="79" t="s">
        <v>796</v>
      </c>
      <c r="L55" s="79" t="s">
        <v>53</v>
      </c>
      <c r="M55" s="79" t="s">
        <v>42</v>
      </c>
      <c r="N55" s="110">
        <v>4250</v>
      </c>
      <c r="O55" s="107">
        <v>4250</v>
      </c>
      <c r="P55" s="110">
        <f>Tabela1[[#This Row],[Valor anterior]]-Tabela1[[#This Row],[VALOR]]</f>
        <v>0</v>
      </c>
      <c r="Q55" s="81" t="s">
        <v>390</v>
      </c>
      <c r="R55" s="82">
        <v>45789</v>
      </c>
      <c r="S55" s="83"/>
      <c r="T55" s="82"/>
      <c r="U55" s="84"/>
      <c r="V55" s="84"/>
      <c r="W55" s="85"/>
      <c r="X55" s="86"/>
      <c r="Y55" s="84">
        <f t="shared" si="8"/>
        <v>0</v>
      </c>
      <c r="Z55" s="82"/>
      <c r="AA55" s="82" t="str">
        <f t="shared" si="9"/>
        <v/>
      </c>
      <c r="AB55" s="82"/>
      <c r="AC55" s="79"/>
      <c r="AD55" s="83"/>
      <c r="AE55" s="83"/>
      <c r="AF55" s="82"/>
      <c r="AG55" s="83"/>
      <c r="AH55" s="82"/>
      <c r="AI55" s="79"/>
      <c r="AJ55" s="79"/>
      <c r="AK55" s="82"/>
      <c r="AL55" s="82"/>
      <c r="AM55" s="82"/>
      <c r="AN55" s="79">
        <f t="shared" si="10"/>
        <v>20250048</v>
      </c>
      <c r="AO55" s="82">
        <f t="shared" si="6"/>
        <v>0</v>
      </c>
      <c r="AP55" s="87"/>
      <c r="AQ55" s="88">
        <f t="shared" si="11"/>
        <v>0</v>
      </c>
      <c r="AR55" s="89"/>
      <c r="AS55" s="90">
        <f>Tabela1[[#This Row],[TAXA]]*Tabela1[[#This Row],[VALOR TOTAL  USD]]</f>
        <v>0</v>
      </c>
      <c r="AT55" s="91">
        <v>14</v>
      </c>
      <c r="AU55" s="79">
        <f>Tabela1[[#This Row],[DATA NF EXP]]-Tabela1[[#This Row],[CARREGAMENTO]]</f>
        <v>0</v>
      </c>
      <c r="AV55" s="79">
        <f>Tabela1[[#This Row],[Realizado]]-Tabela1[[#This Row],[Previsto]]</f>
        <v>-14</v>
      </c>
      <c r="AW55" s="79" t="str">
        <f>IF(Tabela1[[#This Row],[Resultado]]&lt;=0,"Atendido","Não atendido")</f>
        <v>Atendido</v>
      </c>
    </row>
    <row r="56" spans="1:49" x14ac:dyDescent="0.2">
      <c r="A56" s="17" t="s">
        <v>419</v>
      </c>
      <c r="B56" s="2" t="s">
        <v>59</v>
      </c>
      <c r="C56" s="3">
        <v>20250047</v>
      </c>
      <c r="D56" s="2" t="s">
        <v>46</v>
      </c>
      <c r="E56" s="2" t="s">
        <v>44</v>
      </c>
      <c r="F56" s="2">
        <v>11473959</v>
      </c>
      <c r="G56" s="2" t="s">
        <v>388</v>
      </c>
      <c r="H56" s="2" t="s">
        <v>387</v>
      </c>
      <c r="I56" s="2" t="s">
        <v>53</v>
      </c>
      <c r="J56" s="2">
        <v>25000222319</v>
      </c>
      <c r="K56" s="2" t="s">
        <v>796</v>
      </c>
      <c r="L56" s="2" t="s">
        <v>53</v>
      </c>
      <c r="M56" s="2" t="s">
        <v>42</v>
      </c>
      <c r="N56" s="107">
        <v>4250</v>
      </c>
      <c r="O56" s="107">
        <v>4250</v>
      </c>
      <c r="P56" s="107">
        <f>Tabela1[[#This Row],[Valor anterior]]-Tabela1[[#This Row],[VALOR]]</f>
        <v>0</v>
      </c>
      <c r="Q56" s="14" t="s">
        <v>389</v>
      </c>
      <c r="R56" s="4">
        <v>45789</v>
      </c>
      <c r="S56" s="7" t="s">
        <v>444</v>
      </c>
      <c r="T56" s="4">
        <v>45790</v>
      </c>
      <c r="U56" s="5">
        <v>110</v>
      </c>
      <c r="V56" s="5">
        <v>150</v>
      </c>
      <c r="W56" s="6" t="s">
        <v>43</v>
      </c>
      <c r="X56" s="15">
        <v>150</v>
      </c>
      <c r="Y56" s="5">
        <f t="shared" si="8"/>
        <v>0</v>
      </c>
      <c r="Z56" s="4">
        <v>45797</v>
      </c>
      <c r="AA56" s="4" t="str">
        <f t="shared" si="9"/>
        <v>MAI</v>
      </c>
      <c r="AB56" s="4">
        <f t="shared" ref="AB56:AB63" si="12">Z56+14</f>
        <v>45811</v>
      </c>
      <c r="AC56" s="2">
        <v>184</v>
      </c>
      <c r="AD56" s="7">
        <v>45803</v>
      </c>
      <c r="AE56" s="7" t="s">
        <v>122</v>
      </c>
      <c r="AF56" s="4" t="s">
        <v>122</v>
      </c>
      <c r="AG56" s="7" t="s">
        <v>472</v>
      </c>
      <c r="AH56" s="4">
        <v>45803</v>
      </c>
      <c r="AI56" s="2" t="s">
        <v>473</v>
      </c>
      <c r="AJ56" s="2" t="s">
        <v>474</v>
      </c>
      <c r="AK56" s="4">
        <v>45806</v>
      </c>
      <c r="AL56" s="4">
        <v>45806</v>
      </c>
      <c r="AM56" s="4">
        <v>45806</v>
      </c>
      <c r="AN56" s="2">
        <f t="shared" si="10"/>
        <v>20250047</v>
      </c>
      <c r="AO56" s="4">
        <f t="shared" si="6"/>
        <v>45803</v>
      </c>
      <c r="AP56" s="16">
        <v>777.93</v>
      </c>
      <c r="AQ56" s="8">
        <f t="shared" si="11"/>
        <v>116689.49999999999</v>
      </c>
      <c r="AR56" s="13">
        <v>5.6925999999999997</v>
      </c>
      <c r="AS56" s="19">
        <f>Tabela1[[#This Row],[TAXA]]*Tabela1[[#This Row],[VALOR TOTAL  USD]]</f>
        <v>664266.64769999986</v>
      </c>
      <c r="AT56" s="71">
        <v>14</v>
      </c>
      <c r="AU56" s="72">
        <f>Tabela1[[#This Row],[DATA NF EXP]]-Tabela1[[#This Row],[CARREGAMENTO]]</f>
        <v>6</v>
      </c>
      <c r="AV56" s="72">
        <f>Tabela1[[#This Row],[Realizado]]-Tabela1[[#This Row],[Previsto]]</f>
        <v>-8</v>
      </c>
      <c r="AW56" s="72" t="str">
        <f>IF(Tabela1[[#This Row],[Resultado]]&lt;=0,"Atendido","Não atendido")</f>
        <v>Atendido</v>
      </c>
    </row>
    <row r="57" spans="1:49" x14ac:dyDescent="0.2">
      <c r="A57" s="17" t="s">
        <v>419</v>
      </c>
      <c r="B57" s="2" t="s">
        <v>59</v>
      </c>
      <c r="C57" s="3">
        <v>20250051</v>
      </c>
      <c r="D57" s="2" t="s">
        <v>46</v>
      </c>
      <c r="E57" s="2" t="s">
        <v>44</v>
      </c>
      <c r="F57" s="2">
        <v>11473959</v>
      </c>
      <c r="G57" s="2" t="s">
        <v>388</v>
      </c>
      <c r="H57" s="2" t="s">
        <v>387</v>
      </c>
      <c r="I57" s="2" t="s">
        <v>53</v>
      </c>
      <c r="J57" s="2">
        <v>25000222319</v>
      </c>
      <c r="K57" s="2" t="s">
        <v>796</v>
      </c>
      <c r="L57" s="2" t="s">
        <v>53</v>
      </c>
      <c r="M57" s="2" t="s">
        <v>42</v>
      </c>
      <c r="N57" s="107">
        <v>4250</v>
      </c>
      <c r="O57" s="107">
        <v>4250</v>
      </c>
      <c r="P57" s="107">
        <f>Tabela1[[#This Row],[Valor anterior]]-Tabela1[[#This Row],[VALOR]]</f>
        <v>0</v>
      </c>
      <c r="Q57" s="14" t="s">
        <v>453</v>
      </c>
      <c r="R57" s="4">
        <v>45796</v>
      </c>
      <c r="S57" s="7" t="s">
        <v>454</v>
      </c>
      <c r="T57" s="4">
        <v>45796</v>
      </c>
      <c r="U57" s="5">
        <v>190</v>
      </c>
      <c r="V57" s="5">
        <v>200</v>
      </c>
      <c r="W57" s="6" t="s">
        <v>43</v>
      </c>
      <c r="X57" s="15">
        <v>8.5410000000000004</v>
      </c>
      <c r="Y57" s="5">
        <f t="shared" si="8"/>
        <v>191.459</v>
      </c>
      <c r="Z57" s="4">
        <v>45797</v>
      </c>
      <c r="AA57" s="4" t="str">
        <f t="shared" si="9"/>
        <v>MAI</v>
      </c>
      <c r="AB57" s="4">
        <f t="shared" si="12"/>
        <v>45811</v>
      </c>
      <c r="AC57" s="2">
        <v>185</v>
      </c>
      <c r="AD57" s="7">
        <v>45803</v>
      </c>
      <c r="AE57" s="7" t="s">
        <v>122</v>
      </c>
      <c r="AF57" s="4" t="s">
        <v>122</v>
      </c>
      <c r="AG57" s="7" t="s">
        <v>469</v>
      </c>
      <c r="AH57" s="4">
        <v>45811</v>
      </c>
      <c r="AI57" s="2" t="s">
        <v>470</v>
      </c>
      <c r="AJ57" s="2" t="s">
        <v>471</v>
      </c>
      <c r="AK57" s="4">
        <v>45812</v>
      </c>
      <c r="AL57" s="4">
        <v>45812</v>
      </c>
      <c r="AM57" s="4">
        <v>45812</v>
      </c>
      <c r="AN57" s="2">
        <f t="shared" si="10"/>
        <v>20250051</v>
      </c>
      <c r="AO57" s="4">
        <f t="shared" si="6"/>
        <v>45811</v>
      </c>
      <c r="AP57" s="16">
        <v>777.93</v>
      </c>
      <c r="AQ57" s="8">
        <f t="shared" si="11"/>
        <v>6644.3001299999996</v>
      </c>
      <c r="AR57" s="13">
        <v>5.6931000000000003</v>
      </c>
      <c r="AS57" s="19">
        <f>Tabela1[[#This Row],[TAXA]]*Tabela1[[#This Row],[VALOR TOTAL  USD]]</f>
        <v>37826.665070103001</v>
      </c>
      <c r="AT57" s="71">
        <v>14</v>
      </c>
      <c r="AU57" s="72">
        <f>Tabela1[[#This Row],[DATA NF EXP]]-Tabela1[[#This Row],[CARREGAMENTO]]</f>
        <v>14</v>
      </c>
      <c r="AV57" s="72">
        <f>Tabela1[[#This Row],[Realizado]]-Tabela1[[#This Row],[Previsto]]</f>
        <v>0</v>
      </c>
      <c r="AW57" s="72" t="str">
        <f>IF(Tabela1[[#This Row],[Resultado]]&lt;=0,"Atendido","Não atendido")</f>
        <v>Atendido</v>
      </c>
    </row>
    <row r="58" spans="1:49" x14ac:dyDescent="0.2">
      <c r="A58" s="17" t="s">
        <v>419</v>
      </c>
      <c r="B58" s="2" t="s">
        <v>59</v>
      </c>
      <c r="C58" s="3">
        <v>20250052</v>
      </c>
      <c r="D58" s="2" t="s">
        <v>38</v>
      </c>
      <c r="E58" s="2" t="s">
        <v>39</v>
      </c>
      <c r="F58" s="2">
        <v>9596870</v>
      </c>
      <c r="G58" s="2" t="s">
        <v>416</v>
      </c>
      <c r="H58" s="2" t="s">
        <v>387</v>
      </c>
      <c r="I58" s="2" t="s">
        <v>417</v>
      </c>
      <c r="J58" s="2">
        <v>25000241151</v>
      </c>
      <c r="K58" s="2" t="s">
        <v>797</v>
      </c>
      <c r="L58" s="2" t="s">
        <v>55</v>
      </c>
      <c r="M58" s="2" t="s">
        <v>42</v>
      </c>
      <c r="N58" s="107">
        <v>4250</v>
      </c>
      <c r="O58" s="107">
        <v>4250</v>
      </c>
      <c r="P58" s="107">
        <f>Tabela1[[#This Row],[Valor anterior]]-Tabela1[[#This Row],[VALOR]]</f>
        <v>0</v>
      </c>
      <c r="Q58" s="14" t="s">
        <v>418</v>
      </c>
      <c r="R58" s="4">
        <v>45800</v>
      </c>
      <c r="S58" s="7" t="s">
        <v>468</v>
      </c>
      <c r="T58" s="4">
        <v>45800</v>
      </c>
      <c r="U58" s="5">
        <v>250</v>
      </c>
      <c r="V58" s="5">
        <v>300</v>
      </c>
      <c r="W58" s="6" t="s">
        <v>43</v>
      </c>
      <c r="X58" s="15">
        <v>289.92</v>
      </c>
      <c r="Y58" s="5">
        <f t="shared" si="8"/>
        <v>10.079999999999984</v>
      </c>
      <c r="Z58" s="4">
        <v>45801</v>
      </c>
      <c r="AA58" s="4" t="str">
        <f t="shared" si="9"/>
        <v>MAI</v>
      </c>
      <c r="AB58" s="4">
        <f t="shared" si="12"/>
        <v>45815</v>
      </c>
      <c r="AC58" s="2">
        <v>186</v>
      </c>
      <c r="AD58" s="7" t="s">
        <v>122</v>
      </c>
      <c r="AE58" s="7" t="s">
        <v>122</v>
      </c>
      <c r="AF58" s="4" t="s">
        <v>122</v>
      </c>
      <c r="AG58" s="7" t="s">
        <v>122</v>
      </c>
      <c r="AH58" s="4" t="s">
        <v>122</v>
      </c>
      <c r="AI58" s="2" t="s">
        <v>122</v>
      </c>
      <c r="AJ58" s="2" t="s">
        <v>122</v>
      </c>
      <c r="AK58" s="4" t="s">
        <v>122</v>
      </c>
      <c r="AL58" s="4" t="s">
        <v>122</v>
      </c>
      <c r="AM58" s="4" t="s">
        <v>122</v>
      </c>
      <c r="AN58" s="2">
        <f t="shared" si="10"/>
        <v>20250052</v>
      </c>
      <c r="AO58" s="4" t="str">
        <f t="shared" si="6"/>
        <v>NA</v>
      </c>
      <c r="AP58" s="16">
        <v>572.41999999999996</v>
      </c>
      <c r="AQ58" s="8">
        <f t="shared" si="11"/>
        <v>165956.00639999998</v>
      </c>
      <c r="AR58" s="13">
        <v>0</v>
      </c>
      <c r="AS58" s="19">
        <f>Tabela1[[#This Row],[TAXA]]*Tabela1[[#This Row],[VALOR TOTAL  USD]]</f>
        <v>0</v>
      </c>
      <c r="AT58" s="71">
        <v>14</v>
      </c>
      <c r="AU58" s="72" t="e">
        <f>Tabela1[[#This Row],[DATA NF EXP]]-Tabela1[[#This Row],[CARREGAMENTO]]</f>
        <v>#VALUE!</v>
      </c>
      <c r="AV58" s="72" t="e">
        <f>Tabela1[[#This Row],[Realizado]]-Tabela1[[#This Row],[Previsto]]</f>
        <v>#VALUE!</v>
      </c>
      <c r="AW58" s="72" t="e">
        <f>IF(Tabela1[[#This Row],[Resultado]]&lt;=0,"Atendido","Não atendido")</f>
        <v>#VALUE!</v>
      </c>
    </row>
    <row r="59" spans="1:49" x14ac:dyDescent="0.2">
      <c r="A59" s="17" t="s">
        <v>419</v>
      </c>
      <c r="B59" s="2" t="s">
        <v>59</v>
      </c>
      <c r="C59" s="3">
        <v>20250053</v>
      </c>
      <c r="D59" s="2" t="s">
        <v>46</v>
      </c>
      <c r="E59" s="2" t="s">
        <v>44</v>
      </c>
      <c r="F59" s="2">
        <v>9986831</v>
      </c>
      <c r="G59" s="2" t="s">
        <v>455</v>
      </c>
      <c r="H59" s="2" t="s">
        <v>40</v>
      </c>
      <c r="I59" s="2" t="s">
        <v>187</v>
      </c>
      <c r="J59" s="2">
        <v>25000229771</v>
      </c>
      <c r="K59" s="2" t="s">
        <v>798</v>
      </c>
      <c r="L59" s="2" t="s">
        <v>50</v>
      </c>
      <c r="M59" s="2" t="s">
        <v>42</v>
      </c>
      <c r="N59" s="107">
        <v>4250</v>
      </c>
      <c r="O59" s="107">
        <v>4250</v>
      </c>
      <c r="P59" s="107">
        <f>Tabela1[[#This Row],[Valor anterior]]-Tabela1[[#This Row],[VALOR]]</f>
        <v>0</v>
      </c>
      <c r="Q59" s="14" t="s">
        <v>466</v>
      </c>
      <c r="R59" s="4">
        <v>45803</v>
      </c>
      <c r="S59" s="7" t="s">
        <v>467</v>
      </c>
      <c r="T59" s="4">
        <v>45804</v>
      </c>
      <c r="U59" s="5">
        <v>120</v>
      </c>
      <c r="V59" s="5">
        <v>150</v>
      </c>
      <c r="W59" s="6" t="s">
        <v>43</v>
      </c>
      <c r="X59" s="15">
        <v>118.7</v>
      </c>
      <c r="Y59" s="5">
        <f t="shared" si="8"/>
        <v>31.299999999999997</v>
      </c>
      <c r="Z59" s="4">
        <v>45808</v>
      </c>
      <c r="AA59" s="4" t="str">
        <f t="shared" si="9"/>
        <v>MAI</v>
      </c>
      <c r="AB59" s="4">
        <f t="shared" si="12"/>
        <v>45822</v>
      </c>
      <c r="AC59" s="2">
        <v>187</v>
      </c>
      <c r="AD59" s="7" t="s">
        <v>122</v>
      </c>
      <c r="AE59" s="7" t="s">
        <v>122</v>
      </c>
      <c r="AF59" s="4" t="s">
        <v>122</v>
      </c>
      <c r="AG59" s="7" t="s">
        <v>531</v>
      </c>
      <c r="AH59" s="4">
        <v>45812</v>
      </c>
      <c r="AI59" s="2" t="s">
        <v>532</v>
      </c>
      <c r="AJ59" s="2" t="s">
        <v>533</v>
      </c>
      <c r="AK59" s="4">
        <v>45821</v>
      </c>
      <c r="AL59" s="4">
        <v>45821</v>
      </c>
      <c r="AM59" s="4">
        <v>45821</v>
      </c>
      <c r="AN59" s="2">
        <f t="shared" si="10"/>
        <v>20250053</v>
      </c>
      <c r="AO59" s="4">
        <f t="shared" si="6"/>
        <v>45812</v>
      </c>
      <c r="AP59" s="16">
        <v>765.54</v>
      </c>
      <c r="AQ59" s="8">
        <f t="shared" si="11"/>
        <v>90869.597999999998</v>
      </c>
      <c r="AR59" s="13">
        <v>5.6688000000000001</v>
      </c>
      <c r="AS59" s="19">
        <f>Tabela1[[#This Row],[TAXA]]*Tabela1[[#This Row],[VALOR TOTAL  USD]]</f>
        <v>515121.57714239997</v>
      </c>
      <c r="AT59" s="71">
        <v>14</v>
      </c>
      <c r="AU59" s="72">
        <f>Tabela1[[#This Row],[DATA NF EXP]]-Tabela1[[#This Row],[CARREGAMENTO]]</f>
        <v>4</v>
      </c>
      <c r="AV59" s="72">
        <f>Tabela1[[#This Row],[Realizado]]-Tabela1[[#This Row],[Previsto]]</f>
        <v>-10</v>
      </c>
      <c r="AW59" s="72" t="str">
        <f>IF(Tabela1[[#This Row],[Resultado]]&lt;=0,"Atendido","Não atendido")</f>
        <v>Atendido</v>
      </c>
    </row>
    <row r="60" spans="1:49" x14ac:dyDescent="0.2">
      <c r="A60" s="17" t="s">
        <v>419</v>
      </c>
      <c r="B60" s="2" t="s">
        <v>59</v>
      </c>
      <c r="C60" s="3">
        <v>20250054</v>
      </c>
      <c r="D60" s="2" t="s">
        <v>46</v>
      </c>
      <c r="E60" s="2" t="s">
        <v>44</v>
      </c>
      <c r="F60" s="2">
        <v>9428425</v>
      </c>
      <c r="G60" s="2" t="s">
        <v>487</v>
      </c>
      <c r="H60" s="2" t="s">
        <v>238</v>
      </c>
      <c r="I60" s="2" t="s">
        <v>187</v>
      </c>
      <c r="J60" s="2">
        <v>25000247389</v>
      </c>
      <c r="K60" s="2" t="s">
        <v>792</v>
      </c>
      <c r="L60" s="2" t="s">
        <v>47</v>
      </c>
      <c r="M60" s="2" t="s">
        <v>42</v>
      </c>
      <c r="N60" s="107">
        <v>4250</v>
      </c>
      <c r="O60" s="107">
        <v>4250</v>
      </c>
      <c r="P60" s="107">
        <f>Tabela1[[#This Row],[Valor anterior]]-Tabela1[[#This Row],[VALOR]]</f>
        <v>0</v>
      </c>
      <c r="Q60" s="14" t="s">
        <v>488</v>
      </c>
      <c r="R60" s="4">
        <v>45831</v>
      </c>
      <c r="S60" s="7" t="s">
        <v>492</v>
      </c>
      <c r="T60" s="4">
        <v>45835</v>
      </c>
      <c r="U60" s="5">
        <v>100</v>
      </c>
      <c r="V60" s="5">
        <v>150</v>
      </c>
      <c r="W60" s="6" t="s">
        <v>43</v>
      </c>
      <c r="X60" s="15">
        <v>100.63200000000001</v>
      </c>
      <c r="Y60" s="5">
        <f t="shared" si="8"/>
        <v>49.367999999999995</v>
      </c>
      <c r="Z60" s="4">
        <v>45836</v>
      </c>
      <c r="AA60" s="4" t="str">
        <f t="shared" si="9"/>
        <v>JUN</v>
      </c>
      <c r="AB60" s="4">
        <f t="shared" si="12"/>
        <v>45850</v>
      </c>
      <c r="AC60" s="2">
        <v>188</v>
      </c>
      <c r="AD60" s="7" t="s">
        <v>122</v>
      </c>
      <c r="AE60" s="7" t="s">
        <v>537</v>
      </c>
      <c r="AF60" s="4">
        <v>45838</v>
      </c>
      <c r="AG60" s="7" t="s">
        <v>534</v>
      </c>
      <c r="AH60" s="4">
        <v>45838</v>
      </c>
      <c r="AI60" s="2" t="s">
        <v>535</v>
      </c>
      <c r="AJ60" s="2" t="s">
        <v>536</v>
      </c>
      <c r="AK60" s="4">
        <v>45846</v>
      </c>
      <c r="AL60" s="4">
        <v>45846</v>
      </c>
      <c r="AM60" s="4">
        <v>45846</v>
      </c>
      <c r="AN60" s="2">
        <f t="shared" si="10"/>
        <v>20250054</v>
      </c>
      <c r="AO60" s="4">
        <f t="shared" si="6"/>
        <v>45838</v>
      </c>
      <c r="AP60" s="16">
        <v>964.68</v>
      </c>
      <c r="AQ60" s="8">
        <f t="shared" si="11"/>
        <v>97077.677760000006</v>
      </c>
      <c r="AR60" s="13">
        <v>5.4752999999999998</v>
      </c>
      <c r="AS60" s="19">
        <f>Tabela1[[#This Row],[TAXA]]*Tabela1[[#This Row],[VALOR TOTAL  USD]]</f>
        <v>531529.40903932799</v>
      </c>
      <c r="AT60" s="71">
        <v>14</v>
      </c>
      <c r="AU60" s="72">
        <f>Tabela1[[#This Row],[DATA NF EXP]]-Tabela1[[#This Row],[CARREGAMENTO]]</f>
        <v>2</v>
      </c>
      <c r="AV60" s="72">
        <f>Tabela1[[#This Row],[Realizado]]-Tabela1[[#This Row],[Previsto]]</f>
        <v>-12</v>
      </c>
      <c r="AW60" s="72" t="str">
        <f>IF(Tabela1[[#This Row],[Resultado]]&lt;=0,"Atendido","Não atendido")</f>
        <v>Atendido</v>
      </c>
    </row>
    <row r="61" spans="1:49" x14ac:dyDescent="0.2">
      <c r="A61" s="17" t="s">
        <v>419</v>
      </c>
      <c r="B61" s="2" t="s">
        <v>59</v>
      </c>
      <c r="C61" s="3">
        <v>20250055</v>
      </c>
      <c r="D61" s="2" t="s">
        <v>46</v>
      </c>
      <c r="E61" s="2" t="s">
        <v>44</v>
      </c>
      <c r="F61" s="2">
        <v>9735945</v>
      </c>
      <c r="G61" s="2" t="s">
        <v>489</v>
      </c>
      <c r="H61" s="2" t="s">
        <v>387</v>
      </c>
      <c r="I61" s="2" t="s">
        <v>493</v>
      </c>
      <c r="J61" s="2">
        <v>25000308418</v>
      </c>
      <c r="K61" s="2" t="s">
        <v>159</v>
      </c>
      <c r="L61" s="2" t="s">
        <v>84</v>
      </c>
      <c r="M61" s="2" t="s">
        <v>496</v>
      </c>
      <c r="N61" s="107">
        <v>2000</v>
      </c>
      <c r="O61" s="107">
        <v>4250</v>
      </c>
      <c r="P61" s="107">
        <f>Tabela1[[#This Row],[Valor anterior]]-Tabela1[[#This Row],[VALOR]]</f>
        <v>2250</v>
      </c>
      <c r="Q61" s="14" t="s">
        <v>494</v>
      </c>
      <c r="R61" s="4">
        <v>45832</v>
      </c>
      <c r="S61" s="7" t="s">
        <v>495</v>
      </c>
      <c r="T61" s="4">
        <v>45835</v>
      </c>
      <c r="U61" s="5">
        <v>150</v>
      </c>
      <c r="V61" s="5">
        <v>200</v>
      </c>
      <c r="W61" s="6" t="s">
        <v>43</v>
      </c>
      <c r="X61" s="15">
        <v>144.489</v>
      </c>
      <c r="Y61" s="5">
        <f t="shared" si="8"/>
        <v>55.510999999999996</v>
      </c>
      <c r="Z61" s="4">
        <v>45838</v>
      </c>
      <c r="AA61" s="4" t="str">
        <f t="shared" si="9"/>
        <v>JUN</v>
      </c>
      <c r="AB61" s="4">
        <f t="shared" si="12"/>
        <v>45852</v>
      </c>
      <c r="AC61" s="2">
        <v>189</v>
      </c>
      <c r="AD61" s="7" t="s">
        <v>122</v>
      </c>
      <c r="AE61" s="7" t="s">
        <v>703</v>
      </c>
      <c r="AF61" s="4">
        <v>45845</v>
      </c>
      <c r="AG61" s="7" t="s">
        <v>538</v>
      </c>
      <c r="AH61" s="4">
        <v>45847</v>
      </c>
      <c r="AI61" s="2" t="s">
        <v>539</v>
      </c>
      <c r="AJ61" s="2" t="s">
        <v>540</v>
      </c>
      <c r="AK61" s="4">
        <v>45848</v>
      </c>
      <c r="AL61" s="4">
        <v>45848</v>
      </c>
      <c r="AM61" s="4">
        <v>45848</v>
      </c>
      <c r="AN61" s="2">
        <f t="shared" si="10"/>
        <v>20250055</v>
      </c>
      <c r="AO61" s="4">
        <f t="shared" si="6"/>
        <v>45847</v>
      </c>
      <c r="AP61" s="16">
        <v>937.03</v>
      </c>
      <c r="AQ61" s="8">
        <f t="shared" si="11"/>
        <v>135390.52767000001</v>
      </c>
      <c r="AR61" s="13">
        <v>5.4565000000000001</v>
      </c>
      <c r="AS61" s="19">
        <f>Tabela1[[#This Row],[TAXA]]*Tabela1[[#This Row],[VALOR TOTAL  USD]]</f>
        <v>738758.41423135507</v>
      </c>
      <c r="AT61" s="71">
        <v>14</v>
      </c>
      <c r="AU61" s="72">
        <f>Tabela1[[#This Row],[DATA NF EXP]]-Tabela1[[#This Row],[CARREGAMENTO]]</f>
        <v>9</v>
      </c>
      <c r="AV61" s="72">
        <f>Tabela1[[#This Row],[Realizado]]-Tabela1[[#This Row],[Previsto]]</f>
        <v>-5</v>
      </c>
      <c r="AW61" s="72" t="str">
        <f>IF(Tabela1[[#This Row],[Resultado]]&lt;=0,"Atendido","Não atendido")</f>
        <v>Atendido</v>
      </c>
    </row>
    <row r="62" spans="1:49" x14ac:dyDescent="0.2">
      <c r="A62" s="17" t="s">
        <v>37</v>
      </c>
      <c r="B62" s="2" t="s">
        <v>59</v>
      </c>
      <c r="C62" s="3">
        <v>20250056</v>
      </c>
      <c r="D62" s="2" t="s">
        <v>46</v>
      </c>
      <c r="E62" s="2" t="s">
        <v>44</v>
      </c>
      <c r="F62" s="2">
        <v>11474866</v>
      </c>
      <c r="G62" s="2" t="s">
        <v>265</v>
      </c>
      <c r="H62" s="2" t="s">
        <v>387</v>
      </c>
      <c r="I62" s="2" t="s">
        <v>53</v>
      </c>
      <c r="J62" s="2">
        <v>25000310072</v>
      </c>
      <c r="K62" s="2" t="s">
        <v>796</v>
      </c>
      <c r="L62" s="2" t="s">
        <v>53</v>
      </c>
      <c r="M62" s="2" t="s">
        <v>496</v>
      </c>
      <c r="N62" s="107">
        <v>2000</v>
      </c>
      <c r="O62" s="107">
        <v>4250</v>
      </c>
      <c r="P62" s="107">
        <f>Tabela1[[#This Row],[Valor anterior]]-Tabela1[[#This Row],[VALOR]]</f>
        <v>2250</v>
      </c>
      <c r="Q62" s="14" t="s">
        <v>497</v>
      </c>
      <c r="R62" s="4">
        <v>45838</v>
      </c>
      <c r="S62" s="7" t="s">
        <v>498</v>
      </c>
      <c r="T62" s="4">
        <v>45838</v>
      </c>
      <c r="U62" s="5">
        <v>90</v>
      </c>
      <c r="V62" s="5">
        <v>150</v>
      </c>
      <c r="W62" s="6" t="s">
        <v>43</v>
      </c>
      <c r="X62" s="15">
        <v>90.429000000000002</v>
      </c>
      <c r="Y62" s="5">
        <f t="shared" si="8"/>
        <v>59.570999999999998</v>
      </c>
      <c r="Z62" s="4">
        <v>45839</v>
      </c>
      <c r="AA62" s="4" t="str">
        <f t="shared" si="9"/>
        <v>JUL</v>
      </c>
      <c r="AB62" s="4">
        <f t="shared" si="12"/>
        <v>45853</v>
      </c>
      <c r="AC62" s="2">
        <v>190</v>
      </c>
      <c r="AD62" s="7" t="s">
        <v>122</v>
      </c>
      <c r="AE62" s="7" t="s">
        <v>122</v>
      </c>
      <c r="AF62" s="4" t="s">
        <v>122</v>
      </c>
      <c r="AG62" s="7" t="s">
        <v>528</v>
      </c>
      <c r="AH62" s="4">
        <v>45842</v>
      </c>
      <c r="AI62" s="2" t="s">
        <v>529</v>
      </c>
      <c r="AJ62" s="2" t="s">
        <v>530</v>
      </c>
      <c r="AK62" s="4">
        <v>45847</v>
      </c>
      <c r="AL62" s="4">
        <v>45847</v>
      </c>
      <c r="AM62" s="4">
        <v>45847</v>
      </c>
      <c r="AN62" s="2">
        <f t="shared" si="10"/>
        <v>20250056</v>
      </c>
      <c r="AO62" s="4">
        <f t="shared" si="6"/>
        <v>45842</v>
      </c>
      <c r="AP62" s="16">
        <v>918.09</v>
      </c>
      <c r="AQ62" s="8">
        <f t="shared" si="11"/>
        <v>83021.960610000009</v>
      </c>
      <c r="AR62" s="13">
        <v>5.4202000000000004</v>
      </c>
      <c r="AS62" s="19">
        <f>Tabela1[[#This Row],[TAXA]]*Tabela1[[#This Row],[VALOR TOTAL  USD]]</f>
        <v>449995.6308983221</v>
      </c>
      <c r="AT62" s="71">
        <v>14</v>
      </c>
      <c r="AU62" s="72">
        <f>Tabela1[[#This Row],[DATA NF EXP]]-Tabela1[[#This Row],[CARREGAMENTO]]</f>
        <v>3</v>
      </c>
      <c r="AV62" s="72">
        <f>Tabela1[[#This Row],[Realizado]]-Tabela1[[#This Row],[Previsto]]</f>
        <v>-11</v>
      </c>
      <c r="AW62" s="72" t="str">
        <f>IF(Tabela1[[#This Row],[Resultado]]&lt;=0,"Atendido","Não atendido")</f>
        <v>Atendido</v>
      </c>
    </row>
    <row r="63" spans="1:49" x14ac:dyDescent="0.2">
      <c r="A63" s="17" t="s">
        <v>37</v>
      </c>
      <c r="B63" s="2" t="s">
        <v>59</v>
      </c>
      <c r="C63" s="3">
        <v>20250057</v>
      </c>
      <c r="D63" s="2" t="s">
        <v>46</v>
      </c>
      <c r="E63" s="2" t="s">
        <v>44</v>
      </c>
      <c r="F63" s="2">
        <v>9577886</v>
      </c>
      <c r="G63" s="2" t="s">
        <v>499</v>
      </c>
      <c r="H63" s="2" t="s">
        <v>387</v>
      </c>
      <c r="I63" s="2" t="s">
        <v>372</v>
      </c>
      <c r="J63" s="2">
        <v>25000320981</v>
      </c>
      <c r="K63" s="2" t="s">
        <v>159</v>
      </c>
      <c r="L63" s="2" t="s">
        <v>84</v>
      </c>
      <c r="M63" s="2" t="s">
        <v>496</v>
      </c>
      <c r="N63" s="107">
        <v>2000</v>
      </c>
      <c r="O63" s="107">
        <v>4250</v>
      </c>
      <c r="P63" s="107">
        <f>Tabela1[[#This Row],[Valor anterior]]-Tabela1[[#This Row],[VALOR]]</f>
        <v>2250</v>
      </c>
      <c r="Q63" s="14" t="s">
        <v>500</v>
      </c>
      <c r="R63" s="4">
        <v>45842</v>
      </c>
      <c r="S63" s="7" t="s">
        <v>522</v>
      </c>
      <c r="T63" s="4">
        <v>45842</v>
      </c>
      <c r="U63" s="5">
        <v>100</v>
      </c>
      <c r="V63" s="5">
        <v>200</v>
      </c>
      <c r="W63" s="6" t="s">
        <v>43</v>
      </c>
      <c r="X63" s="15">
        <v>104.22</v>
      </c>
      <c r="Y63" s="5">
        <f t="shared" si="8"/>
        <v>95.78</v>
      </c>
      <c r="Z63" s="4">
        <v>45847</v>
      </c>
      <c r="AA63" s="4" t="str">
        <f t="shared" si="9"/>
        <v>JUL</v>
      </c>
      <c r="AB63" s="4">
        <f t="shared" si="12"/>
        <v>45861</v>
      </c>
      <c r="AC63" s="2">
        <v>191</v>
      </c>
      <c r="AD63" s="7" t="s">
        <v>122</v>
      </c>
      <c r="AE63" s="7" t="s">
        <v>541</v>
      </c>
      <c r="AF63" s="4">
        <v>45852</v>
      </c>
      <c r="AG63" s="7" t="s">
        <v>542</v>
      </c>
      <c r="AH63" s="4">
        <v>45761</v>
      </c>
      <c r="AI63" s="2" t="s">
        <v>543</v>
      </c>
      <c r="AJ63" s="2" t="s">
        <v>544</v>
      </c>
      <c r="AK63" s="4">
        <v>45855</v>
      </c>
      <c r="AL63" s="4">
        <v>45855</v>
      </c>
      <c r="AM63" s="4">
        <v>45855</v>
      </c>
      <c r="AN63" s="2">
        <f t="shared" si="10"/>
        <v>20250057</v>
      </c>
      <c r="AO63" s="4">
        <f t="shared" si="6"/>
        <v>45761</v>
      </c>
      <c r="AP63" s="16">
        <v>964</v>
      </c>
      <c r="AQ63" s="8">
        <f t="shared" si="11"/>
        <v>100468.08</v>
      </c>
      <c r="AR63" s="13">
        <v>5.5716000000000001</v>
      </c>
      <c r="AS63" s="19">
        <f>Tabela1[[#This Row],[TAXA]]*Tabela1[[#This Row],[VALOR TOTAL  USD]]</f>
        <v>559767.95452799997</v>
      </c>
      <c r="AT63" s="71">
        <v>14</v>
      </c>
      <c r="AU63" s="72">
        <f>Tabela1[[#This Row],[DATA NF EXP]]-Tabela1[[#This Row],[CARREGAMENTO]]</f>
        <v>-86</v>
      </c>
      <c r="AV63" s="72">
        <f>Tabela1[[#This Row],[Realizado]]-Tabela1[[#This Row],[Previsto]]</f>
        <v>-100</v>
      </c>
      <c r="AW63" s="72" t="str">
        <f>IF(Tabela1[[#This Row],[Resultado]]&lt;=0,"Atendido","Não atendido")</f>
        <v>Atendido</v>
      </c>
    </row>
    <row r="64" spans="1:49" x14ac:dyDescent="0.2">
      <c r="A64" s="78" t="s">
        <v>306</v>
      </c>
      <c r="B64" s="79" t="s">
        <v>59</v>
      </c>
      <c r="C64" s="80">
        <v>20250058</v>
      </c>
      <c r="D64" s="79" t="s">
        <v>46</v>
      </c>
      <c r="E64" s="79" t="s">
        <v>39</v>
      </c>
      <c r="F64" s="79">
        <v>9341794</v>
      </c>
      <c r="G64" s="79" t="s">
        <v>90</v>
      </c>
      <c r="H64" s="79" t="s">
        <v>387</v>
      </c>
      <c r="I64" s="79" t="s">
        <v>89</v>
      </c>
      <c r="J64" s="79">
        <v>25000292686</v>
      </c>
      <c r="K64" s="79" t="s">
        <v>161</v>
      </c>
      <c r="L64" s="79" t="s">
        <v>91</v>
      </c>
      <c r="M64" s="79" t="s">
        <v>496</v>
      </c>
      <c r="N64" s="110">
        <v>2000</v>
      </c>
      <c r="O64" s="107">
        <v>4250</v>
      </c>
      <c r="P64" s="110">
        <f>Tabela1[[#This Row],[Valor anterior]]-Tabela1[[#This Row],[VALOR]]</f>
        <v>2250</v>
      </c>
      <c r="Q64" s="81" t="s">
        <v>501</v>
      </c>
      <c r="R64" s="82">
        <v>45845</v>
      </c>
      <c r="S64" s="83" t="s">
        <v>515</v>
      </c>
      <c r="T64" s="82">
        <v>45847</v>
      </c>
      <c r="U64" s="84">
        <v>65</v>
      </c>
      <c r="V64" s="84">
        <v>100</v>
      </c>
      <c r="W64" s="85" t="s">
        <v>43</v>
      </c>
      <c r="X64" s="86"/>
      <c r="Y64" s="84">
        <f t="shared" si="8"/>
        <v>100</v>
      </c>
      <c r="Z64" s="82"/>
      <c r="AA64" s="82" t="str">
        <f t="shared" si="9"/>
        <v/>
      </c>
      <c r="AB64" s="82"/>
      <c r="AC64" s="79"/>
      <c r="AD64" s="83"/>
      <c r="AE64" s="83"/>
      <c r="AF64" s="82"/>
      <c r="AG64" s="83"/>
      <c r="AH64" s="82"/>
      <c r="AI64" s="79"/>
      <c r="AJ64" s="79"/>
      <c r="AK64" s="82"/>
      <c r="AL64" s="82"/>
      <c r="AM64" s="82"/>
      <c r="AN64" s="79">
        <f t="shared" si="10"/>
        <v>20250058</v>
      </c>
      <c r="AO64" s="82"/>
      <c r="AP64" s="87"/>
      <c r="AQ64" s="88">
        <f t="shared" ref="AQ64" si="13">X64*AP64</f>
        <v>0</v>
      </c>
      <c r="AR64" s="89"/>
      <c r="AS64" s="90">
        <f>Tabela1[[#This Row],[TAXA]]*Tabela1[[#This Row],[VALOR TOTAL  USD]]</f>
        <v>0</v>
      </c>
      <c r="AT64" s="91">
        <v>14</v>
      </c>
      <c r="AU64" s="79">
        <f>Tabela1[[#This Row],[DATA NF EXP]]-Tabela1[[#This Row],[CARREGAMENTO]]</f>
        <v>0</v>
      </c>
      <c r="AV64" s="79">
        <f>Tabela1[[#This Row],[Realizado]]-Tabela1[[#This Row],[Previsto]]</f>
        <v>-14</v>
      </c>
      <c r="AW64" s="79" t="str">
        <f>IF(Tabela1[[#This Row],[Resultado]]&lt;=0,"Atendido","Não atendido")</f>
        <v>Atendido</v>
      </c>
    </row>
    <row r="65" spans="1:49" x14ac:dyDescent="0.2">
      <c r="A65" s="17" t="s">
        <v>37</v>
      </c>
      <c r="B65" s="2" t="s">
        <v>59</v>
      </c>
      <c r="C65" s="3">
        <v>20250059</v>
      </c>
      <c r="D65" s="2" t="s">
        <v>38</v>
      </c>
      <c r="E65" s="2" t="s">
        <v>39</v>
      </c>
      <c r="F65" s="2">
        <v>9341794</v>
      </c>
      <c r="G65" s="2" t="s">
        <v>90</v>
      </c>
      <c r="H65" s="2" t="s">
        <v>387</v>
      </c>
      <c r="I65" s="2" t="s">
        <v>89</v>
      </c>
      <c r="J65" s="2">
        <v>25000292686</v>
      </c>
      <c r="K65" s="2" t="s">
        <v>161</v>
      </c>
      <c r="L65" s="2" t="s">
        <v>91</v>
      </c>
      <c r="M65" s="2" t="s">
        <v>496</v>
      </c>
      <c r="N65" s="107">
        <v>2000</v>
      </c>
      <c r="O65" s="107">
        <v>4250</v>
      </c>
      <c r="P65" s="107">
        <f>Tabela1[[#This Row],[Valor anterior]]-Tabela1[[#This Row],[VALOR]]</f>
        <v>2250</v>
      </c>
      <c r="Q65" s="14" t="s">
        <v>502</v>
      </c>
      <c r="R65" s="4">
        <v>45845</v>
      </c>
      <c r="S65" s="7" t="s">
        <v>516</v>
      </c>
      <c r="T65" s="4">
        <v>45847</v>
      </c>
      <c r="U65" s="5">
        <v>260</v>
      </c>
      <c r="V65" s="5">
        <v>500</v>
      </c>
      <c r="W65" s="6" t="s">
        <v>43</v>
      </c>
      <c r="X65" s="15">
        <v>250.81800000000001</v>
      </c>
      <c r="Y65" s="5">
        <f t="shared" si="8"/>
        <v>249.18199999999999</v>
      </c>
      <c r="Z65" s="4">
        <v>45851</v>
      </c>
      <c r="AA65" s="4" t="str">
        <f t="shared" si="9"/>
        <v>JUL</v>
      </c>
      <c r="AB65" s="4">
        <f t="shared" ref="AB65:AB89" si="14">Z65+14</f>
        <v>45865</v>
      </c>
      <c r="AC65" s="2">
        <v>193</v>
      </c>
      <c r="AD65" s="7" t="s">
        <v>122</v>
      </c>
      <c r="AE65" s="7" t="s">
        <v>122</v>
      </c>
      <c r="AF65" s="4" t="s">
        <v>122</v>
      </c>
      <c r="AG65" s="7" t="s">
        <v>122</v>
      </c>
      <c r="AH65" s="4" t="s">
        <v>122</v>
      </c>
      <c r="AI65" s="2" t="s">
        <v>122</v>
      </c>
      <c r="AJ65" s="2" t="s">
        <v>122</v>
      </c>
      <c r="AK65" s="4" t="s">
        <v>122</v>
      </c>
      <c r="AL65" s="4" t="s">
        <v>122</v>
      </c>
      <c r="AM65" s="4" t="s">
        <v>122</v>
      </c>
      <c r="AN65" s="2">
        <f t="shared" si="10"/>
        <v>20250059</v>
      </c>
      <c r="AO65" s="4" t="str">
        <f t="shared" ref="AO65:AO89" si="15">AH65</f>
        <v>NA</v>
      </c>
      <c r="AP65" s="16">
        <v>582</v>
      </c>
      <c r="AQ65" s="8">
        <f t="shared" si="11"/>
        <v>145976.076</v>
      </c>
      <c r="AR65" s="13">
        <v>0</v>
      </c>
      <c r="AS65" s="19">
        <f>Tabela1[[#This Row],[TAXA]]*Tabela1[[#This Row],[VALOR TOTAL  USD]]</f>
        <v>0</v>
      </c>
      <c r="AT65" s="71">
        <v>14</v>
      </c>
      <c r="AU65" s="72" t="e">
        <f>Tabela1[[#This Row],[DATA NF EXP]]-Tabela1[[#This Row],[CARREGAMENTO]]</f>
        <v>#VALUE!</v>
      </c>
      <c r="AV65" s="72" t="e">
        <f>Tabela1[[#This Row],[Realizado]]-Tabela1[[#This Row],[Previsto]]</f>
        <v>#VALUE!</v>
      </c>
      <c r="AW65" s="72" t="e">
        <f>IF(Tabela1[[#This Row],[Resultado]]&lt;=0,"Atendido","Não atendido")</f>
        <v>#VALUE!</v>
      </c>
    </row>
    <row r="66" spans="1:49" x14ac:dyDescent="0.2">
      <c r="A66" s="17" t="s">
        <v>37</v>
      </c>
      <c r="B66" s="2" t="s">
        <v>59</v>
      </c>
      <c r="C66" s="3">
        <v>20250060</v>
      </c>
      <c r="D66" s="2" t="s">
        <v>46</v>
      </c>
      <c r="E66" s="2" t="s">
        <v>44</v>
      </c>
      <c r="F66" s="2" t="s">
        <v>799</v>
      </c>
      <c r="G66" s="2" t="s">
        <v>517</v>
      </c>
      <c r="H66" s="2" t="s">
        <v>387</v>
      </c>
      <c r="I66" s="2" t="s">
        <v>53</v>
      </c>
      <c r="J66" s="2">
        <v>25000331347</v>
      </c>
      <c r="K66" s="2" t="s">
        <v>796</v>
      </c>
      <c r="L66" s="2" t="s">
        <v>53</v>
      </c>
      <c r="M66" s="2" t="s">
        <v>496</v>
      </c>
      <c r="N66" s="107">
        <v>2000</v>
      </c>
      <c r="O66" s="107">
        <v>4250</v>
      </c>
      <c r="P66" s="107">
        <f>Tabela1[[#This Row],[Valor anterior]]-Tabela1[[#This Row],[VALOR]]</f>
        <v>2250</v>
      </c>
      <c r="Q66" s="14" t="s">
        <v>518</v>
      </c>
      <c r="R66" s="4">
        <v>45848</v>
      </c>
      <c r="S66" s="7" t="s">
        <v>545</v>
      </c>
      <c r="T66" s="4">
        <v>45849</v>
      </c>
      <c r="U66" s="5">
        <v>90</v>
      </c>
      <c r="V66" s="5">
        <v>150</v>
      </c>
      <c r="W66" s="6" t="s">
        <v>43</v>
      </c>
      <c r="X66" s="15">
        <v>90.429000000000002</v>
      </c>
      <c r="Y66" s="5">
        <f t="shared" ref="Y66:Y89" si="16">V66-X66</f>
        <v>59.570999999999998</v>
      </c>
      <c r="Z66" s="4">
        <v>45849</v>
      </c>
      <c r="AA66" s="4" t="str">
        <f t="shared" ref="AA66:AA89" si="17">IF(Z66="","",UPPER(TEXT(Z66,"MMM")))</f>
        <v>JUL</v>
      </c>
      <c r="AB66" s="4">
        <f t="shared" si="14"/>
        <v>45863</v>
      </c>
      <c r="AC66" s="2">
        <v>195</v>
      </c>
      <c r="AD66" s="7" t="s">
        <v>122</v>
      </c>
      <c r="AE66" s="7" t="s">
        <v>704</v>
      </c>
      <c r="AF66" s="4">
        <v>45852</v>
      </c>
      <c r="AG66" s="7" t="s">
        <v>683</v>
      </c>
      <c r="AH66" s="4">
        <v>45852</v>
      </c>
      <c r="AI66" s="2" t="s">
        <v>684</v>
      </c>
      <c r="AJ66" s="2" t="s">
        <v>685</v>
      </c>
      <c r="AK66" s="4">
        <v>45861</v>
      </c>
      <c r="AL66" s="4">
        <v>45862</v>
      </c>
      <c r="AM66" s="4">
        <v>45862</v>
      </c>
      <c r="AN66" s="2">
        <f t="shared" ref="AN66:AN89" si="18">C66</f>
        <v>20250060</v>
      </c>
      <c r="AO66" s="4">
        <f t="shared" si="15"/>
        <v>45852</v>
      </c>
      <c r="AP66" s="16">
        <v>859.99890000000005</v>
      </c>
      <c r="AQ66" s="8">
        <f t="shared" ref="AQ66:AQ89" si="19">X66*AP66</f>
        <v>77768.840528100001</v>
      </c>
      <c r="AR66" s="13">
        <v>5.5716000000000001</v>
      </c>
      <c r="AS66" s="19">
        <f>Tabela1[[#This Row],[TAXA]]*Tabela1[[#This Row],[VALOR TOTAL  USD]]</f>
        <v>433296.87188636197</v>
      </c>
      <c r="AT66" s="71">
        <v>14</v>
      </c>
      <c r="AU66" s="72">
        <f>Tabela1[[#This Row],[DATA NF EXP]]-Tabela1[[#This Row],[CARREGAMENTO]]</f>
        <v>3</v>
      </c>
      <c r="AV66" s="72">
        <f>Tabela1[[#This Row],[Realizado]]-Tabela1[[#This Row],[Previsto]]</f>
        <v>-11</v>
      </c>
      <c r="AW66" s="72" t="str">
        <f>IF(Tabela1[[#This Row],[Resultado]]&lt;=0,"Atendido","Não atendido")</f>
        <v>Atendido</v>
      </c>
    </row>
    <row r="67" spans="1:49" x14ac:dyDescent="0.2">
      <c r="A67" s="17" t="s">
        <v>37</v>
      </c>
      <c r="B67" s="2" t="s">
        <v>59</v>
      </c>
      <c r="C67" s="3">
        <v>20250061</v>
      </c>
      <c r="D67" s="2" t="s">
        <v>38</v>
      </c>
      <c r="E67" s="2" t="s">
        <v>44</v>
      </c>
      <c r="F67" s="2">
        <v>9318008</v>
      </c>
      <c r="G67" s="2" t="s">
        <v>519</v>
      </c>
      <c r="H67" s="2" t="s">
        <v>391</v>
      </c>
      <c r="I67" s="2" t="s">
        <v>520</v>
      </c>
      <c r="J67" s="2">
        <v>25000304145</v>
      </c>
      <c r="K67" s="2" t="s">
        <v>41</v>
      </c>
      <c r="L67" s="2" t="s">
        <v>50</v>
      </c>
      <c r="M67" s="2" t="s">
        <v>496</v>
      </c>
      <c r="N67" s="107">
        <v>2000</v>
      </c>
      <c r="O67" s="107">
        <v>4250</v>
      </c>
      <c r="P67" s="107">
        <f>Tabela1[[#This Row],[Valor anterior]]-Tabela1[[#This Row],[VALOR]]</f>
        <v>2250</v>
      </c>
      <c r="Q67" s="14" t="s">
        <v>521</v>
      </c>
      <c r="R67" s="4">
        <v>45849</v>
      </c>
      <c r="S67" s="7" t="s">
        <v>546</v>
      </c>
      <c r="T67" s="4">
        <v>45849</v>
      </c>
      <c r="U67" s="5">
        <v>200</v>
      </c>
      <c r="V67" s="5">
        <v>250</v>
      </c>
      <c r="W67" s="6" t="s">
        <v>43</v>
      </c>
      <c r="X67" s="15">
        <v>199.607</v>
      </c>
      <c r="Y67" s="5">
        <f t="shared" si="16"/>
        <v>50.393000000000001</v>
      </c>
      <c r="Z67" s="4">
        <v>45850</v>
      </c>
      <c r="AA67" s="4" t="str">
        <f t="shared" si="17"/>
        <v>JUL</v>
      </c>
      <c r="AB67" s="4">
        <f t="shared" si="14"/>
        <v>45864</v>
      </c>
      <c r="AC67" s="2">
        <v>192</v>
      </c>
      <c r="AD67" s="7" t="s">
        <v>122</v>
      </c>
      <c r="AE67" s="7" t="s">
        <v>122</v>
      </c>
      <c r="AF67" s="4" t="s">
        <v>122</v>
      </c>
      <c r="AG67" s="7" t="s">
        <v>638</v>
      </c>
      <c r="AH67" s="4">
        <v>45863</v>
      </c>
      <c r="AI67" s="2" t="s">
        <v>636</v>
      </c>
      <c r="AJ67" s="2" t="s">
        <v>637</v>
      </c>
      <c r="AK67" s="4">
        <v>45863</v>
      </c>
      <c r="AL67" s="4">
        <v>45864</v>
      </c>
      <c r="AM67" s="4">
        <v>45864</v>
      </c>
      <c r="AN67" s="2">
        <f t="shared" si="18"/>
        <v>20250061</v>
      </c>
      <c r="AO67" s="4">
        <f t="shared" si="15"/>
        <v>45863</v>
      </c>
      <c r="AP67" s="16">
        <v>575</v>
      </c>
      <c r="AQ67" s="8">
        <f t="shared" si="19"/>
        <v>114774.02499999999</v>
      </c>
      <c r="AR67" s="13">
        <v>5.5232999999999999</v>
      </c>
      <c r="AS67" s="19">
        <f>Tabela1[[#This Row],[TAXA]]*Tabela1[[#This Row],[VALOR TOTAL  USD]]</f>
        <v>633931.37228249991</v>
      </c>
      <c r="AT67" s="71">
        <v>14</v>
      </c>
      <c r="AU67" s="72">
        <f>Tabela1[[#This Row],[DATA NF EXP]]-Tabela1[[#This Row],[CARREGAMENTO]]</f>
        <v>13</v>
      </c>
      <c r="AV67" s="72">
        <f>Tabela1[[#This Row],[Realizado]]-Tabela1[[#This Row],[Previsto]]</f>
        <v>-1</v>
      </c>
      <c r="AW67" s="72" t="str">
        <f>IF(Tabela1[[#This Row],[Resultado]]&lt;=0,"Atendido","Não atendido")</f>
        <v>Atendido</v>
      </c>
    </row>
    <row r="68" spans="1:49" x14ac:dyDescent="0.2">
      <c r="A68" s="17" t="s">
        <v>37</v>
      </c>
      <c r="B68" s="2" t="s">
        <v>59</v>
      </c>
      <c r="C68" s="3">
        <v>20250062</v>
      </c>
      <c r="D68" s="2" t="s">
        <v>46</v>
      </c>
      <c r="E68" s="2" t="s">
        <v>44</v>
      </c>
      <c r="F68" s="2">
        <v>11475617</v>
      </c>
      <c r="G68" s="2" t="s">
        <v>524</v>
      </c>
      <c r="H68" s="2" t="s">
        <v>387</v>
      </c>
      <c r="I68" s="2" t="s">
        <v>525</v>
      </c>
      <c r="J68" s="2">
        <v>25000334583</v>
      </c>
      <c r="K68" s="2" t="s">
        <v>796</v>
      </c>
      <c r="L68" s="2" t="s">
        <v>525</v>
      </c>
      <c r="M68" s="2" t="s">
        <v>496</v>
      </c>
      <c r="N68" s="107">
        <v>2000</v>
      </c>
      <c r="O68" s="107">
        <v>4250</v>
      </c>
      <c r="P68" s="107">
        <f>Tabela1[[#This Row],[Valor anterior]]-Tabela1[[#This Row],[VALOR]]</f>
        <v>2250</v>
      </c>
      <c r="Q68" s="14" t="s">
        <v>526</v>
      </c>
      <c r="R68" s="4">
        <v>45852</v>
      </c>
      <c r="S68" s="7" t="s">
        <v>527</v>
      </c>
      <c r="T68" s="4">
        <v>45852</v>
      </c>
      <c r="U68" s="15">
        <v>55.011000000000003</v>
      </c>
      <c r="V68" s="5">
        <v>110</v>
      </c>
      <c r="W68" s="6" t="s">
        <v>43</v>
      </c>
      <c r="X68" s="15">
        <v>55.011000000000003</v>
      </c>
      <c r="Y68" s="5">
        <f t="shared" si="16"/>
        <v>54.988999999999997</v>
      </c>
      <c r="Z68" s="4">
        <v>45859</v>
      </c>
      <c r="AA68" s="4" t="str">
        <f t="shared" si="17"/>
        <v>JUL</v>
      </c>
      <c r="AB68" s="4">
        <f t="shared" si="14"/>
        <v>45873</v>
      </c>
      <c r="AC68" s="2">
        <v>196</v>
      </c>
      <c r="AD68" s="7" t="s">
        <v>122</v>
      </c>
      <c r="AE68" s="7" t="s">
        <v>122</v>
      </c>
      <c r="AF68" s="4" t="s">
        <v>122</v>
      </c>
      <c r="AG68" s="7" t="s">
        <v>822</v>
      </c>
      <c r="AH68" s="4">
        <v>45868</v>
      </c>
      <c r="AI68" s="2" t="s">
        <v>639</v>
      </c>
      <c r="AJ68" s="2" t="s">
        <v>640</v>
      </c>
      <c r="AK68" s="4">
        <v>45869</v>
      </c>
      <c r="AL68" s="4">
        <v>45873</v>
      </c>
      <c r="AM68" s="4">
        <v>45873</v>
      </c>
      <c r="AN68" s="2">
        <f t="shared" si="18"/>
        <v>20250062</v>
      </c>
      <c r="AO68" s="4">
        <f t="shared" si="15"/>
        <v>45868</v>
      </c>
      <c r="AP68" s="16">
        <v>1016.0549999999999</v>
      </c>
      <c r="AQ68" s="8">
        <f t="shared" si="19"/>
        <v>55894.201605000002</v>
      </c>
      <c r="AR68" s="13">
        <v>5.5758000000000001</v>
      </c>
      <c r="AS68" s="19">
        <f>Tabela1[[#This Row],[TAXA]]*Tabela1[[#This Row],[VALOR TOTAL  USD]]</f>
        <v>311654.88930915901</v>
      </c>
      <c r="AT68" s="71">
        <v>14</v>
      </c>
      <c r="AU68" s="72">
        <f>Tabela1[[#This Row],[DATA NF EXP]]-Tabela1[[#This Row],[CARREGAMENTO]]</f>
        <v>9</v>
      </c>
      <c r="AV68" s="72">
        <f>Tabela1[[#This Row],[Realizado]]-Tabela1[[#This Row],[Previsto]]</f>
        <v>-5</v>
      </c>
      <c r="AW68" s="72" t="str">
        <f>IF(Tabela1[[#This Row],[Resultado]]&lt;=0,"Atendido","Não atendido")</f>
        <v>Atendido</v>
      </c>
    </row>
    <row r="69" spans="1:49" x14ac:dyDescent="0.2">
      <c r="A69" s="17" t="s">
        <v>37</v>
      </c>
      <c r="B69" s="2" t="s">
        <v>59</v>
      </c>
      <c r="C69" s="3">
        <v>20250062</v>
      </c>
      <c r="D69" s="2" t="s">
        <v>46</v>
      </c>
      <c r="E69" s="2" t="s">
        <v>44</v>
      </c>
      <c r="F69" s="2">
        <v>11475188</v>
      </c>
      <c r="G69" s="2" t="s">
        <v>524</v>
      </c>
      <c r="H69" s="2" t="s">
        <v>387</v>
      </c>
      <c r="I69" s="2" t="s">
        <v>525</v>
      </c>
      <c r="J69" s="2">
        <v>25000334583</v>
      </c>
      <c r="K69" s="2" t="s">
        <v>796</v>
      </c>
      <c r="L69" s="2" t="s">
        <v>525</v>
      </c>
      <c r="M69" s="2" t="s">
        <v>496</v>
      </c>
      <c r="N69" s="107">
        <v>2000</v>
      </c>
      <c r="O69" s="107">
        <v>4250</v>
      </c>
      <c r="P69" s="107">
        <f>Tabela1[[#This Row],[Valor anterior]]-Tabela1[[#This Row],[VALOR]]</f>
        <v>2250</v>
      </c>
      <c r="Q69" s="14" t="s">
        <v>526</v>
      </c>
      <c r="R69" s="4">
        <v>45852</v>
      </c>
      <c r="S69" s="7" t="s">
        <v>527</v>
      </c>
      <c r="T69" s="4">
        <v>45852</v>
      </c>
      <c r="U69" s="15">
        <v>10.632</v>
      </c>
      <c r="V69" s="5">
        <v>110</v>
      </c>
      <c r="W69" s="6" t="s">
        <v>43</v>
      </c>
      <c r="X69" s="15">
        <v>10.632</v>
      </c>
      <c r="Y69" s="5">
        <f>V69-X69</f>
        <v>99.367999999999995</v>
      </c>
      <c r="Z69" s="4">
        <v>45861</v>
      </c>
      <c r="AA69" s="4" t="str">
        <f>IF(Z69="","",UPPER(TEXT(Z69,"MMM")))</f>
        <v>JUL</v>
      </c>
      <c r="AB69" s="4">
        <f>Z69+14</f>
        <v>45875</v>
      </c>
      <c r="AC69" s="2">
        <v>199</v>
      </c>
      <c r="AD69" s="7" t="s">
        <v>122</v>
      </c>
      <c r="AE69" s="7" t="s">
        <v>122</v>
      </c>
      <c r="AF69" s="4" t="s">
        <v>122</v>
      </c>
      <c r="AG69" s="7" t="s">
        <v>823</v>
      </c>
      <c r="AH69" s="4">
        <v>45867</v>
      </c>
      <c r="AI69" s="2" t="s">
        <v>639</v>
      </c>
      <c r="AJ69" s="2" t="s">
        <v>640</v>
      </c>
      <c r="AK69" s="4">
        <v>45869</v>
      </c>
      <c r="AL69" s="4">
        <v>45873</v>
      </c>
      <c r="AM69" s="4">
        <v>45873</v>
      </c>
      <c r="AN69" s="2">
        <f>C69</f>
        <v>20250062</v>
      </c>
      <c r="AO69" s="4">
        <f>AH69</f>
        <v>45867</v>
      </c>
      <c r="AP69" s="16">
        <v>1013.9904</v>
      </c>
      <c r="AQ69" s="8">
        <f>X69*AP69</f>
        <v>10780.7459328</v>
      </c>
      <c r="AR69" s="13">
        <v>5.5871000000000004</v>
      </c>
      <c r="AS69" s="19">
        <f>Tabela1[[#This Row],[TAXA]]*Tabela1[[#This Row],[VALOR TOTAL  USD]]</f>
        <v>60233.10560114689</v>
      </c>
      <c r="AT69" s="71">
        <v>14</v>
      </c>
      <c r="AU69" s="72">
        <f>Tabela1[[#This Row],[DATA NF EXP]]-Tabela1[[#This Row],[CARREGAMENTO]]</f>
        <v>6</v>
      </c>
      <c r="AV69" s="72">
        <f>Tabela1[[#This Row],[Realizado]]-Tabela1[[#This Row],[Previsto]]</f>
        <v>-8</v>
      </c>
      <c r="AW69" s="72" t="str">
        <f>IF(Tabela1[[#This Row],[Resultado]]&lt;=0,"Atendido","Não atendido")</f>
        <v>Atendido</v>
      </c>
    </row>
    <row r="70" spans="1:49" x14ac:dyDescent="0.2">
      <c r="A70" s="17" t="s">
        <v>37</v>
      </c>
      <c r="B70" s="2" t="s">
        <v>59</v>
      </c>
      <c r="C70" s="3">
        <v>20250063</v>
      </c>
      <c r="D70" s="2" t="s">
        <v>38</v>
      </c>
      <c r="E70" s="2" t="s">
        <v>44</v>
      </c>
      <c r="F70" s="2">
        <v>9352597</v>
      </c>
      <c r="G70" s="2" t="s">
        <v>523</v>
      </c>
      <c r="H70" s="2" t="s">
        <v>391</v>
      </c>
      <c r="I70" s="2" t="s">
        <v>414</v>
      </c>
      <c r="J70" s="2">
        <v>25000320094</v>
      </c>
      <c r="K70" s="2" t="s">
        <v>41</v>
      </c>
      <c r="L70" s="2" t="s">
        <v>47</v>
      </c>
      <c r="M70" s="2" t="s">
        <v>496</v>
      </c>
      <c r="N70" s="107">
        <v>2000</v>
      </c>
      <c r="O70" s="107">
        <v>4250</v>
      </c>
      <c r="P70" s="107">
        <f>Tabela1[[#This Row],[Valor anterior]]-Tabela1[[#This Row],[VALOR]]</f>
        <v>2250</v>
      </c>
      <c r="Q70" s="14" t="s">
        <v>547</v>
      </c>
      <c r="R70" s="4">
        <v>45853</v>
      </c>
      <c r="S70" s="7" t="s">
        <v>548</v>
      </c>
      <c r="T70" s="4">
        <v>45854</v>
      </c>
      <c r="U70" s="5">
        <v>170</v>
      </c>
      <c r="V70" s="5">
        <v>250</v>
      </c>
      <c r="W70" s="6" t="s">
        <v>43</v>
      </c>
      <c r="X70" s="15">
        <v>165.89400000000001</v>
      </c>
      <c r="Y70" s="5">
        <f t="shared" si="16"/>
        <v>84.105999999999995</v>
      </c>
      <c r="Z70" s="4">
        <v>45861</v>
      </c>
      <c r="AA70" s="4" t="str">
        <f t="shared" si="17"/>
        <v>JUL</v>
      </c>
      <c r="AB70" s="4">
        <f t="shared" si="14"/>
        <v>45875</v>
      </c>
      <c r="AC70" s="2">
        <v>197</v>
      </c>
      <c r="AD70" s="7" t="s">
        <v>122</v>
      </c>
      <c r="AE70" s="7" t="s">
        <v>122</v>
      </c>
      <c r="AF70" s="4" t="s">
        <v>122</v>
      </c>
      <c r="AG70" s="7" t="s">
        <v>686</v>
      </c>
      <c r="AH70" s="4">
        <v>45868</v>
      </c>
      <c r="AI70" s="2" t="s">
        <v>805</v>
      </c>
      <c r="AJ70" s="2" t="s">
        <v>806</v>
      </c>
      <c r="AK70" s="4">
        <v>45873</v>
      </c>
      <c r="AL70" s="4">
        <v>45876</v>
      </c>
      <c r="AM70" s="4">
        <v>45876</v>
      </c>
      <c r="AN70" s="2">
        <f t="shared" si="18"/>
        <v>20250063</v>
      </c>
      <c r="AO70" s="4">
        <f t="shared" si="15"/>
        <v>45868</v>
      </c>
      <c r="AP70" s="16">
        <v>607</v>
      </c>
      <c r="AQ70" s="8">
        <f t="shared" si="19"/>
        <v>100697.65800000001</v>
      </c>
      <c r="AR70" s="13">
        <v>5.5758000000000001</v>
      </c>
      <c r="AS70" s="19">
        <f>Tabela1[[#This Row],[TAXA]]*Tabela1[[#This Row],[VALOR TOTAL  USD]]</f>
        <v>561470.00147640007</v>
      </c>
      <c r="AT70" s="71">
        <v>14</v>
      </c>
      <c r="AU70" s="72">
        <f>Tabela1[[#This Row],[DATA NF EXP]]-Tabela1[[#This Row],[CARREGAMENTO]]</f>
        <v>7</v>
      </c>
      <c r="AV70" s="72">
        <f>Tabela1[[#This Row],[Realizado]]-Tabela1[[#This Row],[Previsto]]</f>
        <v>-7</v>
      </c>
      <c r="AW70" s="72" t="str">
        <f>IF(Tabela1[[#This Row],[Resultado]]&lt;=0,"Atendido","Não atendido")</f>
        <v>Atendido</v>
      </c>
    </row>
    <row r="71" spans="1:49" x14ac:dyDescent="0.2">
      <c r="A71" s="17" t="s">
        <v>37</v>
      </c>
      <c r="B71" s="2" t="s">
        <v>59</v>
      </c>
      <c r="C71" s="3">
        <v>20250064</v>
      </c>
      <c r="D71" s="2" t="s">
        <v>46</v>
      </c>
      <c r="E71" s="2" t="s">
        <v>44</v>
      </c>
      <c r="F71" s="2">
        <v>11475188</v>
      </c>
      <c r="G71" s="2" t="s">
        <v>386</v>
      </c>
      <c r="H71" s="2" t="s">
        <v>387</v>
      </c>
      <c r="I71" s="2" t="s">
        <v>53</v>
      </c>
      <c r="J71" s="2">
        <v>25000349262</v>
      </c>
      <c r="K71" s="2" t="s">
        <v>796</v>
      </c>
      <c r="L71" s="2" t="s">
        <v>53</v>
      </c>
      <c r="M71" s="2" t="s">
        <v>496</v>
      </c>
      <c r="N71" s="107">
        <v>2000</v>
      </c>
      <c r="O71" s="107">
        <v>4250</v>
      </c>
      <c r="P71" s="107">
        <f>Tabela1[[#This Row],[Valor anterior]]-Tabela1[[#This Row],[VALOR]]</f>
        <v>2250</v>
      </c>
      <c r="Q71" s="14" t="s">
        <v>549</v>
      </c>
      <c r="R71" s="4">
        <v>45859</v>
      </c>
      <c r="S71" s="7" t="s">
        <v>550</v>
      </c>
      <c r="T71" s="4">
        <v>45860</v>
      </c>
      <c r="U71" s="5">
        <v>100</v>
      </c>
      <c r="V71" s="5">
        <v>150</v>
      </c>
      <c r="W71" s="6" t="s">
        <v>43</v>
      </c>
      <c r="X71" s="15">
        <v>81.786000000000001</v>
      </c>
      <c r="Y71" s="5">
        <f t="shared" si="16"/>
        <v>68.213999999999999</v>
      </c>
      <c r="Z71" s="4">
        <v>45860</v>
      </c>
      <c r="AA71" s="4" t="str">
        <f t="shared" si="17"/>
        <v>JUL</v>
      </c>
      <c r="AB71" s="4">
        <f t="shared" si="14"/>
        <v>45874</v>
      </c>
      <c r="AC71" s="2">
        <v>198</v>
      </c>
      <c r="AD71" s="7" t="s">
        <v>122</v>
      </c>
      <c r="AE71" s="7" t="s">
        <v>122</v>
      </c>
      <c r="AF71" s="4" t="s">
        <v>122</v>
      </c>
      <c r="AG71" s="7" t="s">
        <v>643</v>
      </c>
      <c r="AH71" s="4">
        <v>45869</v>
      </c>
      <c r="AI71" s="2" t="s">
        <v>641</v>
      </c>
      <c r="AJ71" s="2" t="s">
        <v>642</v>
      </c>
      <c r="AK71" s="4">
        <v>45870</v>
      </c>
      <c r="AL71" s="4">
        <v>45872</v>
      </c>
      <c r="AM71" s="4">
        <v>45872</v>
      </c>
      <c r="AN71" s="2">
        <f t="shared" si="18"/>
        <v>20250064</v>
      </c>
      <c r="AO71" s="4">
        <f t="shared" si="15"/>
        <v>45869</v>
      </c>
      <c r="AP71" s="16">
        <v>1050.73</v>
      </c>
      <c r="AQ71" s="8">
        <f t="shared" si="19"/>
        <v>85935.003779999999</v>
      </c>
      <c r="AR71" s="13">
        <v>5.6028000000000002</v>
      </c>
      <c r="AS71" s="19">
        <f>Tabela1[[#This Row],[TAXA]]*Tabela1[[#This Row],[VALOR TOTAL  USD]]</f>
        <v>481476.63917858404</v>
      </c>
      <c r="AT71" s="71">
        <v>14</v>
      </c>
      <c r="AU71" s="72">
        <f>Tabela1[[#This Row],[DATA NF EXP]]-Tabela1[[#This Row],[CARREGAMENTO]]</f>
        <v>9</v>
      </c>
      <c r="AV71" s="72">
        <f>Tabela1[[#This Row],[Realizado]]-Tabela1[[#This Row],[Previsto]]</f>
        <v>-5</v>
      </c>
      <c r="AW71" s="72" t="str">
        <f>IF(Tabela1[[#This Row],[Resultado]]&lt;=0,"Atendido","Não atendido")</f>
        <v>Atendido</v>
      </c>
    </row>
    <row r="72" spans="1:49" x14ac:dyDescent="0.2">
      <c r="A72" s="17" t="s">
        <v>37</v>
      </c>
      <c r="B72" s="2" t="s">
        <v>59</v>
      </c>
      <c r="C72" s="3">
        <v>20250065</v>
      </c>
      <c r="D72" s="2" t="s">
        <v>38</v>
      </c>
      <c r="E72" s="2" t="s">
        <v>44</v>
      </c>
      <c r="F72" s="2">
        <v>9450765</v>
      </c>
      <c r="G72" s="2" t="s">
        <v>551</v>
      </c>
      <c r="H72" s="2" t="s">
        <v>552</v>
      </c>
      <c r="I72" s="2" t="s">
        <v>187</v>
      </c>
      <c r="J72" s="2">
        <v>25000351062</v>
      </c>
      <c r="K72" s="2" t="s">
        <v>159</v>
      </c>
      <c r="L72" s="2" t="s">
        <v>553</v>
      </c>
      <c r="M72" s="2" t="s">
        <v>496</v>
      </c>
      <c r="N72" s="107">
        <v>2000</v>
      </c>
      <c r="O72" s="107">
        <v>4250</v>
      </c>
      <c r="P72" s="107">
        <f>Tabela1[[#This Row],[Valor anterior]]-Tabela1[[#This Row],[VALOR]]</f>
        <v>2250</v>
      </c>
      <c r="Q72" s="14" t="s">
        <v>554</v>
      </c>
      <c r="R72" s="4">
        <v>45859</v>
      </c>
      <c r="S72" s="7" t="s">
        <v>560</v>
      </c>
      <c r="T72" s="4">
        <v>45861</v>
      </c>
      <c r="U72" s="5">
        <v>650</v>
      </c>
      <c r="V72" s="5">
        <v>1000</v>
      </c>
      <c r="W72" s="6" t="s">
        <v>43</v>
      </c>
      <c r="X72" s="15">
        <v>676.38</v>
      </c>
      <c r="Y72" s="5">
        <f t="shared" si="16"/>
        <v>323.62</v>
      </c>
      <c r="Z72" s="4">
        <v>45868</v>
      </c>
      <c r="AA72" s="4" t="str">
        <f t="shared" si="17"/>
        <v>JUL</v>
      </c>
      <c r="AB72" s="4">
        <f t="shared" si="14"/>
        <v>45882</v>
      </c>
      <c r="AC72" s="2">
        <v>200</v>
      </c>
      <c r="AD72" s="7" t="s">
        <v>122</v>
      </c>
      <c r="AE72" s="7" t="s">
        <v>122</v>
      </c>
      <c r="AF72" s="4" t="s">
        <v>122</v>
      </c>
      <c r="AG72" s="7" t="s">
        <v>644</v>
      </c>
      <c r="AH72" s="4">
        <v>45869</v>
      </c>
      <c r="AI72" s="7" t="s">
        <v>807</v>
      </c>
      <c r="AJ72" s="2" t="s">
        <v>808</v>
      </c>
      <c r="AK72" s="4">
        <v>45884</v>
      </c>
      <c r="AL72" s="4">
        <v>45884</v>
      </c>
      <c r="AM72" s="4">
        <v>45884</v>
      </c>
      <c r="AN72" s="2">
        <f t="shared" si="18"/>
        <v>20250065</v>
      </c>
      <c r="AO72" s="4">
        <f t="shared" si="15"/>
        <v>45869</v>
      </c>
      <c r="AP72" s="16">
        <v>623</v>
      </c>
      <c r="AQ72" s="8">
        <f t="shared" si="19"/>
        <v>421384.74</v>
      </c>
      <c r="AR72" s="13">
        <v>5.6028000000000002</v>
      </c>
      <c r="AS72" s="19">
        <f>Tabela1[[#This Row],[TAXA]]*Tabela1[[#This Row],[VALOR TOTAL  USD]]</f>
        <v>2360934.4212719998</v>
      </c>
      <c r="AT72" s="71">
        <v>14</v>
      </c>
      <c r="AU72" s="72">
        <f>Tabela1[[#This Row],[DATA NF EXP]]-Tabela1[[#This Row],[CARREGAMENTO]]</f>
        <v>1</v>
      </c>
      <c r="AV72" s="72">
        <f>Tabela1[[#This Row],[Realizado]]-Tabela1[[#This Row],[Previsto]]</f>
        <v>-13</v>
      </c>
      <c r="AW72" s="72" t="str">
        <f>IF(Tabela1[[#This Row],[Resultado]]&lt;=0,"Atendido","Não atendido")</f>
        <v>Atendido</v>
      </c>
    </row>
    <row r="73" spans="1:49" x14ac:dyDescent="0.2">
      <c r="A73" s="17" t="s">
        <v>37</v>
      </c>
      <c r="B73" s="2" t="s">
        <v>59</v>
      </c>
      <c r="C73" s="3">
        <v>20250066</v>
      </c>
      <c r="D73" s="2" t="s">
        <v>38</v>
      </c>
      <c r="E73" s="2" t="s">
        <v>44</v>
      </c>
      <c r="F73" s="2">
        <v>9497086</v>
      </c>
      <c r="G73" s="2" t="s">
        <v>555</v>
      </c>
      <c r="H73" s="2" t="s">
        <v>552</v>
      </c>
      <c r="I73" s="2" t="s">
        <v>558</v>
      </c>
      <c r="J73" s="2">
        <v>25000361025</v>
      </c>
      <c r="K73" s="2" t="s">
        <v>159</v>
      </c>
      <c r="L73" s="2" t="s">
        <v>45</v>
      </c>
      <c r="M73" s="2" t="s">
        <v>496</v>
      </c>
      <c r="N73" s="107">
        <v>2000</v>
      </c>
      <c r="O73" s="107">
        <v>4250</v>
      </c>
      <c r="P73" s="107">
        <f>Tabela1[[#This Row],[Valor anterior]]-Tabela1[[#This Row],[VALOR]]</f>
        <v>2250</v>
      </c>
      <c r="Q73" s="14" t="s">
        <v>559</v>
      </c>
      <c r="R73" s="4">
        <v>45861</v>
      </c>
      <c r="S73" s="7" t="s">
        <v>645</v>
      </c>
      <c r="T73" s="4">
        <v>45868</v>
      </c>
      <c r="U73" s="5">
        <v>200</v>
      </c>
      <c r="V73" s="5">
        <v>400</v>
      </c>
      <c r="W73" s="6" t="s">
        <v>43</v>
      </c>
      <c r="X73" s="15">
        <v>171.15799999999999</v>
      </c>
      <c r="Y73" s="5">
        <f t="shared" si="16"/>
        <v>228.84200000000001</v>
      </c>
      <c r="Z73" s="4">
        <v>45873</v>
      </c>
      <c r="AA73" s="4" t="str">
        <f t="shared" si="17"/>
        <v>AGO</v>
      </c>
      <c r="AB73" s="4">
        <f t="shared" si="14"/>
        <v>45887</v>
      </c>
      <c r="AC73" s="2">
        <v>201</v>
      </c>
      <c r="AD73" s="7" t="s">
        <v>122</v>
      </c>
      <c r="AE73" s="7" t="s">
        <v>122</v>
      </c>
      <c r="AF73" s="4" t="s">
        <v>122</v>
      </c>
      <c r="AG73" s="7" t="s">
        <v>649</v>
      </c>
      <c r="AH73" s="4">
        <v>45884</v>
      </c>
      <c r="AI73" s="2" t="s">
        <v>647</v>
      </c>
      <c r="AJ73" s="2" t="s">
        <v>648</v>
      </c>
      <c r="AK73" s="4">
        <v>45888</v>
      </c>
      <c r="AL73" s="4">
        <v>45891</v>
      </c>
      <c r="AM73" s="4">
        <v>45891</v>
      </c>
      <c r="AN73" s="2">
        <f t="shared" si="18"/>
        <v>20250066</v>
      </c>
      <c r="AO73" s="4">
        <f t="shared" si="15"/>
        <v>45884</v>
      </c>
      <c r="AP73" s="16">
        <v>678</v>
      </c>
      <c r="AQ73" s="8">
        <f t="shared" si="19"/>
        <v>116045.124</v>
      </c>
      <c r="AR73" s="13">
        <v>5.4089</v>
      </c>
      <c r="AS73" s="19">
        <f>Tabela1[[#This Row],[TAXA]]*Tabela1[[#This Row],[VALOR TOTAL  USD]]</f>
        <v>627676.47120359994</v>
      </c>
      <c r="AT73" s="71">
        <v>14</v>
      </c>
      <c r="AU73" s="72">
        <f>Tabela1[[#This Row],[DATA NF EXP]]-Tabela1[[#This Row],[CARREGAMENTO]]</f>
        <v>11</v>
      </c>
      <c r="AV73" s="72">
        <f>Tabela1[[#This Row],[Realizado]]-Tabela1[[#This Row],[Previsto]]</f>
        <v>-3</v>
      </c>
      <c r="AW73" s="72" t="str">
        <f>IF(Tabela1[[#This Row],[Resultado]]&lt;=0,"Atendido","Não atendido")</f>
        <v>Atendido</v>
      </c>
    </row>
    <row r="74" spans="1:49" x14ac:dyDescent="0.2">
      <c r="A74" s="17" t="s">
        <v>37</v>
      </c>
      <c r="B74" s="2" t="s">
        <v>59</v>
      </c>
      <c r="C74" s="3">
        <v>20250067</v>
      </c>
      <c r="D74" s="2" t="s">
        <v>46</v>
      </c>
      <c r="E74" s="2" t="s">
        <v>44</v>
      </c>
      <c r="F74" s="2">
        <v>11474866</v>
      </c>
      <c r="G74" s="2" t="s">
        <v>556</v>
      </c>
      <c r="H74" s="2" t="s">
        <v>387</v>
      </c>
      <c r="I74" s="2" t="s">
        <v>53</v>
      </c>
      <c r="J74" s="2">
        <v>25000371187</v>
      </c>
      <c r="K74" s="2" t="s">
        <v>796</v>
      </c>
      <c r="L74" s="2" t="s">
        <v>53</v>
      </c>
      <c r="M74" s="2" t="s">
        <v>496</v>
      </c>
      <c r="N74" s="107">
        <v>2000</v>
      </c>
      <c r="O74" s="107">
        <v>4250</v>
      </c>
      <c r="P74" s="107">
        <f>Tabela1[[#This Row],[Valor anterior]]-Tabela1[[#This Row],[VALOR]]</f>
        <v>2250</v>
      </c>
      <c r="Q74" s="14" t="s">
        <v>561</v>
      </c>
      <c r="R74" s="4">
        <v>45870</v>
      </c>
      <c r="S74" s="7" t="s">
        <v>646</v>
      </c>
      <c r="T74" s="4">
        <v>45873</v>
      </c>
      <c r="U74" s="5">
        <v>100</v>
      </c>
      <c r="V74" s="5">
        <v>150</v>
      </c>
      <c r="W74" s="6" t="s">
        <v>43</v>
      </c>
      <c r="X74" s="15">
        <v>82.066000000000003</v>
      </c>
      <c r="Y74" s="5">
        <f t="shared" si="16"/>
        <v>67.933999999999997</v>
      </c>
      <c r="Z74" s="4">
        <v>45873</v>
      </c>
      <c r="AA74" s="4" t="str">
        <f t="shared" si="17"/>
        <v>AGO</v>
      </c>
      <c r="AB74" s="4">
        <f t="shared" si="14"/>
        <v>45887</v>
      </c>
      <c r="AC74" s="2">
        <v>202</v>
      </c>
      <c r="AD74" s="7" t="s">
        <v>122</v>
      </c>
      <c r="AE74" s="7" t="s">
        <v>122</v>
      </c>
      <c r="AF74" s="4" t="s">
        <v>122</v>
      </c>
      <c r="AG74" s="7" t="s">
        <v>650</v>
      </c>
      <c r="AH74" s="4">
        <v>45888</v>
      </c>
      <c r="AI74" s="2" t="s">
        <v>651</v>
      </c>
      <c r="AJ74" s="2" t="s">
        <v>652</v>
      </c>
      <c r="AK74" s="4">
        <v>45888</v>
      </c>
      <c r="AL74" s="4">
        <v>45890</v>
      </c>
      <c r="AM74" s="4">
        <v>45890</v>
      </c>
      <c r="AN74" s="2">
        <f t="shared" si="18"/>
        <v>20250067</v>
      </c>
      <c r="AO74" s="4">
        <f t="shared" si="15"/>
        <v>45888</v>
      </c>
      <c r="AP74" s="16">
        <v>900.01840000000004</v>
      </c>
      <c r="AQ74" s="8">
        <f t="shared" si="19"/>
        <v>73860.910014400011</v>
      </c>
      <c r="AR74" s="13">
        <v>5.4149000000000003</v>
      </c>
      <c r="AS74" s="19">
        <f>Tabela1[[#This Row],[TAXA]]*Tabela1[[#This Row],[VALOR TOTAL  USD]]</f>
        <v>399949.44163697463</v>
      </c>
      <c r="AT74" s="71">
        <v>14</v>
      </c>
      <c r="AU74" s="72">
        <f>Tabela1[[#This Row],[DATA NF EXP]]-Tabela1[[#This Row],[CARREGAMENTO]]</f>
        <v>15</v>
      </c>
      <c r="AV74" s="72">
        <f>Tabela1[[#This Row],[Realizado]]-Tabela1[[#This Row],[Previsto]]</f>
        <v>1</v>
      </c>
      <c r="AW74" s="72" t="str">
        <f>IF(Tabela1[[#This Row],[Resultado]]&lt;=0,"Atendido","Não atendido")</f>
        <v>Não atendido</v>
      </c>
    </row>
    <row r="75" spans="1:49" x14ac:dyDescent="0.2">
      <c r="A75" s="17" t="s">
        <v>37</v>
      </c>
      <c r="B75" s="2" t="s">
        <v>59</v>
      </c>
      <c r="C75" s="3">
        <v>20250068</v>
      </c>
      <c r="D75" s="2" t="s">
        <v>46</v>
      </c>
      <c r="E75" s="2" t="s">
        <v>39</v>
      </c>
      <c r="F75" s="2">
        <v>9341794</v>
      </c>
      <c r="G75" s="2" t="s">
        <v>90</v>
      </c>
      <c r="H75" s="2" t="s">
        <v>82</v>
      </c>
      <c r="I75" s="2" t="s">
        <v>89</v>
      </c>
      <c r="J75" s="2">
        <v>25000347774</v>
      </c>
      <c r="K75" s="2" t="s">
        <v>161</v>
      </c>
      <c r="L75" s="2" t="s">
        <v>91</v>
      </c>
      <c r="M75" s="2" t="s">
        <v>496</v>
      </c>
      <c r="N75" s="107">
        <v>2000</v>
      </c>
      <c r="O75" s="107">
        <v>4250</v>
      </c>
      <c r="P75" s="107">
        <f>Tabela1[[#This Row],[Valor anterior]]-Tabela1[[#This Row],[VALOR]]</f>
        <v>2250</v>
      </c>
      <c r="Q75" s="14" t="s">
        <v>603</v>
      </c>
      <c r="R75" s="4">
        <v>45870</v>
      </c>
      <c r="S75" s="7" t="s">
        <v>592</v>
      </c>
      <c r="T75" s="4">
        <v>45874</v>
      </c>
      <c r="U75" s="5">
        <v>60</v>
      </c>
      <c r="V75" s="5">
        <v>100</v>
      </c>
      <c r="W75" s="6" t="s">
        <v>43</v>
      </c>
      <c r="X75" s="15">
        <v>56.585999999999999</v>
      </c>
      <c r="Y75" s="5">
        <f t="shared" si="16"/>
        <v>43.414000000000001</v>
      </c>
      <c r="Z75" s="4">
        <v>45875</v>
      </c>
      <c r="AA75" s="4" t="str">
        <f t="shared" si="17"/>
        <v>AGO</v>
      </c>
      <c r="AB75" s="4">
        <f t="shared" si="14"/>
        <v>45889</v>
      </c>
      <c r="AC75" s="2">
        <v>203</v>
      </c>
      <c r="AD75" s="7" t="s">
        <v>122</v>
      </c>
      <c r="AE75" s="7" t="s">
        <v>122</v>
      </c>
      <c r="AF75" s="4" t="s">
        <v>122</v>
      </c>
      <c r="AG75" s="7" t="s">
        <v>122</v>
      </c>
      <c r="AH75" s="4" t="s">
        <v>122</v>
      </c>
      <c r="AI75" s="2" t="s">
        <v>122</v>
      </c>
      <c r="AJ75" s="2" t="s">
        <v>122</v>
      </c>
      <c r="AK75" s="4" t="s">
        <v>122</v>
      </c>
      <c r="AL75" s="4" t="s">
        <v>122</v>
      </c>
      <c r="AM75" s="4" t="s">
        <v>122</v>
      </c>
      <c r="AN75" s="2">
        <f t="shared" si="18"/>
        <v>20250068</v>
      </c>
      <c r="AO75" s="4" t="str">
        <f t="shared" si="15"/>
        <v>NA</v>
      </c>
      <c r="AP75" s="16">
        <v>865</v>
      </c>
      <c r="AQ75" s="8">
        <f t="shared" si="19"/>
        <v>48946.89</v>
      </c>
      <c r="AR75" s="13">
        <v>0</v>
      </c>
      <c r="AS75" s="19">
        <f>Tabela1[[#This Row],[TAXA]]*Tabela1[[#This Row],[VALOR TOTAL  USD]]</f>
        <v>0</v>
      </c>
      <c r="AT75" s="71">
        <v>14</v>
      </c>
      <c r="AU75" s="72" t="e">
        <f>Tabela1[[#This Row],[DATA NF EXP]]-Tabela1[[#This Row],[CARREGAMENTO]]</f>
        <v>#VALUE!</v>
      </c>
      <c r="AV75" s="72" t="e">
        <f>Tabela1[[#This Row],[Realizado]]-Tabela1[[#This Row],[Previsto]]</f>
        <v>#VALUE!</v>
      </c>
      <c r="AW75" s="72" t="e">
        <f>IF(Tabela1[[#This Row],[Resultado]]&lt;=0,"Atendido","Não atendido")</f>
        <v>#VALUE!</v>
      </c>
    </row>
    <row r="76" spans="1:49" x14ac:dyDescent="0.2">
      <c r="A76" s="17" t="s">
        <v>37</v>
      </c>
      <c r="B76" s="2" t="s">
        <v>59</v>
      </c>
      <c r="C76" s="3">
        <v>20250069</v>
      </c>
      <c r="D76" s="2" t="s">
        <v>38</v>
      </c>
      <c r="E76" s="2" t="s">
        <v>39</v>
      </c>
      <c r="F76" s="2">
        <v>9341794</v>
      </c>
      <c r="G76" s="2" t="s">
        <v>90</v>
      </c>
      <c r="H76" s="2" t="s">
        <v>82</v>
      </c>
      <c r="I76" s="2" t="s">
        <v>89</v>
      </c>
      <c r="J76" s="2">
        <v>25000347774</v>
      </c>
      <c r="K76" s="2" t="s">
        <v>161</v>
      </c>
      <c r="L76" s="2" t="s">
        <v>91</v>
      </c>
      <c r="M76" s="2" t="s">
        <v>496</v>
      </c>
      <c r="N76" s="107">
        <v>2000</v>
      </c>
      <c r="O76" s="107">
        <v>4250</v>
      </c>
      <c r="P76" s="107">
        <f>Tabela1[[#This Row],[Valor anterior]]-Tabela1[[#This Row],[VALOR]]</f>
        <v>2250</v>
      </c>
      <c r="Q76" s="14" t="s">
        <v>605</v>
      </c>
      <c r="R76" s="4">
        <v>45870</v>
      </c>
      <c r="S76" s="7" t="s">
        <v>604</v>
      </c>
      <c r="T76" s="4">
        <v>45874</v>
      </c>
      <c r="U76" s="5">
        <v>330</v>
      </c>
      <c r="V76" s="5">
        <v>400</v>
      </c>
      <c r="W76" s="6" t="s">
        <v>43</v>
      </c>
      <c r="X76" s="15">
        <v>329.93299999999999</v>
      </c>
      <c r="Y76" s="5">
        <f t="shared" si="16"/>
        <v>70.067000000000007</v>
      </c>
      <c r="Z76" s="4">
        <v>45875</v>
      </c>
      <c r="AA76" s="4" t="str">
        <f t="shared" si="17"/>
        <v>AGO</v>
      </c>
      <c r="AB76" s="4">
        <f t="shared" si="14"/>
        <v>45889</v>
      </c>
      <c r="AC76" s="2">
        <v>204</v>
      </c>
      <c r="AD76" s="7" t="s">
        <v>122</v>
      </c>
      <c r="AE76" s="7" t="s">
        <v>122</v>
      </c>
      <c r="AF76" s="4" t="s">
        <v>122</v>
      </c>
      <c r="AG76" s="7" t="s">
        <v>122</v>
      </c>
      <c r="AH76" s="4" t="s">
        <v>122</v>
      </c>
      <c r="AI76" s="2" t="s">
        <v>122</v>
      </c>
      <c r="AJ76" s="2" t="s">
        <v>122</v>
      </c>
      <c r="AK76" s="4" t="s">
        <v>122</v>
      </c>
      <c r="AL76" s="4" t="s">
        <v>122</v>
      </c>
      <c r="AM76" s="4" t="s">
        <v>122</v>
      </c>
      <c r="AN76" s="2">
        <f t="shared" si="18"/>
        <v>20250069</v>
      </c>
      <c r="AO76" s="4" t="str">
        <f t="shared" si="15"/>
        <v>NA</v>
      </c>
      <c r="AP76" s="16">
        <v>550</v>
      </c>
      <c r="AQ76" s="8">
        <f t="shared" si="19"/>
        <v>181463.15</v>
      </c>
      <c r="AR76" s="13">
        <v>0</v>
      </c>
      <c r="AS76" s="19">
        <f>Tabela1[[#This Row],[TAXA]]*Tabela1[[#This Row],[VALOR TOTAL  USD]]</f>
        <v>0</v>
      </c>
      <c r="AT76" s="71">
        <v>14</v>
      </c>
      <c r="AU76" s="72" t="e">
        <f>Tabela1[[#This Row],[DATA NF EXP]]-Tabela1[[#This Row],[CARREGAMENTO]]</f>
        <v>#VALUE!</v>
      </c>
      <c r="AV76" s="72" t="e">
        <f>Tabela1[[#This Row],[Realizado]]-Tabela1[[#This Row],[Previsto]]</f>
        <v>#VALUE!</v>
      </c>
      <c r="AW76" s="72" t="e">
        <f>IF(Tabela1[[#This Row],[Resultado]]&lt;=0,"Atendido","Não atendido")</f>
        <v>#VALUE!</v>
      </c>
    </row>
    <row r="77" spans="1:49" x14ac:dyDescent="0.2">
      <c r="A77" s="17" t="s">
        <v>37</v>
      </c>
      <c r="B77" s="2" t="s">
        <v>59</v>
      </c>
      <c r="C77" s="3">
        <v>20250072</v>
      </c>
      <c r="D77" s="2" t="s">
        <v>46</v>
      </c>
      <c r="E77" s="2" t="s">
        <v>44</v>
      </c>
      <c r="F77" s="2">
        <v>11436476</v>
      </c>
      <c r="G77" s="2" t="s">
        <v>576</v>
      </c>
      <c r="H77" s="2" t="s">
        <v>391</v>
      </c>
      <c r="I77" s="2" t="s">
        <v>392</v>
      </c>
      <c r="J77" s="2">
        <v>25000374046</v>
      </c>
      <c r="K77" s="2" t="s">
        <v>796</v>
      </c>
      <c r="L77" s="2" t="s">
        <v>392</v>
      </c>
      <c r="M77" s="2" t="s">
        <v>496</v>
      </c>
      <c r="N77" s="107">
        <v>2000</v>
      </c>
      <c r="O77" s="107">
        <v>4250</v>
      </c>
      <c r="P77" s="107">
        <f>Tabela1[[#This Row],[Valor anterior]]-Tabela1[[#This Row],[VALOR]]</f>
        <v>2250</v>
      </c>
      <c r="Q77" s="14" t="s">
        <v>581</v>
      </c>
      <c r="R77" s="4">
        <v>45881</v>
      </c>
      <c r="S77" s="7" t="s">
        <v>580</v>
      </c>
      <c r="T77" s="4">
        <v>45883</v>
      </c>
      <c r="U77" s="5">
        <v>180</v>
      </c>
      <c r="V77" s="5">
        <v>200</v>
      </c>
      <c r="W77" s="6" t="s">
        <v>43</v>
      </c>
      <c r="X77" s="15">
        <v>147.541</v>
      </c>
      <c r="Y77" s="5">
        <f t="shared" si="16"/>
        <v>52.459000000000003</v>
      </c>
      <c r="Z77" s="4">
        <v>45887</v>
      </c>
      <c r="AA77" s="4" t="str">
        <f t="shared" si="17"/>
        <v>AGO</v>
      </c>
      <c r="AB77" s="4">
        <f t="shared" si="14"/>
        <v>45901</v>
      </c>
      <c r="AC77" s="2">
        <v>206</v>
      </c>
      <c r="AD77" s="7" t="s">
        <v>122</v>
      </c>
      <c r="AE77" s="7" t="s">
        <v>122</v>
      </c>
      <c r="AF77" s="4" t="s">
        <v>122</v>
      </c>
      <c r="AG77" s="7" t="s">
        <v>689</v>
      </c>
      <c r="AH77" s="4">
        <v>45889</v>
      </c>
      <c r="AI77" s="2" t="s">
        <v>610</v>
      </c>
      <c r="AJ77" s="2" t="s">
        <v>611</v>
      </c>
      <c r="AK77" s="4">
        <v>45898</v>
      </c>
      <c r="AL77" s="4">
        <v>45901</v>
      </c>
      <c r="AM77" s="4">
        <v>45901</v>
      </c>
      <c r="AN77" s="2">
        <f t="shared" si="18"/>
        <v>20250072</v>
      </c>
      <c r="AO77" s="4">
        <f t="shared" si="15"/>
        <v>45889</v>
      </c>
      <c r="AP77" s="16">
        <v>1041.3810000000001</v>
      </c>
      <c r="AQ77" s="8">
        <f t="shared" si="19"/>
        <v>153646.39412100002</v>
      </c>
      <c r="AR77" s="13">
        <v>5.4710000000000001</v>
      </c>
      <c r="AS77" s="19">
        <f>Tabela1[[#This Row],[TAXA]]*Tabela1[[#This Row],[VALOR TOTAL  USD]]</f>
        <v>840599.42223599111</v>
      </c>
      <c r="AT77" s="71">
        <v>14</v>
      </c>
      <c r="AU77" s="72">
        <f>Tabela1[[#This Row],[DATA NF EXP]]-Tabela1[[#This Row],[CARREGAMENTO]]</f>
        <v>2</v>
      </c>
      <c r="AV77" s="72">
        <f>Tabela1[[#This Row],[Realizado]]-Tabela1[[#This Row],[Previsto]]</f>
        <v>-12</v>
      </c>
      <c r="AW77" s="72" t="str">
        <f>IF(Tabela1[[#This Row],[Resultado]]&lt;=0,"Atendido","Não atendido")</f>
        <v>Atendido</v>
      </c>
    </row>
    <row r="78" spans="1:49" x14ac:dyDescent="0.2">
      <c r="A78" s="17" t="s">
        <v>37</v>
      </c>
      <c r="B78" s="2" t="s">
        <v>59</v>
      </c>
      <c r="C78" s="3">
        <v>20250071</v>
      </c>
      <c r="D78" s="2" t="s">
        <v>46</v>
      </c>
      <c r="E78" s="2" t="s">
        <v>44</v>
      </c>
      <c r="F78" s="2">
        <v>11471417</v>
      </c>
      <c r="G78" s="2" t="s">
        <v>490</v>
      </c>
      <c r="H78" s="2" t="s">
        <v>387</v>
      </c>
      <c r="I78" s="2" t="s">
        <v>53</v>
      </c>
      <c r="J78" s="2">
        <v>25000389906</v>
      </c>
      <c r="K78" s="2" t="s">
        <v>796</v>
      </c>
      <c r="L78" s="2" t="s">
        <v>53</v>
      </c>
      <c r="M78" s="2" t="s">
        <v>496</v>
      </c>
      <c r="N78" s="107">
        <v>2000</v>
      </c>
      <c r="O78" s="107">
        <v>4250</v>
      </c>
      <c r="P78" s="107">
        <f>Tabela1[[#This Row],[Valor anterior]]-Tabela1[[#This Row],[VALOR]]</f>
        <v>2250</v>
      </c>
      <c r="Q78" s="14" t="s">
        <v>574</v>
      </c>
      <c r="R78" s="4">
        <v>45881</v>
      </c>
      <c r="S78" s="7" t="s">
        <v>575</v>
      </c>
      <c r="T78" s="4">
        <v>45882</v>
      </c>
      <c r="U78" s="5">
        <v>75</v>
      </c>
      <c r="V78" s="5">
        <v>100</v>
      </c>
      <c r="W78" s="6" t="s">
        <v>43</v>
      </c>
      <c r="X78" s="15">
        <v>81.966999999999999</v>
      </c>
      <c r="Y78" s="5">
        <f t="shared" si="16"/>
        <v>18.033000000000001</v>
      </c>
      <c r="Z78" s="4">
        <v>45882</v>
      </c>
      <c r="AA78" s="4" t="str">
        <f t="shared" si="17"/>
        <v>AGO</v>
      </c>
      <c r="AB78" s="4">
        <f t="shared" si="14"/>
        <v>45896</v>
      </c>
      <c r="AC78" s="2">
        <v>207</v>
      </c>
      <c r="AD78" s="7" t="s">
        <v>122</v>
      </c>
      <c r="AE78" s="7" t="s">
        <v>122</v>
      </c>
      <c r="AF78" s="4" t="s">
        <v>122</v>
      </c>
      <c r="AG78" s="7" t="s">
        <v>577</v>
      </c>
      <c r="AH78" s="4">
        <v>45888</v>
      </c>
      <c r="AI78" s="2" t="s">
        <v>578</v>
      </c>
      <c r="AJ78" s="2" t="s">
        <v>579</v>
      </c>
      <c r="AK78" s="4">
        <v>45898</v>
      </c>
      <c r="AL78" s="4">
        <v>45898</v>
      </c>
      <c r="AM78" s="4">
        <v>45898</v>
      </c>
      <c r="AN78" s="2">
        <f t="shared" si="18"/>
        <v>20250071</v>
      </c>
      <c r="AO78" s="4">
        <f t="shared" si="15"/>
        <v>45888</v>
      </c>
      <c r="AP78" s="16">
        <v>900</v>
      </c>
      <c r="AQ78" s="8">
        <f t="shared" si="19"/>
        <v>73770.3</v>
      </c>
      <c r="AR78" s="13">
        <v>5.4149000000000003</v>
      </c>
      <c r="AS78" s="19">
        <f>Tabela1[[#This Row],[TAXA]]*Tabela1[[#This Row],[VALOR TOTAL  USD]]</f>
        <v>399458.79747000005</v>
      </c>
      <c r="AT78" s="71">
        <v>14</v>
      </c>
      <c r="AU78" s="72">
        <f>Tabela1[[#This Row],[DATA NF EXP]]-Tabela1[[#This Row],[CARREGAMENTO]]</f>
        <v>6</v>
      </c>
      <c r="AV78" s="72">
        <f>Tabela1[[#This Row],[Realizado]]-Tabela1[[#This Row],[Previsto]]</f>
        <v>-8</v>
      </c>
      <c r="AW78" s="72" t="str">
        <f>IF(Tabela1[[#This Row],[Resultado]]&lt;=0,"Atendido","Não atendido")</f>
        <v>Atendido</v>
      </c>
    </row>
    <row r="79" spans="1:49" x14ac:dyDescent="0.2">
      <c r="A79" s="17" t="s">
        <v>37</v>
      </c>
      <c r="B79" s="2" t="s">
        <v>59</v>
      </c>
      <c r="C79" s="3">
        <v>20250073</v>
      </c>
      <c r="D79" s="2" t="s">
        <v>46</v>
      </c>
      <c r="E79" s="2" t="s">
        <v>44</v>
      </c>
      <c r="F79" s="2">
        <v>11441194</v>
      </c>
      <c r="G79" s="2" t="s">
        <v>517</v>
      </c>
      <c r="H79" s="2" t="s">
        <v>387</v>
      </c>
      <c r="I79" s="2" t="s">
        <v>53</v>
      </c>
      <c r="J79" s="2">
        <v>25000399731</v>
      </c>
      <c r="K79" s="2" t="s">
        <v>796</v>
      </c>
      <c r="L79" s="2" t="s">
        <v>53</v>
      </c>
      <c r="M79" s="2" t="s">
        <v>496</v>
      </c>
      <c r="N79" s="107">
        <v>2000</v>
      </c>
      <c r="O79" s="107">
        <v>4250</v>
      </c>
      <c r="P79" s="107">
        <f>Tabela1[[#This Row],[Valor anterior]]-Tabela1[[#This Row],[VALOR]]</f>
        <v>2250</v>
      </c>
      <c r="Q79" s="14" t="s">
        <v>582</v>
      </c>
      <c r="R79" s="4">
        <v>45887</v>
      </c>
      <c r="S79" s="7" t="s">
        <v>583</v>
      </c>
      <c r="T79" s="4">
        <v>45888</v>
      </c>
      <c r="U79" s="5">
        <v>100</v>
      </c>
      <c r="V79" s="5">
        <v>120</v>
      </c>
      <c r="W79" s="6" t="s">
        <v>43</v>
      </c>
      <c r="X79" s="15">
        <v>82.245000000000005</v>
      </c>
      <c r="Y79" s="5">
        <f t="shared" si="16"/>
        <v>37.754999999999995</v>
      </c>
      <c r="Z79" s="4">
        <v>45889</v>
      </c>
      <c r="AA79" s="4" t="str">
        <f t="shared" si="17"/>
        <v>AGO</v>
      </c>
      <c r="AB79" s="4">
        <f t="shared" si="14"/>
        <v>45903</v>
      </c>
      <c r="AC79" s="2">
        <v>208</v>
      </c>
      <c r="AD79" s="7" t="s">
        <v>122</v>
      </c>
      <c r="AE79" s="7" t="s">
        <v>122</v>
      </c>
      <c r="AF79" s="4" t="s">
        <v>122</v>
      </c>
      <c r="AG79" s="7" t="s">
        <v>584</v>
      </c>
      <c r="AH79" s="4">
        <v>45897</v>
      </c>
      <c r="AI79" s="2" t="s">
        <v>590</v>
      </c>
      <c r="AJ79" s="2" t="s">
        <v>591</v>
      </c>
      <c r="AK79" s="4">
        <v>45903</v>
      </c>
      <c r="AL79" s="4">
        <v>45903</v>
      </c>
      <c r="AM79" s="4">
        <v>45903</v>
      </c>
      <c r="AN79" s="2">
        <f t="shared" si="18"/>
        <v>20250073</v>
      </c>
      <c r="AO79" s="4">
        <f t="shared" si="15"/>
        <v>45897</v>
      </c>
      <c r="AP79" s="16">
        <v>1084.58</v>
      </c>
      <c r="AQ79" s="8">
        <f t="shared" si="19"/>
        <v>89201.282099999997</v>
      </c>
      <c r="AR79" s="13">
        <v>5.4421999999999997</v>
      </c>
      <c r="AS79" s="19">
        <f>Tabela1[[#This Row],[TAXA]]*Tabela1[[#This Row],[VALOR TOTAL  USD]]</f>
        <v>485451.21744461998</v>
      </c>
      <c r="AT79" s="71">
        <v>14</v>
      </c>
      <c r="AU79" s="72">
        <f>Tabela1[[#This Row],[DATA NF EXP]]-Tabela1[[#This Row],[CARREGAMENTO]]</f>
        <v>8</v>
      </c>
      <c r="AV79" s="72">
        <f>Tabela1[[#This Row],[Realizado]]-Tabela1[[#This Row],[Previsto]]</f>
        <v>-6</v>
      </c>
      <c r="AW79" s="72" t="str">
        <f>IF(Tabela1[[#This Row],[Resultado]]&lt;=0,"Atendido","Não atendido")</f>
        <v>Atendido</v>
      </c>
    </row>
    <row r="80" spans="1:49" x14ac:dyDescent="0.2">
      <c r="A80" s="17" t="s">
        <v>37</v>
      </c>
      <c r="B80" s="2" t="s">
        <v>59</v>
      </c>
      <c r="C80" s="3">
        <v>20250070</v>
      </c>
      <c r="D80" s="2" t="s">
        <v>38</v>
      </c>
      <c r="E80" s="2" t="s">
        <v>44</v>
      </c>
      <c r="F80" s="2">
        <v>9307827</v>
      </c>
      <c r="G80" s="2" t="s">
        <v>557</v>
      </c>
      <c r="H80" s="2" t="s">
        <v>186</v>
      </c>
      <c r="I80" s="2" t="s">
        <v>520</v>
      </c>
      <c r="J80" s="2">
        <v>25000371829</v>
      </c>
      <c r="K80" s="2" t="s">
        <v>41</v>
      </c>
      <c r="L80" s="2" t="s">
        <v>50</v>
      </c>
      <c r="M80" s="2" t="s">
        <v>496</v>
      </c>
      <c r="N80" s="107">
        <v>2000</v>
      </c>
      <c r="O80" s="107">
        <v>4250</v>
      </c>
      <c r="P80" s="107">
        <f>Tabela1[[#This Row],[Valor anterior]]-Tabela1[[#This Row],[VALOR]]</f>
        <v>2250</v>
      </c>
      <c r="Q80" s="14" t="s">
        <v>607</v>
      </c>
      <c r="R80" s="4">
        <v>45894</v>
      </c>
      <c r="S80" s="7" t="s">
        <v>606</v>
      </c>
      <c r="T80" s="4">
        <v>45881</v>
      </c>
      <c r="U80" s="5">
        <v>250</v>
      </c>
      <c r="V80" s="5">
        <v>200.6</v>
      </c>
      <c r="W80" s="6" t="s">
        <v>43</v>
      </c>
      <c r="X80" s="15">
        <v>200.602</v>
      </c>
      <c r="Y80" s="5">
        <f t="shared" si="16"/>
        <v>-2.0000000000095497E-3</v>
      </c>
      <c r="Z80" s="4">
        <v>45881</v>
      </c>
      <c r="AA80" s="4" t="str">
        <f t="shared" si="17"/>
        <v>AGO</v>
      </c>
      <c r="AB80" s="4">
        <f t="shared" si="14"/>
        <v>45895</v>
      </c>
      <c r="AC80" s="2">
        <v>205</v>
      </c>
      <c r="AD80" s="7" t="s">
        <v>122</v>
      </c>
      <c r="AE80" s="7" t="s">
        <v>122</v>
      </c>
      <c r="AF80" s="4" t="s">
        <v>122</v>
      </c>
      <c r="AG80" s="7" t="s">
        <v>607</v>
      </c>
      <c r="AH80" s="4">
        <v>45894</v>
      </c>
      <c r="AI80" s="2" t="s">
        <v>608</v>
      </c>
      <c r="AJ80" s="2" t="s">
        <v>609</v>
      </c>
      <c r="AK80" s="4">
        <v>45895</v>
      </c>
      <c r="AL80" s="4">
        <v>45895</v>
      </c>
      <c r="AM80" s="4">
        <v>45895</v>
      </c>
      <c r="AN80" s="2">
        <f t="shared" si="18"/>
        <v>20250070</v>
      </c>
      <c r="AO80" s="4">
        <f t="shared" si="15"/>
        <v>45894</v>
      </c>
      <c r="AP80" s="16">
        <v>541.80999999999995</v>
      </c>
      <c r="AQ80" s="8">
        <f t="shared" si="19"/>
        <v>108688.16961999999</v>
      </c>
      <c r="AR80" s="13">
        <v>5.4386000000000001</v>
      </c>
      <c r="AS80" s="19">
        <f>Tabela1[[#This Row],[TAXA]]*Tabela1[[#This Row],[VALOR TOTAL  USD]]</f>
        <v>591111.47929533198</v>
      </c>
      <c r="AT80" s="71">
        <v>14</v>
      </c>
      <c r="AU80" s="72">
        <f>Tabela1[[#This Row],[DATA NF EXP]]-Tabela1[[#This Row],[CARREGAMENTO]]</f>
        <v>13</v>
      </c>
      <c r="AV80" s="72">
        <f>Tabela1[[#This Row],[Realizado]]-Tabela1[[#This Row],[Previsto]]</f>
        <v>-1</v>
      </c>
      <c r="AW80" s="72" t="str">
        <f>IF(Tabela1[[#This Row],[Resultado]]&lt;=0,"Atendido","Não atendido")</f>
        <v>Atendido</v>
      </c>
    </row>
    <row r="81" spans="1:49" x14ac:dyDescent="0.2">
      <c r="A81" s="17" t="s">
        <v>37</v>
      </c>
      <c r="B81" s="2" t="s">
        <v>59</v>
      </c>
      <c r="C81" s="3">
        <v>20250074</v>
      </c>
      <c r="D81" s="2" t="s">
        <v>38</v>
      </c>
      <c r="E81" s="2" t="s">
        <v>44</v>
      </c>
      <c r="F81" s="2">
        <v>9370147</v>
      </c>
      <c r="G81" s="2" t="s">
        <v>593</v>
      </c>
      <c r="H81" s="2" t="s">
        <v>594</v>
      </c>
      <c r="I81" s="2" t="s">
        <v>133</v>
      </c>
      <c r="J81" s="2">
        <v>25000411448</v>
      </c>
      <c r="K81" s="2" t="s">
        <v>802</v>
      </c>
      <c r="L81" s="2" t="s">
        <v>553</v>
      </c>
      <c r="M81" s="2" t="s">
        <v>496</v>
      </c>
      <c r="N81" s="107">
        <v>2000</v>
      </c>
      <c r="O81" s="107">
        <v>4250</v>
      </c>
      <c r="P81" s="107">
        <f>Tabela1[[#This Row],[Valor anterior]]-Tabela1[[#This Row],[VALOR]]</f>
        <v>2250</v>
      </c>
      <c r="Q81" s="14" t="s">
        <v>595</v>
      </c>
      <c r="R81" s="4">
        <v>45894</v>
      </c>
      <c r="S81" s="7" t="s">
        <v>596</v>
      </c>
      <c r="T81" s="4">
        <v>45897</v>
      </c>
      <c r="U81" s="5">
        <v>200</v>
      </c>
      <c r="V81" s="5">
        <v>700</v>
      </c>
      <c r="W81" s="6" t="s">
        <v>43</v>
      </c>
      <c r="X81" s="15">
        <v>277.18200000000002</v>
      </c>
      <c r="Y81" s="5">
        <f t="shared" si="16"/>
        <v>422.81799999999998</v>
      </c>
      <c r="Z81" s="4">
        <v>45897</v>
      </c>
      <c r="AA81" s="4" t="str">
        <f t="shared" si="17"/>
        <v>AGO</v>
      </c>
      <c r="AB81" s="4">
        <f t="shared" si="14"/>
        <v>45911</v>
      </c>
      <c r="AC81" s="2">
        <v>209</v>
      </c>
      <c r="AD81" s="7" t="s">
        <v>122</v>
      </c>
      <c r="AE81" s="7" t="s">
        <v>719</v>
      </c>
      <c r="AF81" s="4">
        <v>45912</v>
      </c>
      <c r="AG81" s="7" t="s">
        <v>720</v>
      </c>
      <c r="AH81" s="4">
        <v>45912</v>
      </c>
      <c r="AI81" s="2" t="s">
        <v>723</v>
      </c>
      <c r="AJ81" s="2" t="s">
        <v>724</v>
      </c>
      <c r="AK81" s="4">
        <v>45915</v>
      </c>
      <c r="AL81" s="4">
        <v>45915</v>
      </c>
      <c r="AM81" s="4">
        <v>45915</v>
      </c>
      <c r="AN81" s="2">
        <f t="shared" si="18"/>
        <v>20250074</v>
      </c>
      <c r="AO81" s="4">
        <f t="shared" si="15"/>
        <v>45912</v>
      </c>
      <c r="AP81" s="16">
        <v>556.29999999999995</v>
      </c>
      <c r="AQ81" s="8">
        <f t="shared" si="19"/>
        <v>154196.34659999999</v>
      </c>
      <c r="AR81" s="13">
        <v>5.3852000000000002</v>
      </c>
      <c r="AS81" s="19">
        <f>Tabela1[[#This Row],[TAXA]]*Tabela1[[#This Row],[VALOR TOTAL  USD]]</f>
        <v>830378.16571032</v>
      </c>
      <c r="AT81" s="71">
        <v>14</v>
      </c>
      <c r="AU81" s="72">
        <f>Tabela1[[#This Row],[DATA NF EXP]]-Tabela1[[#This Row],[CARREGAMENTO]]</f>
        <v>15</v>
      </c>
      <c r="AV81" s="72">
        <f>Tabela1[[#This Row],[Realizado]]-Tabela1[[#This Row],[Previsto]]</f>
        <v>1</v>
      </c>
      <c r="AW81" s="72" t="str">
        <f>IF(Tabela1[[#This Row],[Resultado]]&lt;=0,"Atendido","Não atendido")</f>
        <v>Não atendido</v>
      </c>
    </row>
    <row r="82" spans="1:49" x14ac:dyDescent="0.2">
      <c r="A82" s="17" t="s">
        <v>37</v>
      </c>
      <c r="B82" s="2" t="s">
        <v>59</v>
      </c>
      <c r="C82" s="3">
        <v>20250075</v>
      </c>
      <c r="D82" s="2" t="s">
        <v>38</v>
      </c>
      <c r="E82" s="2" t="s">
        <v>39</v>
      </c>
      <c r="F82" s="2">
        <v>9341794</v>
      </c>
      <c r="G82" s="2" t="s">
        <v>90</v>
      </c>
      <c r="H82" s="2" t="s">
        <v>387</v>
      </c>
      <c r="I82" s="2" t="s">
        <v>89</v>
      </c>
      <c r="J82" s="2">
        <v>25000374046</v>
      </c>
      <c r="K82" s="2" t="s">
        <v>161</v>
      </c>
      <c r="L82" s="2" t="s">
        <v>91</v>
      </c>
      <c r="M82" s="2" t="s">
        <v>496</v>
      </c>
      <c r="N82" s="107">
        <v>2000</v>
      </c>
      <c r="O82" s="107">
        <v>4250</v>
      </c>
      <c r="P82" s="107">
        <f>Tabela1[[#This Row],[Valor anterior]]-Tabela1[[#This Row],[VALOR]]</f>
        <v>2250</v>
      </c>
      <c r="Q82" s="14" t="s">
        <v>597</v>
      </c>
      <c r="R82" s="4">
        <v>45896</v>
      </c>
      <c r="S82" s="7" t="s">
        <v>598</v>
      </c>
      <c r="T82" s="4">
        <v>45897</v>
      </c>
      <c r="U82" s="5">
        <v>320</v>
      </c>
      <c r="V82" s="5">
        <v>400</v>
      </c>
      <c r="W82" s="6" t="s">
        <v>43</v>
      </c>
      <c r="X82" s="15">
        <v>318.34899999999999</v>
      </c>
      <c r="Y82" s="5">
        <f t="shared" si="16"/>
        <v>81.65100000000001</v>
      </c>
      <c r="Z82" s="4">
        <v>45900</v>
      </c>
      <c r="AA82" s="4" t="str">
        <f t="shared" si="17"/>
        <v>AGO</v>
      </c>
      <c r="AB82" s="4">
        <f t="shared" si="14"/>
        <v>45914</v>
      </c>
      <c r="AC82" s="2">
        <v>210</v>
      </c>
      <c r="AD82" s="7" t="s">
        <v>122</v>
      </c>
      <c r="AE82" s="7" t="s">
        <v>122</v>
      </c>
      <c r="AF82" s="4" t="s">
        <v>122</v>
      </c>
      <c r="AG82" s="7" t="s">
        <v>122</v>
      </c>
      <c r="AH82" s="4" t="s">
        <v>122</v>
      </c>
      <c r="AI82" s="2" t="s">
        <v>122</v>
      </c>
      <c r="AJ82" s="2" t="s">
        <v>122</v>
      </c>
      <c r="AK82" s="4" t="s">
        <v>122</v>
      </c>
      <c r="AL82" s="4" t="s">
        <v>122</v>
      </c>
      <c r="AM82" s="4" t="s">
        <v>122</v>
      </c>
      <c r="AN82" s="2">
        <f t="shared" si="18"/>
        <v>20250075</v>
      </c>
      <c r="AO82" s="4" t="str">
        <f t="shared" si="15"/>
        <v>NA</v>
      </c>
      <c r="AP82" s="16">
        <v>552.54999999999995</v>
      </c>
      <c r="AQ82" s="8">
        <f t="shared" si="19"/>
        <v>175903.73994999999</v>
      </c>
      <c r="AR82" s="13">
        <v>0</v>
      </c>
      <c r="AS82" s="19">
        <f>Tabela1[[#This Row],[TAXA]]*Tabela1[[#This Row],[VALOR TOTAL  USD]]</f>
        <v>0</v>
      </c>
      <c r="AT82" s="71">
        <v>14</v>
      </c>
      <c r="AU82" s="72" t="e">
        <f>Tabela1[[#This Row],[DATA NF EXP]]-Tabela1[[#This Row],[CARREGAMENTO]]</f>
        <v>#VALUE!</v>
      </c>
      <c r="AV82" s="72" t="e">
        <f>Tabela1[[#This Row],[Realizado]]-Tabela1[[#This Row],[Previsto]]</f>
        <v>#VALUE!</v>
      </c>
      <c r="AW82" s="72" t="e">
        <f>IF(Tabela1[[#This Row],[Resultado]]&lt;=0,"Atendido","Não atendido")</f>
        <v>#VALUE!</v>
      </c>
    </row>
    <row r="83" spans="1:49" x14ac:dyDescent="0.2">
      <c r="A83" s="17" t="s">
        <v>37</v>
      </c>
      <c r="B83" s="2" t="s">
        <v>59</v>
      </c>
      <c r="C83" s="3">
        <v>20250076</v>
      </c>
      <c r="D83" s="2" t="s">
        <v>46</v>
      </c>
      <c r="E83" s="2" t="s">
        <v>44</v>
      </c>
      <c r="F83" s="2" t="s">
        <v>255</v>
      </c>
      <c r="G83" s="2" t="s">
        <v>599</v>
      </c>
      <c r="H83" s="2" t="s">
        <v>387</v>
      </c>
      <c r="I83" s="2" t="s">
        <v>600</v>
      </c>
      <c r="J83" s="2" t="s">
        <v>255</v>
      </c>
      <c r="K83" s="2" t="s">
        <v>802</v>
      </c>
      <c r="L83" s="2" t="s">
        <v>91</v>
      </c>
      <c r="M83" s="2" t="s">
        <v>496</v>
      </c>
      <c r="N83" s="107">
        <v>2000</v>
      </c>
      <c r="O83" s="107">
        <v>4250</v>
      </c>
      <c r="P83" s="107">
        <f>Tabela1[[#This Row],[Valor anterior]]-Tabela1[[#This Row],[VALOR]]</f>
        <v>2250</v>
      </c>
      <c r="Q83" s="14" t="s">
        <v>601</v>
      </c>
      <c r="R83" s="4">
        <v>45898</v>
      </c>
      <c r="S83" s="7" t="s">
        <v>602</v>
      </c>
      <c r="T83" s="4">
        <v>45903</v>
      </c>
      <c r="U83" s="5">
        <v>40</v>
      </c>
      <c r="V83" s="5">
        <v>100</v>
      </c>
      <c r="W83" s="6" t="s">
        <v>43</v>
      </c>
      <c r="X83" s="15">
        <v>30.981000000000002</v>
      </c>
      <c r="Y83" s="5">
        <f t="shared" si="16"/>
        <v>69.019000000000005</v>
      </c>
      <c r="Z83" s="4">
        <v>45905</v>
      </c>
      <c r="AA83" s="4" t="str">
        <f t="shared" si="17"/>
        <v>SET</v>
      </c>
      <c r="AB83" s="4">
        <f t="shared" si="14"/>
        <v>45919</v>
      </c>
      <c r="AC83" s="2">
        <v>211</v>
      </c>
      <c r="AD83" s="7" t="s">
        <v>122</v>
      </c>
      <c r="AE83" s="7" t="s">
        <v>725</v>
      </c>
      <c r="AF83" s="4">
        <v>45915</v>
      </c>
      <c r="AG83" s="7" t="s">
        <v>726</v>
      </c>
      <c r="AH83" s="4">
        <v>45916</v>
      </c>
      <c r="AI83" s="2" t="s">
        <v>751</v>
      </c>
      <c r="AJ83" s="2" t="s">
        <v>752</v>
      </c>
      <c r="AK83" s="4">
        <v>45917</v>
      </c>
      <c r="AL83" s="4">
        <v>45917</v>
      </c>
      <c r="AM83" s="4">
        <v>45917</v>
      </c>
      <c r="AN83" s="2">
        <f t="shared" si="18"/>
        <v>20250076</v>
      </c>
      <c r="AO83" s="4">
        <f t="shared" si="15"/>
        <v>45916</v>
      </c>
      <c r="AP83" s="16">
        <v>875</v>
      </c>
      <c r="AQ83" s="8">
        <f t="shared" si="19"/>
        <v>27108.375</v>
      </c>
      <c r="AR83" s="13">
        <v>5.3201999999999998</v>
      </c>
      <c r="AS83" s="19">
        <f>Tabela1[[#This Row],[TAXA]]*Tabela1[[#This Row],[VALOR TOTAL  USD]]</f>
        <v>144221.97667499998</v>
      </c>
      <c r="AT83" s="71">
        <v>14</v>
      </c>
      <c r="AU83" s="72">
        <f>Tabela1[[#This Row],[DATA NF EXP]]-Tabela1[[#This Row],[CARREGAMENTO]]</f>
        <v>11</v>
      </c>
      <c r="AV83" s="72">
        <f>Tabela1[[#This Row],[Realizado]]-Tabela1[[#This Row],[Previsto]]</f>
        <v>-3</v>
      </c>
      <c r="AW83" s="72" t="str">
        <f>IF(Tabela1[[#This Row],[Resultado]]&lt;=0,"Atendido","Não atendido")</f>
        <v>Atendido</v>
      </c>
    </row>
    <row r="84" spans="1:49" x14ac:dyDescent="0.2">
      <c r="A84" s="17" t="s">
        <v>37</v>
      </c>
      <c r="B84" s="2" t="s">
        <v>613</v>
      </c>
      <c r="C84" s="3">
        <v>20250077</v>
      </c>
      <c r="D84" s="2" t="s">
        <v>46</v>
      </c>
      <c r="E84" s="2" t="s">
        <v>44</v>
      </c>
      <c r="F84" s="2">
        <v>9401221</v>
      </c>
      <c r="G84" s="2" t="s">
        <v>612</v>
      </c>
      <c r="H84" s="2" t="s">
        <v>387</v>
      </c>
      <c r="I84" s="2" t="s">
        <v>187</v>
      </c>
      <c r="J84" s="2">
        <v>25000428430</v>
      </c>
      <c r="K84" s="2" t="s">
        <v>41</v>
      </c>
      <c r="L84" s="2" t="s">
        <v>50</v>
      </c>
      <c r="M84" s="2" t="s">
        <v>496</v>
      </c>
      <c r="N84" s="107">
        <v>2000</v>
      </c>
      <c r="O84" s="107">
        <v>4250</v>
      </c>
      <c r="P84" s="107">
        <f>Tabela1[[#This Row],[Valor anterior]]-Tabela1[[#This Row],[VALOR]]</f>
        <v>2250</v>
      </c>
      <c r="Q84" s="14" t="s">
        <v>614</v>
      </c>
      <c r="R84" s="4">
        <v>45903</v>
      </c>
      <c r="S84" s="7" t="s">
        <v>632</v>
      </c>
      <c r="T84" s="4">
        <v>45909</v>
      </c>
      <c r="U84" s="5">
        <v>85</v>
      </c>
      <c r="V84" s="5">
        <v>170</v>
      </c>
      <c r="W84" s="6" t="s">
        <v>43</v>
      </c>
      <c r="X84" s="15">
        <v>84.494</v>
      </c>
      <c r="Y84" s="5">
        <f t="shared" si="16"/>
        <v>85.506</v>
      </c>
      <c r="Z84" s="4">
        <v>45909</v>
      </c>
      <c r="AA84" s="4" t="str">
        <f t="shared" si="17"/>
        <v>SET</v>
      </c>
      <c r="AB84" s="4">
        <f t="shared" si="14"/>
        <v>45923</v>
      </c>
      <c r="AC84" s="2">
        <v>213</v>
      </c>
      <c r="AD84" s="7" t="s">
        <v>122</v>
      </c>
      <c r="AE84" s="7" t="s">
        <v>762</v>
      </c>
      <c r="AF84" s="4">
        <v>45911</v>
      </c>
      <c r="AG84" s="7" t="s">
        <v>759</v>
      </c>
      <c r="AH84" s="4">
        <v>45911</v>
      </c>
      <c r="AI84" s="2" t="s">
        <v>763</v>
      </c>
      <c r="AJ84" s="2" t="s">
        <v>764</v>
      </c>
      <c r="AK84" s="4">
        <v>45919</v>
      </c>
      <c r="AL84" s="4">
        <v>45919</v>
      </c>
      <c r="AM84" s="4">
        <v>45919</v>
      </c>
      <c r="AN84" s="2">
        <f t="shared" si="18"/>
        <v>20250077</v>
      </c>
      <c r="AO84" s="4">
        <f t="shared" si="15"/>
        <v>45911</v>
      </c>
      <c r="AP84" s="16">
        <v>880.89</v>
      </c>
      <c r="AQ84" s="8">
        <f t="shared" si="19"/>
        <v>74429.91966</v>
      </c>
      <c r="AR84" s="13">
        <v>5.4116999999999997</v>
      </c>
      <c r="AS84" s="19">
        <f>Tabela1[[#This Row],[TAXA]]*Tabela1[[#This Row],[VALOR TOTAL  USD]]</f>
        <v>402792.39622402197</v>
      </c>
      <c r="AT84" s="71">
        <v>14</v>
      </c>
      <c r="AU84" s="72">
        <f>Tabela1[[#This Row],[DATA NF EXP]]-Tabela1[[#This Row],[CARREGAMENTO]]</f>
        <v>2</v>
      </c>
      <c r="AV84" s="72">
        <f>Tabela1[[#This Row],[Realizado]]-Tabela1[[#This Row],[Previsto]]</f>
        <v>-12</v>
      </c>
      <c r="AW84" s="72" t="str">
        <f>IF(Tabela1[[#This Row],[Resultado]]&lt;=0,"Atendido","Não atendido")</f>
        <v>Atendido</v>
      </c>
    </row>
    <row r="85" spans="1:49" x14ac:dyDescent="0.2">
      <c r="A85" s="17" t="s">
        <v>37</v>
      </c>
      <c r="B85" s="2" t="s">
        <v>613</v>
      </c>
      <c r="C85" s="3">
        <v>20250078</v>
      </c>
      <c r="D85" s="2" t="s">
        <v>38</v>
      </c>
      <c r="E85" s="2" t="s">
        <v>44</v>
      </c>
      <c r="F85" s="2">
        <v>9401221</v>
      </c>
      <c r="G85" s="2" t="s">
        <v>612</v>
      </c>
      <c r="H85" s="2" t="s">
        <v>387</v>
      </c>
      <c r="I85" s="2" t="s">
        <v>187</v>
      </c>
      <c r="J85" s="2">
        <v>25000428430</v>
      </c>
      <c r="K85" s="2" t="s">
        <v>41</v>
      </c>
      <c r="L85" s="2" t="s">
        <v>50</v>
      </c>
      <c r="M85" s="2" t="s">
        <v>496</v>
      </c>
      <c r="N85" s="107">
        <v>2000</v>
      </c>
      <c r="O85" s="107">
        <v>4250</v>
      </c>
      <c r="P85" s="107">
        <f>Tabela1[[#This Row],[Valor anterior]]-Tabela1[[#This Row],[VALOR]]</f>
        <v>2250</v>
      </c>
      <c r="Q85" s="14" t="s">
        <v>615</v>
      </c>
      <c r="R85" s="4">
        <v>45903</v>
      </c>
      <c r="S85" s="7" t="s">
        <v>633</v>
      </c>
      <c r="T85" s="4">
        <v>45909</v>
      </c>
      <c r="U85" s="5">
        <v>904</v>
      </c>
      <c r="V85" s="5">
        <v>1200</v>
      </c>
      <c r="W85" s="6" t="s">
        <v>43</v>
      </c>
      <c r="X85" s="15">
        <v>902.97</v>
      </c>
      <c r="Y85" s="5">
        <f t="shared" si="16"/>
        <v>297.02999999999997</v>
      </c>
      <c r="Z85" s="4">
        <v>45910</v>
      </c>
      <c r="AA85" s="4" t="str">
        <f t="shared" si="17"/>
        <v>SET</v>
      </c>
      <c r="AB85" s="4">
        <f t="shared" si="14"/>
        <v>45924</v>
      </c>
      <c r="AC85" s="2">
        <v>212</v>
      </c>
      <c r="AD85" s="7" t="s">
        <v>122</v>
      </c>
      <c r="AE85" s="7" t="s">
        <v>761</v>
      </c>
      <c r="AF85" s="4">
        <v>45911</v>
      </c>
      <c r="AG85" s="7" t="s">
        <v>760</v>
      </c>
      <c r="AH85" s="4">
        <v>45911</v>
      </c>
      <c r="AI85" s="2" t="s">
        <v>778</v>
      </c>
      <c r="AJ85" s="2" t="s">
        <v>779</v>
      </c>
      <c r="AK85" s="4">
        <v>45919</v>
      </c>
      <c r="AL85" s="4">
        <v>45920</v>
      </c>
      <c r="AM85" s="4">
        <v>45920</v>
      </c>
      <c r="AN85" s="2">
        <f t="shared" si="18"/>
        <v>20250078</v>
      </c>
      <c r="AO85" s="4">
        <f t="shared" si="15"/>
        <v>45911</v>
      </c>
      <c r="AP85" s="16">
        <v>564.92999999999995</v>
      </c>
      <c r="AQ85" s="8">
        <f t="shared" si="19"/>
        <v>510114.84209999995</v>
      </c>
      <c r="AR85" s="13">
        <v>5.4116999999999997</v>
      </c>
      <c r="AS85" s="19">
        <f>Tabela1[[#This Row],[TAXA]]*Tabela1[[#This Row],[VALOR TOTAL  USD]]</f>
        <v>2760588.4909925694</v>
      </c>
      <c r="AT85" s="71">
        <v>14</v>
      </c>
      <c r="AU85" s="72">
        <f>Tabela1[[#This Row],[DATA NF EXP]]-Tabela1[[#This Row],[CARREGAMENTO]]</f>
        <v>1</v>
      </c>
      <c r="AV85" s="72">
        <f>Tabela1[[#This Row],[Realizado]]-Tabela1[[#This Row],[Previsto]]</f>
        <v>-13</v>
      </c>
      <c r="AW85" s="72" t="str">
        <f>IF(Tabela1[[#This Row],[Resultado]]&lt;=0,"Atendido","Não atendido")</f>
        <v>Atendido</v>
      </c>
    </row>
    <row r="86" spans="1:49" x14ac:dyDescent="0.2">
      <c r="A86" s="17" t="s">
        <v>37</v>
      </c>
      <c r="B86" s="2" t="s">
        <v>613</v>
      </c>
      <c r="C86" s="3">
        <v>20250080</v>
      </c>
      <c r="D86" s="2" t="s">
        <v>38</v>
      </c>
      <c r="E86" s="2" t="s">
        <v>44</v>
      </c>
      <c r="F86" s="2">
        <v>9926271</v>
      </c>
      <c r="G86" s="2" t="s">
        <v>634</v>
      </c>
      <c r="H86" s="2" t="s">
        <v>142</v>
      </c>
      <c r="I86" s="2" t="s">
        <v>714</v>
      </c>
      <c r="J86" s="2">
        <v>25000436262</v>
      </c>
      <c r="K86" s="2" t="s">
        <v>159</v>
      </c>
      <c r="L86" s="2" t="s">
        <v>715</v>
      </c>
      <c r="M86" s="2" t="s">
        <v>496</v>
      </c>
      <c r="N86" s="107">
        <v>2000</v>
      </c>
      <c r="O86" s="107">
        <v>4250</v>
      </c>
      <c r="P86" s="107">
        <f>Tabela1[[#This Row],[Valor anterior]]-Tabela1[[#This Row],[VALOR]]</f>
        <v>2250</v>
      </c>
      <c r="Q86" s="14" t="s">
        <v>718</v>
      </c>
      <c r="R86" s="4">
        <v>45903</v>
      </c>
      <c r="S86" s="7" t="s">
        <v>727</v>
      </c>
      <c r="T86" s="4">
        <v>45912</v>
      </c>
      <c r="U86" s="5">
        <v>350</v>
      </c>
      <c r="V86" s="5">
        <v>600</v>
      </c>
      <c r="W86" s="6" t="s">
        <v>43</v>
      </c>
      <c r="X86" s="15">
        <v>356.26299999999998</v>
      </c>
      <c r="Y86" s="5">
        <f t="shared" si="16"/>
        <v>243.73700000000002</v>
      </c>
      <c r="Z86" s="4">
        <v>45918</v>
      </c>
      <c r="AA86" s="4" t="str">
        <f t="shared" si="17"/>
        <v>SET</v>
      </c>
      <c r="AB86" s="4">
        <f t="shared" si="14"/>
        <v>45932</v>
      </c>
      <c r="AC86" s="2">
        <v>214</v>
      </c>
      <c r="AD86" s="7" t="s">
        <v>122</v>
      </c>
      <c r="AE86" s="7" t="s">
        <v>861</v>
      </c>
      <c r="AF86" s="4">
        <v>45939</v>
      </c>
      <c r="AG86" s="7" t="s">
        <v>862</v>
      </c>
      <c r="AH86" s="4">
        <v>45939</v>
      </c>
      <c r="AI86" s="2" t="s">
        <v>866</v>
      </c>
      <c r="AJ86" s="2" t="s">
        <v>867</v>
      </c>
      <c r="AK86" s="4">
        <v>45939</v>
      </c>
      <c r="AL86" s="4">
        <v>45940</v>
      </c>
      <c r="AM86" s="4">
        <v>45940</v>
      </c>
      <c r="AN86" s="2">
        <f t="shared" si="18"/>
        <v>20250080</v>
      </c>
      <c r="AO86" s="4">
        <f t="shared" si="15"/>
        <v>45939</v>
      </c>
      <c r="AP86" s="16">
        <v>560</v>
      </c>
      <c r="AQ86" s="8">
        <f t="shared" si="19"/>
        <v>199507.28</v>
      </c>
      <c r="AR86" s="13">
        <v>5.3421000000000003</v>
      </c>
      <c r="AS86" s="19">
        <f>Tabela1[[#This Row],[TAXA]]*Tabela1[[#This Row],[VALOR TOTAL  USD]]</f>
        <v>1065787.8404880001</v>
      </c>
      <c r="AT86" s="71">
        <v>14</v>
      </c>
      <c r="AU86" s="72">
        <f>Tabela1[[#This Row],[DATA NF EXP]]-Tabela1[[#This Row],[CARREGAMENTO]]</f>
        <v>21</v>
      </c>
      <c r="AV86" s="72">
        <f>Tabela1[[#This Row],[Realizado]]-Tabela1[[#This Row],[Previsto]]</f>
        <v>7</v>
      </c>
      <c r="AW86" s="72" t="str">
        <f>IF(Tabela1[[#This Row],[Resultado]]&lt;=0,"Atendido","Não atendido")</f>
        <v>Não atendido</v>
      </c>
    </row>
    <row r="87" spans="1:49" x14ac:dyDescent="0.2">
      <c r="A87" s="17" t="s">
        <v>37</v>
      </c>
      <c r="B87" s="2" t="s">
        <v>59</v>
      </c>
      <c r="C87" s="3">
        <v>20250079</v>
      </c>
      <c r="D87" s="2" t="s">
        <v>38</v>
      </c>
      <c r="E87" s="2" t="s">
        <v>44</v>
      </c>
      <c r="F87" s="2">
        <v>9391529</v>
      </c>
      <c r="G87" s="2" t="s">
        <v>653</v>
      </c>
      <c r="H87" s="2" t="s">
        <v>387</v>
      </c>
      <c r="I87" s="2" t="s">
        <v>654</v>
      </c>
      <c r="J87" s="2">
        <v>25000405120</v>
      </c>
      <c r="K87" s="2" t="s">
        <v>41</v>
      </c>
      <c r="L87" s="2" t="s">
        <v>50</v>
      </c>
      <c r="M87" s="2" t="s">
        <v>496</v>
      </c>
      <c r="N87" s="107">
        <v>2000</v>
      </c>
      <c r="O87" s="107">
        <v>4250</v>
      </c>
      <c r="P87" s="107">
        <f>Tabela1[[#This Row],[Valor anterior]]-Tabela1[[#This Row],[VALOR]]</f>
        <v>2250</v>
      </c>
      <c r="Q87" s="14" t="s">
        <v>706</v>
      </c>
      <c r="R87" s="4">
        <v>45910</v>
      </c>
      <c r="S87" s="7" t="s">
        <v>721</v>
      </c>
      <c r="T87" s="4">
        <v>45912</v>
      </c>
      <c r="U87" s="5">
        <v>400</v>
      </c>
      <c r="V87" s="5">
        <v>800</v>
      </c>
      <c r="W87" s="6" t="s">
        <v>43</v>
      </c>
      <c r="X87" s="15">
        <v>317.38</v>
      </c>
      <c r="Y87" s="5">
        <f t="shared" si="16"/>
        <v>482.62</v>
      </c>
      <c r="Z87" s="4">
        <v>45913</v>
      </c>
      <c r="AA87" s="4" t="str">
        <f t="shared" si="17"/>
        <v>SET</v>
      </c>
      <c r="AB87" s="4">
        <f t="shared" si="14"/>
        <v>45927</v>
      </c>
      <c r="AC87" s="2">
        <v>215</v>
      </c>
      <c r="AD87" s="7" t="s">
        <v>122</v>
      </c>
      <c r="AE87" s="7" t="s">
        <v>122</v>
      </c>
      <c r="AF87" s="7" t="s">
        <v>122</v>
      </c>
      <c r="AG87" s="7" t="s">
        <v>775</v>
      </c>
      <c r="AH87" s="4">
        <v>45919</v>
      </c>
      <c r="AI87" s="2" t="s">
        <v>776</v>
      </c>
      <c r="AJ87" s="2" t="s">
        <v>777</v>
      </c>
      <c r="AK87" s="4">
        <v>45923</v>
      </c>
      <c r="AL87" s="4">
        <v>45924</v>
      </c>
      <c r="AM87" s="4">
        <v>45924</v>
      </c>
      <c r="AN87" s="2">
        <f t="shared" si="18"/>
        <v>20250079</v>
      </c>
      <c r="AO87" s="4">
        <f t="shared" si="15"/>
        <v>45919</v>
      </c>
      <c r="AP87" s="16">
        <v>540.23</v>
      </c>
      <c r="AQ87" s="8">
        <f t="shared" si="19"/>
        <v>171458.1974</v>
      </c>
      <c r="AR87" s="13">
        <v>5.3003999999999998</v>
      </c>
      <c r="AS87" s="19">
        <f>Tabela1[[#This Row],[TAXA]]*Tabela1[[#This Row],[VALOR TOTAL  USD]]</f>
        <v>908797.02949896001</v>
      </c>
      <c r="AT87" s="71">
        <v>14</v>
      </c>
      <c r="AU87" s="72">
        <f>Tabela1[[#This Row],[DATA NF EXP]]-Tabela1[[#This Row],[CARREGAMENTO]]</f>
        <v>6</v>
      </c>
      <c r="AV87" s="72">
        <f>Tabela1[[#This Row],[Realizado]]-Tabela1[[#This Row],[Previsto]]</f>
        <v>-8</v>
      </c>
      <c r="AW87" s="72" t="str">
        <f>IF(Tabela1[[#This Row],[Resultado]]&lt;=0,"Atendido","Não atendido")</f>
        <v>Atendido</v>
      </c>
    </row>
    <row r="88" spans="1:49" x14ac:dyDescent="0.2">
      <c r="A88" s="17" t="s">
        <v>37</v>
      </c>
      <c r="B88" s="2" t="s">
        <v>59</v>
      </c>
      <c r="C88" s="3">
        <v>20250081</v>
      </c>
      <c r="D88" s="2" t="s">
        <v>38</v>
      </c>
      <c r="E88" s="2" t="s">
        <v>39</v>
      </c>
      <c r="F88" s="2">
        <v>9341794</v>
      </c>
      <c r="G88" s="2" t="s">
        <v>90</v>
      </c>
      <c r="H88" s="2" t="s">
        <v>387</v>
      </c>
      <c r="I88" s="2" t="s">
        <v>89</v>
      </c>
      <c r="J88" s="2">
        <v>25000436866</v>
      </c>
      <c r="K88" s="2" t="s">
        <v>161</v>
      </c>
      <c r="L88" s="2" t="s">
        <v>91</v>
      </c>
      <c r="M88" s="2" t="s">
        <v>496</v>
      </c>
      <c r="N88" s="107">
        <v>2000</v>
      </c>
      <c r="O88" s="107">
        <v>4250</v>
      </c>
      <c r="P88" s="107">
        <f>Tabela1[[#This Row],[Valor anterior]]-Tabela1[[#This Row],[VALOR]]</f>
        <v>2250</v>
      </c>
      <c r="Q88" s="14" t="s">
        <v>766</v>
      </c>
      <c r="R88" s="4">
        <v>45916</v>
      </c>
      <c r="S88" s="14" t="s">
        <v>765</v>
      </c>
      <c r="T88" s="4">
        <v>45922</v>
      </c>
      <c r="U88" s="5">
        <v>330</v>
      </c>
      <c r="V88" s="5">
        <v>660</v>
      </c>
      <c r="W88" s="6" t="s">
        <v>43</v>
      </c>
      <c r="X88" s="15">
        <v>328.99400000000003</v>
      </c>
      <c r="Y88" s="5">
        <f t="shared" si="16"/>
        <v>331.00599999999997</v>
      </c>
      <c r="Z88" s="4">
        <v>45924</v>
      </c>
      <c r="AA88" s="4" t="str">
        <f t="shared" si="17"/>
        <v>SET</v>
      </c>
      <c r="AB88" s="4">
        <f t="shared" si="14"/>
        <v>45938</v>
      </c>
      <c r="AC88" s="2">
        <v>216</v>
      </c>
      <c r="AD88" s="7" t="s">
        <v>122</v>
      </c>
      <c r="AE88" s="7" t="s">
        <v>787</v>
      </c>
      <c r="AF88" s="4">
        <v>45925</v>
      </c>
      <c r="AG88" s="7" t="s">
        <v>786</v>
      </c>
      <c r="AH88" s="4">
        <v>45924</v>
      </c>
      <c r="AI88" s="2" t="s">
        <v>122</v>
      </c>
      <c r="AJ88" s="2" t="s">
        <v>122</v>
      </c>
      <c r="AK88" s="4" t="s">
        <v>122</v>
      </c>
      <c r="AL88" s="4" t="s">
        <v>122</v>
      </c>
      <c r="AM88" s="4" t="s">
        <v>122</v>
      </c>
      <c r="AN88" s="2">
        <f t="shared" si="18"/>
        <v>20250081</v>
      </c>
      <c r="AO88" s="4">
        <f t="shared" si="15"/>
        <v>45924</v>
      </c>
      <c r="AP88" s="16">
        <v>540.95000000000005</v>
      </c>
      <c r="AQ88" s="8">
        <f t="shared" si="19"/>
        <v>177969.30430000002</v>
      </c>
      <c r="AR88" s="13">
        <v>0</v>
      </c>
      <c r="AS88" s="19">
        <f>Tabela1[[#This Row],[TAXA]]*Tabela1[[#This Row],[VALOR TOTAL  USD]]</f>
        <v>0</v>
      </c>
      <c r="AT88" s="71">
        <v>14</v>
      </c>
      <c r="AU88" s="72">
        <f>Tabela1[[#This Row],[DATA NF EXP]]-Tabela1[[#This Row],[CARREGAMENTO]]</f>
        <v>0</v>
      </c>
      <c r="AV88" s="72">
        <f>Tabela1[[#This Row],[Realizado]]-Tabela1[[#This Row],[Previsto]]</f>
        <v>-14</v>
      </c>
      <c r="AW88" s="72" t="str">
        <f>IF(Tabela1[[#This Row],[Resultado]]&lt;=0,"Atendido","Não atendido")</f>
        <v>Atendido</v>
      </c>
    </row>
    <row r="89" spans="1:49" x14ac:dyDescent="0.2">
      <c r="A89" s="17" t="s">
        <v>212</v>
      </c>
      <c r="B89" s="2" t="s">
        <v>613</v>
      </c>
      <c r="C89" s="3">
        <v>20250082</v>
      </c>
      <c r="D89" s="2" t="s">
        <v>38</v>
      </c>
      <c r="E89" s="2" t="s">
        <v>44</v>
      </c>
      <c r="F89" s="2">
        <v>9558402</v>
      </c>
      <c r="G89" s="2" t="s">
        <v>785</v>
      </c>
      <c r="H89" s="2" t="s">
        <v>130</v>
      </c>
      <c r="I89" s="2" t="s">
        <v>768</v>
      </c>
      <c r="J89" s="2">
        <v>25000454120</v>
      </c>
      <c r="K89" s="2" t="s">
        <v>41</v>
      </c>
      <c r="L89" s="2" t="s">
        <v>801</v>
      </c>
      <c r="M89" s="2" t="s">
        <v>496</v>
      </c>
      <c r="N89" s="107">
        <v>2000</v>
      </c>
      <c r="O89" s="107">
        <v>4250</v>
      </c>
      <c r="P89" s="107">
        <f>Tabela1[[#This Row],[Valor anterior]]-Tabela1[[#This Row],[VALOR]]</f>
        <v>2250</v>
      </c>
      <c r="Q89" s="14" t="s">
        <v>767</v>
      </c>
      <c r="R89" s="4">
        <v>45922</v>
      </c>
      <c r="S89" s="7" t="s">
        <v>800</v>
      </c>
      <c r="T89" s="4">
        <v>45926</v>
      </c>
      <c r="U89" s="5">
        <v>380</v>
      </c>
      <c r="V89" s="5">
        <v>600</v>
      </c>
      <c r="W89" s="6" t="s">
        <v>43</v>
      </c>
      <c r="X89" s="15">
        <v>410.43099999999998</v>
      </c>
      <c r="Y89" s="5">
        <f t="shared" si="16"/>
        <v>189.56900000000002</v>
      </c>
      <c r="Z89" s="4">
        <v>45929</v>
      </c>
      <c r="AA89" s="4" t="str">
        <f t="shared" si="17"/>
        <v>SET</v>
      </c>
      <c r="AB89" s="4">
        <f t="shared" si="14"/>
        <v>45943</v>
      </c>
      <c r="AC89" s="2">
        <v>218</v>
      </c>
      <c r="AD89" s="7" t="s">
        <v>122</v>
      </c>
      <c r="AE89" s="7"/>
      <c r="AF89" s="4"/>
      <c r="AG89" s="7"/>
      <c r="AH89" s="4"/>
      <c r="AI89" s="2"/>
      <c r="AJ89" s="2"/>
      <c r="AK89" s="4"/>
      <c r="AL89" s="4"/>
      <c r="AM89" s="4"/>
      <c r="AN89" s="2">
        <f t="shared" si="18"/>
        <v>20250082</v>
      </c>
      <c r="AO89" s="4">
        <f t="shared" si="15"/>
        <v>0</v>
      </c>
      <c r="AP89" s="16">
        <v>560</v>
      </c>
      <c r="AQ89" s="8">
        <f t="shared" si="19"/>
        <v>229841.36</v>
      </c>
      <c r="AR89" s="13">
        <v>0</v>
      </c>
      <c r="AS89" s="19">
        <f>Tabela1[[#This Row],[TAXA]]*Tabela1[[#This Row],[VALOR TOTAL  USD]]</f>
        <v>0</v>
      </c>
      <c r="AT89" s="71">
        <v>14</v>
      </c>
      <c r="AU89" s="72">
        <f>Tabela1[[#This Row],[DATA NF EXP]]-Tabela1[[#This Row],[CARREGAMENTO]]</f>
        <v>-45929</v>
      </c>
      <c r="AV89" s="72">
        <f>Tabela1[[#This Row],[Realizado]]-Tabela1[[#This Row],[Previsto]]</f>
        <v>-45943</v>
      </c>
      <c r="AW89" s="72" t="str">
        <f>IF(Tabela1[[#This Row],[Resultado]]&lt;=0,"Atendido","Não atendido")</f>
        <v>Atendido</v>
      </c>
    </row>
    <row r="90" spans="1:49" x14ac:dyDescent="0.2">
      <c r="A90" s="17" t="s">
        <v>37</v>
      </c>
      <c r="B90" s="2" t="s">
        <v>613</v>
      </c>
      <c r="C90" s="3">
        <v>20250083</v>
      </c>
      <c r="D90" s="2" t="s">
        <v>46</v>
      </c>
      <c r="E90" s="2" t="s">
        <v>44</v>
      </c>
      <c r="F90" s="2">
        <v>11465697</v>
      </c>
      <c r="G90" s="2" t="s">
        <v>780</v>
      </c>
      <c r="H90" s="2" t="s">
        <v>391</v>
      </c>
      <c r="I90" s="2" t="s">
        <v>392</v>
      </c>
      <c r="J90" s="2">
        <v>25000374054</v>
      </c>
      <c r="K90" s="2" t="s">
        <v>796</v>
      </c>
      <c r="L90" s="2" t="s">
        <v>392</v>
      </c>
      <c r="M90" s="2" t="s">
        <v>496</v>
      </c>
      <c r="N90" s="107">
        <v>2000</v>
      </c>
      <c r="O90" s="107">
        <v>4250</v>
      </c>
      <c r="P90" s="107">
        <f>Tabela1[[#This Row],[Valor anterior]]-Tabela1[[#This Row],[VALOR]]</f>
        <v>2250</v>
      </c>
      <c r="Q90" s="14" t="s">
        <v>781</v>
      </c>
      <c r="R90" s="4">
        <v>45922</v>
      </c>
      <c r="S90" s="7" t="s">
        <v>782</v>
      </c>
      <c r="T90" s="4">
        <v>45924</v>
      </c>
      <c r="U90" s="5">
        <v>180</v>
      </c>
      <c r="V90" s="5">
        <v>250</v>
      </c>
      <c r="W90" s="6" t="s">
        <v>43</v>
      </c>
      <c r="X90" s="15">
        <v>99.001999999999995</v>
      </c>
      <c r="Y90" s="5">
        <f t="shared" ref="Y90:Y95" si="20">V90-X90</f>
        <v>150.99799999999999</v>
      </c>
      <c r="Z90" s="4">
        <v>45926</v>
      </c>
      <c r="AA90" s="4" t="str">
        <f t="shared" ref="AA90:AA95" si="21">IF(Z90="","",UPPER(TEXT(Z90,"MMM")))</f>
        <v>SET</v>
      </c>
      <c r="AB90" s="4">
        <f t="shared" ref="AB90:AB95" si="22">Z90+14</f>
        <v>45940</v>
      </c>
      <c r="AC90" s="2">
        <v>217</v>
      </c>
      <c r="AD90" s="7" t="s">
        <v>122</v>
      </c>
      <c r="AE90" s="7" t="s">
        <v>841</v>
      </c>
      <c r="AF90" s="4">
        <v>45929</v>
      </c>
      <c r="AG90" s="7" t="s">
        <v>842</v>
      </c>
      <c r="AH90" s="4">
        <v>45930</v>
      </c>
      <c r="AI90" s="2" t="s">
        <v>851</v>
      </c>
      <c r="AJ90" s="2" t="s">
        <v>852</v>
      </c>
      <c r="AK90" s="4">
        <v>45938</v>
      </c>
      <c r="AL90" s="4">
        <v>45940</v>
      </c>
      <c r="AM90" s="4">
        <v>45940</v>
      </c>
      <c r="AN90" s="2">
        <f t="shared" ref="AN90:AN95" si="23">C90</f>
        <v>20250083</v>
      </c>
      <c r="AO90" s="4">
        <f t="shared" ref="AO90:AO95" si="24">AH90</f>
        <v>45930</v>
      </c>
      <c r="AP90" s="16">
        <v>845.49829999999997</v>
      </c>
      <c r="AQ90" s="8">
        <f t="shared" ref="AQ90:AQ95" si="25">X90*AP90</f>
        <v>83706.02269659999</v>
      </c>
      <c r="AR90" s="13">
        <v>5.3223000000000003</v>
      </c>
      <c r="AS90" s="19">
        <f>Tabela1[[#This Row],[TAXA]]*Tabela1[[#This Row],[VALOR TOTAL  USD]]</f>
        <v>445508.56459811417</v>
      </c>
      <c r="AT90" s="71">
        <v>14</v>
      </c>
      <c r="AU90" s="72">
        <f>Tabela1[[#This Row],[DATA NF EXP]]-Tabela1[[#This Row],[CARREGAMENTO]]</f>
        <v>4</v>
      </c>
      <c r="AV90" s="72">
        <f>Tabela1[[#This Row],[Realizado]]-Tabela1[[#This Row],[Previsto]]</f>
        <v>-10</v>
      </c>
      <c r="AW90" s="72" t="str">
        <f>IF(Tabela1[[#This Row],[Resultado]]&lt;=0,"Atendido","Não atendido")</f>
        <v>Atendido</v>
      </c>
    </row>
    <row r="91" spans="1:49" x14ac:dyDescent="0.2">
      <c r="A91" s="17" t="s">
        <v>37</v>
      </c>
      <c r="B91" s="2" t="s">
        <v>613</v>
      </c>
      <c r="C91" s="3">
        <v>20250084</v>
      </c>
      <c r="D91" s="2" t="s">
        <v>38</v>
      </c>
      <c r="E91" s="2" t="s">
        <v>44</v>
      </c>
      <c r="F91" s="2">
        <v>9836713</v>
      </c>
      <c r="G91" s="2" t="s">
        <v>788</v>
      </c>
      <c r="H91" s="2" t="s">
        <v>130</v>
      </c>
      <c r="I91" s="2" t="s">
        <v>789</v>
      </c>
      <c r="J91" s="2">
        <v>25000456700</v>
      </c>
      <c r="K91" s="2" t="s">
        <v>159</v>
      </c>
      <c r="L91" s="2" t="s">
        <v>790</v>
      </c>
      <c r="M91" s="2" t="s">
        <v>496</v>
      </c>
      <c r="N91" s="107">
        <v>2000</v>
      </c>
      <c r="O91" s="107">
        <v>4250</v>
      </c>
      <c r="P91" s="107">
        <f>Tabela1[[#This Row],[Valor anterior]]-Tabela1[[#This Row],[VALOR]]</f>
        <v>2250</v>
      </c>
      <c r="Q91" s="14" t="s">
        <v>791</v>
      </c>
      <c r="R91" s="4">
        <v>45925</v>
      </c>
      <c r="S91" s="7" t="s">
        <v>831</v>
      </c>
      <c r="T91" s="4">
        <v>45933</v>
      </c>
      <c r="U91" s="5">
        <v>200</v>
      </c>
      <c r="V91" s="5">
        <v>400</v>
      </c>
      <c r="W91" s="6" t="s">
        <v>43</v>
      </c>
      <c r="X91" s="15">
        <v>200</v>
      </c>
      <c r="Y91" s="5">
        <f t="shared" si="20"/>
        <v>200</v>
      </c>
      <c r="Z91" s="4">
        <v>45933</v>
      </c>
      <c r="AA91" s="4" t="str">
        <f t="shared" si="21"/>
        <v>OUT</v>
      </c>
      <c r="AB91" s="4">
        <f t="shared" si="22"/>
        <v>45947</v>
      </c>
      <c r="AC91" s="2">
        <v>221</v>
      </c>
      <c r="AD91" s="7" t="s">
        <v>122</v>
      </c>
      <c r="AE91" s="7" t="s">
        <v>835</v>
      </c>
      <c r="AF91" s="4">
        <v>45934</v>
      </c>
      <c r="AG91" s="7" t="s">
        <v>836</v>
      </c>
      <c r="AH91" s="4">
        <v>45936</v>
      </c>
      <c r="AI91" s="2" t="s">
        <v>843</v>
      </c>
      <c r="AJ91" s="2" t="s">
        <v>844</v>
      </c>
      <c r="AK91" s="4">
        <v>45937</v>
      </c>
      <c r="AL91" s="4">
        <v>45937</v>
      </c>
      <c r="AM91" s="4">
        <v>45937</v>
      </c>
      <c r="AN91" s="2">
        <f t="shared" si="23"/>
        <v>20250084</v>
      </c>
      <c r="AO91" s="4">
        <f t="shared" si="24"/>
        <v>45936</v>
      </c>
      <c r="AP91" s="16">
        <v>569</v>
      </c>
      <c r="AQ91" s="8">
        <f t="shared" si="25"/>
        <v>113800</v>
      </c>
      <c r="AR91" s="13">
        <v>5.3491999999999997</v>
      </c>
      <c r="AS91" s="19">
        <f>Tabela1[[#This Row],[TAXA]]*Tabela1[[#This Row],[VALOR TOTAL  USD]]</f>
        <v>608738.96</v>
      </c>
      <c r="AT91" s="71">
        <v>14</v>
      </c>
      <c r="AU91" s="72">
        <f>Tabela1[[#This Row],[DATA NF EXP]]-Tabela1[[#This Row],[CARREGAMENTO]]</f>
        <v>3</v>
      </c>
      <c r="AV91" s="72">
        <f>Tabela1[[#This Row],[Realizado]]-Tabela1[[#This Row],[Previsto]]</f>
        <v>-11</v>
      </c>
      <c r="AW91" s="72" t="str">
        <f>IF(Tabela1[[#This Row],[Resultado]]&lt;=0,"Atendido","Não atendido")</f>
        <v>Atendido</v>
      </c>
    </row>
    <row r="92" spans="1:49" x14ac:dyDescent="0.2">
      <c r="A92" s="17" t="s">
        <v>37</v>
      </c>
      <c r="B92" s="2" t="s">
        <v>613</v>
      </c>
      <c r="C92" s="3">
        <v>20250085</v>
      </c>
      <c r="D92" s="2" t="s">
        <v>46</v>
      </c>
      <c r="E92" s="2" t="s">
        <v>44</v>
      </c>
      <c r="F92" s="2">
        <v>11474866</v>
      </c>
      <c r="G92" s="2" t="s">
        <v>556</v>
      </c>
      <c r="H92" s="2" t="s">
        <v>387</v>
      </c>
      <c r="I92" s="2" t="s">
        <v>53</v>
      </c>
      <c r="J92" s="2">
        <v>25000478461</v>
      </c>
      <c r="K92" s="2" t="s">
        <v>796</v>
      </c>
      <c r="L92" s="2" t="s">
        <v>53</v>
      </c>
      <c r="M92" s="2" t="s">
        <v>496</v>
      </c>
      <c r="N92" s="107">
        <v>2000</v>
      </c>
      <c r="O92" s="107">
        <v>4250</v>
      </c>
      <c r="P92" s="107">
        <f>Tabela1[[#This Row],[Valor anterior]]-Tabela1[[#This Row],[VALOR]]</f>
        <v>2250</v>
      </c>
      <c r="Q92" s="14" t="s">
        <v>810</v>
      </c>
      <c r="R92" s="4">
        <v>45930</v>
      </c>
      <c r="S92" s="7" t="s">
        <v>820</v>
      </c>
      <c r="T92" s="4">
        <v>45931</v>
      </c>
      <c r="U92" s="5">
        <v>100</v>
      </c>
      <c r="V92" s="5">
        <v>200</v>
      </c>
      <c r="W92" s="6" t="s">
        <v>43</v>
      </c>
      <c r="X92" s="15">
        <v>80.447000000000003</v>
      </c>
      <c r="Y92" s="5">
        <f t="shared" si="20"/>
        <v>119.553</v>
      </c>
      <c r="Z92" s="4">
        <v>45932</v>
      </c>
      <c r="AA92" s="4" t="str">
        <f t="shared" si="21"/>
        <v>OUT</v>
      </c>
      <c r="AB92" s="4">
        <f t="shared" si="22"/>
        <v>45946</v>
      </c>
      <c r="AC92" s="2">
        <v>220</v>
      </c>
      <c r="AD92" s="7" t="s">
        <v>122</v>
      </c>
      <c r="AE92" s="7" t="s">
        <v>834</v>
      </c>
      <c r="AF92" s="4">
        <v>45933</v>
      </c>
      <c r="AG92" s="7" t="s">
        <v>840</v>
      </c>
      <c r="AH92" s="4">
        <v>45936</v>
      </c>
      <c r="AI92" s="2" t="s">
        <v>847</v>
      </c>
      <c r="AJ92" s="2" t="s">
        <v>848</v>
      </c>
      <c r="AK92" s="4">
        <v>45938</v>
      </c>
      <c r="AL92" s="4">
        <v>45938</v>
      </c>
      <c r="AM92" s="4">
        <v>45938</v>
      </c>
      <c r="AN92" s="2">
        <f t="shared" si="23"/>
        <v>20250085</v>
      </c>
      <c r="AO92" s="4">
        <f t="shared" si="24"/>
        <v>45936</v>
      </c>
      <c r="AP92" s="16">
        <v>1089.52</v>
      </c>
      <c r="AQ92" s="8">
        <f t="shared" si="25"/>
        <v>87648.615440000009</v>
      </c>
      <c r="AR92" s="13">
        <v>5.3491999999999997</v>
      </c>
      <c r="AS92" s="19">
        <f>Tabela1[[#This Row],[TAXA]]*Tabela1[[#This Row],[VALOR TOTAL  USD]]</f>
        <v>468849.97371164802</v>
      </c>
      <c r="AT92" s="71">
        <v>14</v>
      </c>
      <c r="AU92" s="72">
        <f>Tabela1[[#This Row],[DATA NF EXP]]-Tabela1[[#This Row],[CARREGAMENTO]]</f>
        <v>4</v>
      </c>
      <c r="AV92" s="72">
        <f>Tabela1[[#This Row],[Realizado]]-Tabela1[[#This Row],[Previsto]]</f>
        <v>-10</v>
      </c>
      <c r="AW92" s="72" t="str">
        <f>IF(Tabela1[[#This Row],[Resultado]]&lt;=0,"Atendido","Não atendido")</f>
        <v>Atendido</v>
      </c>
    </row>
    <row r="93" spans="1:49" x14ac:dyDescent="0.2">
      <c r="A93" s="17" t="s">
        <v>212</v>
      </c>
      <c r="B93" s="2" t="s">
        <v>613</v>
      </c>
      <c r="C93" s="3">
        <v>20250086</v>
      </c>
      <c r="D93" s="2" t="s">
        <v>38</v>
      </c>
      <c r="E93" s="2" t="s">
        <v>44</v>
      </c>
      <c r="F93" s="2">
        <v>9309253</v>
      </c>
      <c r="G93" s="2" t="s">
        <v>813</v>
      </c>
      <c r="H93" s="2" t="s">
        <v>387</v>
      </c>
      <c r="I93" s="2" t="s">
        <v>814</v>
      </c>
      <c r="J93" s="2">
        <v>25000463359</v>
      </c>
      <c r="K93" s="2" t="s">
        <v>160</v>
      </c>
      <c r="L93" s="2" t="s">
        <v>50</v>
      </c>
      <c r="M93" s="2" t="s">
        <v>496</v>
      </c>
      <c r="N93" s="107">
        <v>2000</v>
      </c>
      <c r="O93" s="107">
        <v>4250</v>
      </c>
      <c r="P93" s="107">
        <f>Tabela1[[#This Row],[Valor anterior]]-Tabela1[[#This Row],[VALOR]]</f>
        <v>2250</v>
      </c>
      <c r="Q93" s="14" t="s">
        <v>817</v>
      </c>
      <c r="R93" s="4">
        <v>45930</v>
      </c>
      <c r="S93" s="7" t="s">
        <v>845</v>
      </c>
      <c r="T93" s="4">
        <v>45936</v>
      </c>
      <c r="U93" s="5">
        <v>740</v>
      </c>
      <c r="V93" s="5">
        <v>1400</v>
      </c>
      <c r="W93" s="6" t="s">
        <v>43</v>
      </c>
      <c r="X93" s="15">
        <v>739.2</v>
      </c>
      <c r="Y93" s="5">
        <f t="shared" si="20"/>
        <v>660.8</v>
      </c>
      <c r="Z93" s="4">
        <v>45942</v>
      </c>
      <c r="AA93" s="4" t="str">
        <f t="shared" si="21"/>
        <v>OUT</v>
      </c>
      <c r="AB93" s="4">
        <f t="shared" si="22"/>
        <v>45956</v>
      </c>
      <c r="AC93" s="2">
        <v>222</v>
      </c>
      <c r="AD93" s="7" t="s">
        <v>122</v>
      </c>
      <c r="AE93" s="7"/>
      <c r="AF93" s="4"/>
      <c r="AG93" s="7"/>
      <c r="AH93" s="4"/>
      <c r="AI93" s="2"/>
      <c r="AJ93" s="2"/>
      <c r="AK93" s="4"/>
      <c r="AL93" s="4"/>
      <c r="AM93" s="4"/>
      <c r="AN93" s="2">
        <f t="shared" si="23"/>
        <v>20250086</v>
      </c>
      <c r="AO93" s="4">
        <f t="shared" si="24"/>
        <v>0</v>
      </c>
      <c r="AP93" s="16">
        <v>510</v>
      </c>
      <c r="AQ93" s="8">
        <f t="shared" si="25"/>
        <v>376992</v>
      </c>
      <c r="AR93" s="13">
        <v>0</v>
      </c>
      <c r="AS93" s="19">
        <f>Tabela1[[#This Row],[TAXA]]*Tabela1[[#This Row],[VALOR TOTAL  USD]]</f>
        <v>0</v>
      </c>
      <c r="AT93" s="71">
        <v>14</v>
      </c>
      <c r="AU93" s="72">
        <f>Tabela1[[#This Row],[DATA NF EXP]]-Tabela1[[#This Row],[CARREGAMENTO]]</f>
        <v>-45942</v>
      </c>
      <c r="AV93" s="72">
        <f>Tabela1[[#This Row],[Realizado]]-Tabela1[[#This Row],[Previsto]]</f>
        <v>-45956</v>
      </c>
      <c r="AW93" s="72" t="str">
        <f>IF(Tabela1[[#This Row],[Resultado]]&lt;=0,"Atendido","Não atendido")</f>
        <v>Atendido</v>
      </c>
    </row>
    <row r="94" spans="1:49" x14ac:dyDescent="0.2">
      <c r="A94" s="17" t="s">
        <v>37</v>
      </c>
      <c r="B94" s="2" t="s">
        <v>613</v>
      </c>
      <c r="C94" s="3">
        <v>20250087</v>
      </c>
      <c r="D94" s="2" t="s">
        <v>46</v>
      </c>
      <c r="E94" s="2" t="s">
        <v>44</v>
      </c>
      <c r="F94" s="2">
        <v>11465697</v>
      </c>
      <c r="G94" s="2" t="s">
        <v>780</v>
      </c>
      <c r="H94" s="2" t="s">
        <v>391</v>
      </c>
      <c r="I94" s="2" t="s">
        <v>392</v>
      </c>
      <c r="J94" s="2">
        <v>25000374054</v>
      </c>
      <c r="K94" s="2" t="s">
        <v>796</v>
      </c>
      <c r="L94" s="2" t="s">
        <v>392</v>
      </c>
      <c r="M94" s="2" t="s">
        <v>496</v>
      </c>
      <c r="N94" s="107">
        <v>2000</v>
      </c>
      <c r="O94" s="107">
        <v>4250</v>
      </c>
      <c r="P94" s="107">
        <f>Tabela1[[#This Row],[Valor anterior]]-Tabela1[[#This Row],[VALOR]]</f>
        <v>2250</v>
      </c>
      <c r="Q94" s="14" t="s">
        <v>819</v>
      </c>
      <c r="R94" s="4">
        <v>45931</v>
      </c>
      <c r="S94" s="7" t="s">
        <v>821</v>
      </c>
      <c r="T94" s="4">
        <v>45931</v>
      </c>
      <c r="U94" s="5">
        <v>180</v>
      </c>
      <c r="V94" s="5">
        <v>90</v>
      </c>
      <c r="W94" s="6" t="s">
        <v>43</v>
      </c>
      <c r="X94" s="15">
        <v>53.186999999999998</v>
      </c>
      <c r="Y94" s="5">
        <f t="shared" si="20"/>
        <v>36.813000000000002</v>
      </c>
      <c r="Z94" s="4">
        <v>45931</v>
      </c>
      <c r="AA94" s="4" t="str">
        <f t="shared" si="21"/>
        <v>OUT</v>
      </c>
      <c r="AB94" s="4">
        <f t="shared" si="22"/>
        <v>45945</v>
      </c>
      <c r="AC94" s="2">
        <v>219</v>
      </c>
      <c r="AD94" s="7" t="s">
        <v>122</v>
      </c>
      <c r="AE94" s="7" t="s">
        <v>833</v>
      </c>
      <c r="AF94" s="4">
        <v>45933</v>
      </c>
      <c r="AG94" s="7" t="s">
        <v>877</v>
      </c>
      <c r="AH94" s="4">
        <v>45939</v>
      </c>
      <c r="AI94" s="2" t="s">
        <v>875</v>
      </c>
      <c r="AJ94" s="2" t="s">
        <v>876</v>
      </c>
      <c r="AK94" s="4">
        <v>45943</v>
      </c>
      <c r="AL94" s="4">
        <v>45943</v>
      </c>
      <c r="AM94" s="4">
        <v>45943</v>
      </c>
      <c r="AN94" s="2">
        <f t="shared" si="23"/>
        <v>20250087</v>
      </c>
      <c r="AO94" s="4">
        <f t="shared" si="24"/>
        <v>45939</v>
      </c>
      <c r="AP94" s="16">
        <v>1337.9951000000001</v>
      </c>
      <c r="AQ94" s="8">
        <f t="shared" si="25"/>
        <v>71163.945383700004</v>
      </c>
      <c r="AR94" s="13">
        <v>5.3421000000000003</v>
      </c>
      <c r="AS94" s="19">
        <f>Tabela1[[#This Row],[TAXA]]*Tabela1[[#This Row],[VALOR TOTAL  USD]]</f>
        <v>380164.9126342638</v>
      </c>
      <c r="AT94" s="71">
        <v>14</v>
      </c>
      <c r="AU94" s="72">
        <f>Tabela1[[#This Row],[DATA NF EXP]]-Tabela1[[#This Row],[CARREGAMENTO]]</f>
        <v>8</v>
      </c>
      <c r="AV94" s="72">
        <f>Tabela1[[#This Row],[Realizado]]-Tabela1[[#This Row],[Previsto]]</f>
        <v>-6</v>
      </c>
      <c r="AW94" s="72" t="str">
        <f>IF(Tabela1[[#This Row],[Resultado]]&lt;=0,"Atendido","Não atendido")</f>
        <v>Atendido</v>
      </c>
    </row>
    <row r="95" spans="1:49" x14ac:dyDescent="0.2">
      <c r="A95" s="17" t="s">
        <v>37</v>
      </c>
      <c r="B95" s="2" t="s">
        <v>613</v>
      </c>
      <c r="C95" s="3">
        <v>20250088</v>
      </c>
      <c r="D95" s="2" t="s">
        <v>46</v>
      </c>
      <c r="E95" s="2" t="s">
        <v>44</v>
      </c>
      <c r="F95" s="2">
        <v>11441194</v>
      </c>
      <c r="G95" s="2" t="s">
        <v>517</v>
      </c>
      <c r="H95" s="2" t="s">
        <v>387</v>
      </c>
      <c r="I95" s="2" t="s">
        <v>53</v>
      </c>
      <c r="J95" s="2">
        <v>25000490453</v>
      </c>
      <c r="K95" s="2" t="s">
        <v>796</v>
      </c>
      <c r="L95" s="2" t="s">
        <v>53</v>
      </c>
      <c r="M95" s="2" t="s">
        <v>496</v>
      </c>
      <c r="N95" s="107">
        <v>2000</v>
      </c>
      <c r="O95" s="107">
        <v>4250</v>
      </c>
      <c r="P95" s="107">
        <f>Tabela1[[#This Row],[Valor anterior]]-Tabela1[[#This Row],[VALOR]]</f>
        <v>2250</v>
      </c>
      <c r="Q95" s="14" t="s">
        <v>838</v>
      </c>
      <c r="R95" s="4">
        <v>45936</v>
      </c>
      <c r="S95" s="7" t="s">
        <v>846</v>
      </c>
      <c r="T95" s="4">
        <v>45936</v>
      </c>
      <c r="U95" s="5">
        <v>100</v>
      </c>
      <c r="V95" s="5">
        <v>200</v>
      </c>
      <c r="W95" s="6" t="s">
        <v>43</v>
      </c>
      <c r="X95" s="15">
        <v>101.663</v>
      </c>
      <c r="Y95" s="5">
        <f t="shared" si="20"/>
        <v>98.337000000000003</v>
      </c>
      <c r="Z95" s="4">
        <v>45938</v>
      </c>
      <c r="AA95" s="4" t="str">
        <f t="shared" si="21"/>
        <v>OUT</v>
      </c>
      <c r="AB95" s="4">
        <f t="shared" si="22"/>
        <v>45952</v>
      </c>
      <c r="AC95" s="2">
        <v>223</v>
      </c>
      <c r="AD95" s="7" t="s">
        <v>122</v>
      </c>
      <c r="AE95" s="7" t="s">
        <v>895</v>
      </c>
      <c r="AF95" s="4">
        <v>45943</v>
      </c>
      <c r="AG95" s="7" t="s">
        <v>917</v>
      </c>
      <c r="AH95" s="4">
        <v>45952</v>
      </c>
      <c r="AI95" s="2" t="s">
        <v>918</v>
      </c>
      <c r="AJ95" s="2" t="s">
        <v>919</v>
      </c>
      <c r="AK95" s="4">
        <v>45953</v>
      </c>
      <c r="AL95" s="4">
        <v>45953</v>
      </c>
      <c r="AM95" s="4">
        <v>45953</v>
      </c>
      <c r="AN95" s="2">
        <f t="shared" si="23"/>
        <v>20250088</v>
      </c>
      <c r="AO95" s="4">
        <f t="shared" si="24"/>
        <v>45952</v>
      </c>
      <c r="AP95" s="16">
        <v>1083.0835</v>
      </c>
      <c r="AQ95" s="8">
        <f t="shared" si="25"/>
        <v>110109.5178605</v>
      </c>
      <c r="AR95" s="13">
        <v>5.3841999999999999</v>
      </c>
      <c r="AS95" s="19">
        <f>Tabela1[[#This Row],[TAXA]]*Tabela1[[#This Row],[VALOR TOTAL  USD]]</f>
        <v>592851.66606450407</v>
      </c>
      <c r="AT95" s="71">
        <v>14</v>
      </c>
      <c r="AU95" s="72">
        <f>Tabela1[[#This Row],[DATA NF EXP]]-Tabela1[[#This Row],[CARREGAMENTO]]</f>
        <v>14</v>
      </c>
      <c r="AV95" s="72">
        <f>Tabela1[[#This Row],[Realizado]]-Tabela1[[#This Row],[Previsto]]</f>
        <v>0</v>
      </c>
      <c r="AW95" s="72" t="str">
        <f>IF(Tabela1[[#This Row],[Resultado]]&lt;=0,"Atendido","Não atendido")</f>
        <v>Atendido</v>
      </c>
    </row>
    <row r="96" spans="1:49" x14ac:dyDescent="0.2">
      <c r="A96" s="17" t="s">
        <v>37</v>
      </c>
      <c r="B96" s="2" t="s">
        <v>613</v>
      </c>
      <c r="C96" s="3">
        <v>20250089</v>
      </c>
      <c r="D96" s="2" t="s">
        <v>46</v>
      </c>
      <c r="E96" s="2" t="s">
        <v>44</v>
      </c>
      <c r="F96" s="2">
        <v>9934890</v>
      </c>
      <c r="G96" s="2" t="s">
        <v>869</v>
      </c>
      <c r="H96" s="2" t="s">
        <v>387</v>
      </c>
      <c r="I96" s="2" t="s">
        <v>868</v>
      </c>
      <c r="J96" s="2">
        <v>25000464410</v>
      </c>
      <c r="K96" s="2" t="s">
        <v>41</v>
      </c>
      <c r="L96" s="2" t="s">
        <v>50</v>
      </c>
      <c r="M96" s="2" t="s">
        <v>496</v>
      </c>
      <c r="N96" s="107">
        <v>2000</v>
      </c>
      <c r="O96" s="107">
        <v>4250</v>
      </c>
      <c r="P96" s="107">
        <f>Tabela1[[#This Row],[Valor anterior]]-Tabela1[[#This Row],[VALOR]]</f>
        <v>2250</v>
      </c>
      <c r="Q96" s="14" t="s">
        <v>870</v>
      </c>
      <c r="R96" s="4">
        <v>45940</v>
      </c>
      <c r="S96" s="7" t="s">
        <v>872</v>
      </c>
      <c r="T96" s="4">
        <v>45940</v>
      </c>
      <c r="U96" s="5">
        <v>60</v>
      </c>
      <c r="V96" s="5">
        <v>100</v>
      </c>
      <c r="W96" s="6" t="s">
        <v>43</v>
      </c>
      <c r="X96" s="15">
        <v>60.363</v>
      </c>
      <c r="Y96" s="5">
        <f t="shared" ref="Y96:Y101" si="26">V96-X96</f>
        <v>39.637</v>
      </c>
      <c r="Z96" s="4">
        <v>45940</v>
      </c>
      <c r="AA96" s="4" t="str">
        <f t="shared" ref="AA96:AA101" si="27">IF(Z96="","",UPPER(TEXT(Z96,"MMM")))</f>
        <v>OUT</v>
      </c>
      <c r="AB96" s="4">
        <f t="shared" ref="AB96:AB101" si="28">Z96+14</f>
        <v>45954</v>
      </c>
      <c r="AC96" s="2">
        <v>224</v>
      </c>
      <c r="AD96" s="7" t="s">
        <v>122</v>
      </c>
      <c r="AE96" s="7" t="s">
        <v>905</v>
      </c>
      <c r="AF96" s="4">
        <v>45946</v>
      </c>
      <c r="AG96" s="7" t="s">
        <v>904</v>
      </c>
      <c r="AH96" s="4">
        <v>45950</v>
      </c>
      <c r="AI96" s="2" t="s">
        <v>920</v>
      </c>
      <c r="AJ96" s="2" t="s">
        <v>921</v>
      </c>
      <c r="AK96" s="4">
        <v>45953</v>
      </c>
      <c r="AL96" s="4">
        <v>45954</v>
      </c>
      <c r="AM96" s="4">
        <v>45954</v>
      </c>
      <c r="AN96" s="2">
        <f t="shared" ref="AN96:AN101" si="29">C96</f>
        <v>20250089</v>
      </c>
      <c r="AO96" s="4">
        <f t="shared" ref="AO96:AO101" si="30">AH96</f>
        <v>45950</v>
      </c>
      <c r="AP96" s="16">
        <v>828.33</v>
      </c>
      <c r="AQ96" s="8">
        <f t="shared" ref="AQ96:AQ101" si="31">X96*AP96</f>
        <v>50000.483790000006</v>
      </c>
      <c r="AR96" s="13">
        <v>5.4383999999999997</v>
      </c>
      <c r="AS96" s="19">
        <f>Tabela1[[#This Row],[TAXA]]*Tabela1[[#This Row],[VALOR TOTAL  USD]]</f>
        <v>271922.63104353601</v>
      </c>
      <c r="AT96" s="71">
        <v>14</v>
      </c>
      <c r="AU96" s="72">
        <f>Tabela1[[#This Row],[DATA NF EXP]]-Tabela1[[#This Row],[CARREGAMENTO]]</f>
        <v>10</v>
      </c>
      <c r="AV96" s="72">
        <f>Tabela1[[#This Row],[Realizado]]-Tabela1[[#This Row],[Previsto]]</f>
        <v>-4</v>
      </c>
      <c r="AW96" s="72" t="str">
        <f>IF(Tabela1[[#This Row],[Resultado]]&lt;=0,"Atendido","Não atendido")</f>
        <v>Atendido</v>
      </c>
    </row>
    <row r="97" spans="1:49" x14ac:dyDescent="0.2">
      <c r="A97" s="17" t="s">
        <v>37</v>
      </c>
      <c r="B97" s="2" t="s">
        <v>613</v>
      </c>
      <c r="C97" s="3">
        <v>20250090</v>
      </c>
      <c r="D97" s="2" t="s">
        <v>38</v>
      </c>
      <c r="E97" s="2" t="s">
        <v>39</v>
      </c>
      <c r="F97" s="2">
        <v>9341794</v>
      </c>
      <c r="G97" s="2" t="s">
        <v>90</v>
      </c>
      <c r="H97" s="2" t="s">
        <v>387</v>
      </c>
      <c r="I97" s="2" t="s">
        <v>89</v>
      </c>
      <c r="J97" s="2">
        <v>25000493711</v>
      </c>
      <c r="K97" s="2" t="s">
        <v>161</v>
      </c>
      <c r="L97" s="2" t="s">
        <v>91</v>
      </c>
      <c r="M97" s="2" t="s">
        <v>496</v>
      </c>
      <c r="N97" s="107">
        <v>2000</v>
      </c>
      <c r="O97" s="107">
        <v>4250</v>
      </c>
      <c r="P97" s="107">
        <f>Tabela1[[#This Row],[Valor anterior]]-Tabela1[[#This Row],[VALOR]]</f>
        <v>2250</v>
      </c>
      <c r="Q97" s="14" t="s">
        <v>878</v>
      </c>
      <c r="R97" s="4">
        <v>45938</v>
      </c>
      <c r="S97" s="7" t="s">
        <v>912</v>
      </c>
      <c r="T97" s="4">
        <v>45947</v>
      </c>
      <c r="U97" s="5">
        <v>350</v>
      </c>
      <c r="V97" s="5">
        <v>700</v>
      </c>
      <c r="W97" s="6" t="s">
        <v>43</v>
      </c>
      <c r="X97" s="15">
        <v>351.63</v>
      </c>
      <c r="Y97" s="5">
        <f t="shared" si="26"/>
        <v>348.37</v>
      </c>
      <c r="Z97" s="4">
        <v>45952</v>
      </c>
      <c r="AA97" s="4" t="str">
        <f t="shared" si="27"/>
        <v>OUT</v>
      </c>
      <c r="AB97" s="4">
        <f t="shared" si="28"/>
        <v>45966</v>
      </c>
      <c r="AC97" s="2">
        <v>226</v>
      </c>
      <c r="AD97" s="7" t="s">
        <v>122</v>
      </c>
      <c r="AE97" s="7" t="s">
        <v>122</v>
      </c>
      <c r="AF97" s="4" t="s">
        <v>122</v>
      </c>
      <c r="AG97" s="7" t="s">
        <v>122</v>
      </c>
      <c r="AH97" s="4" t="s">
        <v>122</v>
      </c>
      <c r="AI97" s="2" t="s">
        <v>122</v>
      </c>
      <c r="AJ97" s="2" t="s">
        <v>122</v>
      </c>
      <c r="AK97" s="4" t="s">
        <v>122</v>
      </c>
      <c r="AL97" s="4" t="s">
        <v>122</v>
      </c>
      <c r="AM97" s="4" t="s">
        <v>122</v>
      </c>
      <c r="AN97" s="2">
        <f t="shared" si="29"/>
        <v>20250090</v>
      </c>
      <c r="AO97" s="4" t="str">
        <f t="shared" si="30"/>
        <v>NA</v>
      </c>
      <c r="AP97" s="16">
        <v>514</v>
      </c>
      <c r="AQ97" s="8">
        <f t="shared" si="31"/>
        <v>180737.82</v>
      </c>
      <c r="AR97" s="13">
        <v>0</v>
      </c>
      <c r="AS97" s="19">
        <f>Tabela1[[#This Row],[TAXA]]*Tabela1[[#This Row],[VALOR TOTAL  USD]]</f>
        <v>0</v>
      </c>
      <c r="AT97" s="71">
        <v>14</v>
      </c>
      <c r="AU97" s="72" t="e">
        <f>Tabela1[[#This Row],[DATA NF EXP]]-Tabela1[[#This Row],[CARREGAMENTO]]</f>
        <v>#VALUE!</v>
      </c>
      <c r="AV97" s="72" t="e">
        <f>Tabela1[[#This Row],[Realizado]]-Tabela1[[#This Row],[Previsto]]</f>
        <v>#VALUE!</v>
      </c>
      <c r="AW97" s="72" t="e">
        <f>IF(Tabela1[[#This Row],[Resultado]]&lt;=0,"Atendido","Não atendido")</f>
        <v>#VALUE!</v>
      </c>
    </row>
    <row r="98" spans="1:49" x14ac:dyDescent="0.2">
      <c r="A98" s="17" t="s">
        <v>212</v>
      </c>
      <c r="B98" s="2" t="s">
        <v>613</v>
      </c>
      <c r="C98" s="3">
        <v>20250091</v>
      </c>
      <c r="D98" s="2" t="s">
        <v>38</v>
      </c>
      <c r="E98" s="2" t="s">
        <v>44</v>
      </c>
      <c r="F98" s="2">
        <v>9494474</v>
      </c>
      <c r="G98" s="2" t="s">
        <v>879</v>
      </c>
      <c r="H98" s="2" t="s">
        <v>387</v>
      </c>
      <c r="I98" s="2" t="s">
        <v>880</v>
      </c>
      <c r="J98" s="2">
        <v>25000501870</v>
      </c>
      <c r="K98" s="2" t="s">
        <v>159</v>
      </c>
      <c r="L98" s="2" t="s">
        <v>881</v>
      </c>
      <c r="M98" s="2" t="s">
        <v>496</v>
      </c>
      <c r="N98" s="107">
        <v>2000</v>
      </c>
      <c r="O98" s="107">
        <v>4250</v>
      </c>
      <c r="P98" s="107">
        <f>Tabela1[[#This Row],[Valor anterior]]-Tabela1[[#This Row],[VALOR]]</f>
        <v>2250</v>
      </c>
      <c r="Q98" s="14" t="s">
        <v>882</v>
      </c>
      <c r="R98" s="4">
        <v>45943</v>
      </c>
      <c r="S98" s="7" t="s">
        <v>901</v>
      </c>
      <c r="T98" s="4">
        <v>45947</v>
      </c>
      <c r="U98" s="5">
        <v>700</v>
      </c>
      <c r="V98" s="5">
        <v>1100</v>
      </c>
      <c r="W98" s="6" t="s">
        <v>43</v>
      </c>
      <c r="X98" s="15">
        <v>553.57000000000005</v>
      </c>
      <c r="Y98" s="5">
        <f t="shared" si="26"/>
        <v>546.42999999999995</v>
      </c>
      <c r="Z98" s="4">
        <v>45948</v>
      </c>
      <c r="AA98" s="4" t="str">
        <f t="shared" si="27"/>
        <v>OUT</v>
      </c>
      <c r="AB98" s="4">
        <f t="shared" si="28"/>
        <v>45962</v>
      </c>
      <c r="AC98" s="2">
        <v>225</v>
      </c>
      <c r="AD98" s="7" t="s">
        <v>122</v>
      </c>
      <c r="AE98" s="7"/>
      <c r="AF98" s="4"/>
      <c r="AG98" s="7"/>
      <c r="AH98" s="4"/>
      <c r="AI98" s="2"/>
      <c r="AJ98" s="2"/>
      <c r="AK98" s="4"/>
      <c r="AL98" s="4"/>
      <c r="AM98" s="4"/>
      <c r="AN98" s="2">
        <f t="shared" si="29"/>
        <v>20250091</v>
      </c>
      <c r="AO98" s="4">
        <f t="shared" si="30"/>
        <v>0</v>
      </c>
      <c r="AP98" s="16">
        <v>528</v>
      </c>
      <c r="AQ98" s="8">
        <f t="shared" si="31"/>
        <v>292284.96000000002</v>
      </c>
      <c r="AR98" s="13">
        <v>0</v>
      </c>
      <c r="AS98" s="19">
        <f>Tabela1[[#This Row],[TAXA]]*Tabela1[[#This Row],[VALOR TOTAL  USD]]</f>
        <v>0</v>
      </c>
      <c r="AT98" s="71">
        <v>14</v>
      </c>
      <c r="AU98" s="72">
        <f>Tabela1[[#This Row],[DATA NF EXP]]-Tabela1[[#This Row],[CARREGAMENTO]]</f>
        <v>-45948</v>
      </c>
      <c r="AV98" s="72">
        <f>Tabela1[[#This Row],[Realizado]]-Tabela1[[#This Row],[Previsto]]</f>
        <v>-45962</v>
      </c>
      <c r="AW98" s="72" t="str">
        <f>IF(Tabela1[[#This Row],[Resultado]]&lt;=0,"Atendido","Não atendido")</f>
        <v>Atendido</v>
      </c>
    </row>
    <row r="99" spans="1:49" ht="24" x14ac:dyDescent="0.2">
      <c r="A99" s="17" t="s">
        <v>896</v>
      </c>
      <c r="B99" s="2" t="s">
        <v>59</v>
      </c>
      <c r="C99" s="3">
        <v>20250092</v>
      </c>
      <c r="D99" s="2" t="s">
        <v>38</v>
      </c>
      <c r="E99" s="2" t="s">
        <v>44</v>
      </c>
      <c r="F99" s="2">
        <v>9314882</v>
      </c>
      <c r="G99" s="2" t="s">
        <v>907</v>
      </c>
      <c r="H99" s="2" t="s">
        <v>387</v>
      </c>
      <c r="I99" s="2" t="s">
        <v>908</v>
      </c>
      <c r="J99" s="2">
        <v>25000513925</v>
      </c>
      <c r="K99" s="2" t="s">
        <v>41</v>
      </c>
      <c r="L99" s="2" t="s">
        <v>909</v>
      </c>
      <c r="M99" s="2" t="s">
        <v>496</v>
      </c>
      <c r="N99" s="107">
        <v>2000</v>
      </c>
      <c r="O99" s="107">
        <v>4250</v>
      </c>
      <c r="P99" s="107">
        <f>Tabela1[[#This Row],[Valor anterior]]-Tabela1[[#This Row],[VALOR]]</f>
        <v>2250</v>
      </c>
      <c r="Q99" s="14" t="s">
        <v>910</v>
      </c>
      <c r="R99" s="4">
        <v>45951</v>
      </c>
      <c r="S99" s="7"/>
      <c r="T99" s="4"/>
      <c r="U99" s="5">
        <v>500</v>
      </c>
      <c r="V99" s="5">
        <v>1000</v>
      </c>
      <c r="W99" s="6" t="s">
        <v>43</v>
      </c>
      <c r="X99" s="15"/>
      <c r="Y99" s="5">
        <f t="shared" si="26"/>
        <v>1000</v>
      </c>
      <c r="Z99" s="4"/>
      <c r="AA99" s="4" t="str">
        <f t="shared" si="27"/>
        <v/>
      </c>
      <c r="AB99" s="4">
        <f t="shared" si="28"/>
        <v>14</v>
      </c>
      <c r="AC99" s="2"/>
      <c r="AD99" s="7" t="s">
        <v>122</v>
      </c>
      <c r="AE99" s="7"/>
      <c r="AF99" s="4"/>
      <c r="AG99" s="7"/>
      <c r="AH99" s="4"/>
      <c r="AI99" s="2"/>
      <c r="AJ99" s="2"/>
      <c r="AK99" s="4"/>
      <c r="AL99" s="4"/>
      <c r="AM99" s="4"/>
      <c r="AN99" s="2">
        <f t="shared" si="29"/>
        <v>20250092</v>
      </c>
      <c r="AO99" s="4">
        <f t="shared" si="30"/>
        <v>0</v>
      </c>
      <c r="AP99" s="16">
        <v>521.80999999999995</v>
      </c>
      <c r="AQ99" s="8">
        <f t="shared" si="31"/>
        <v>0</v>
      </c>
      <c r="AR99" s="13">
        <v>0</v>
      </c>
      <c r="AS99" s="19">
        <f>Tabela1[[#This Row],[TAXA]]*Tabela1[[#This Row],[VALOR TOTAL  USD]]</f>
        <v>0</v>
      </c>
      <c r="AT99" s="71">
        <v>14</v>
      </c>
      <c r="AU99" s="72">
        <f>Tabela1[[#This Row],[DATA NF EXP]]-Tabela1[[#This Row],[CARREGAMENTO]]</f>
        <v>0</v>
      </c>
      <c r="AV99" s="72">
        <f>Tabela1[[#This Row],[Realizado]]-Tabela1[[#This Row],[Previsto]]</f>
        <v>-14</v>
      </c>
      <c r="AW99" s="72" t="str">
        <f>IF(Tabela1[[#This Row],[Resultado]]&lt;=0,"Atendido","Não atendido")</f>
        <v>Atendido</v>
      </c>
    </row>
    <row r="100" spans="1:49" ht="24" x14ac:dyDescent="0.2">
      <c r="A100" s="17" t="s">
        <v>896</v>
      </c>
      <c r="B100" s="2" t="s">
        <v>59</v>
      </c>
      <c r="C100" s="3">
        <v>20250093</v>
      </c>
      <c r="D100" s="2" t="s">
        <v>46</v>
      </c>
      <c r="E100" s="2" t="s">
        <v>44</v>
      </c>
      <c r="F100" s="2">
        <v>9314882</v>
      </c>
      <c r="G100" s="2" t="s">
        <v>907</v>
      </c>
      <c r="H100" s="2" t="s">
        <v>387</v>
      </c>
      <c r="I100" s="2" t="s">
        <v>908</v>
      </c>
      <c r="J100" s="2">
        <v>25000513925</v>
      </c>
      <c r="K100" s="2" t="s">
        <v>41</v>
      </c>
      <c r="L100" s="2" t="s">
        <v>909</v>
      </c>
      <c r="M100" s="2" t="s">
        <v>496</v>
      </c>
      <c r="N100" s="107">
        <v>2000</v>
      </c>
      <c r="O100" s="107">
        <v>4250</v>
      </c>
      <c r="P100" s="107">
        <f>Tabela1[[#This Row],[Valor anterior]]-Tabela1[[#This Row],[VALOR]]</f>
        <v>2250</v>
      </c>
      <c r="Q100" s="14" t="s">
        <v>911</v>
      </c>
      <c r="R100" s="4">
        <v>45951</v>
      </c>
      <c r="S100" s="7"/>
      <c r="T100" s="4"/>
      <c r="U100" s="5">
        <v>200</v>
      </c>
      <c r="V100" s="5">
        <v>400</v>
      </c>
      <c r="W100" s="6" t="s">
        <v>43</v>
      </c>
      <c r="X100" s="15"/>
      <c r="Y100" s="5">
        <f t="shared" si="26"/>
        <v>400</v>
      </c>
      <c r="Z100" s="4"/>
      <c r="AA100" s="4" t="str">
        <f t="shared" si="27"/>
        <v/>
      </c>
      <c r="AB100" s="4">
        <f t="shared" si="28"/>
        <v>14</v>
      </c>
      <c r="AC100" s="2"/>
      <c r="AD100" s="7" t="s">
        <v>122</v>
      </c>
      <c r="AE100" s="7"/>
      <c r="AF100" s="4"/>
      <c r="AG100" s="7"/>
      <c r="AH100" s="4"/>
      <c r="AI100" s="2"/>
      <c r="AJ100" s="2"/>
      <c r="AK100" s="4"/>
      <c r="AL100" s="4"/>
      <c r="AM100" s="4"/>
      <c r="AN100" s="2">
        <f t="shared" si="29"/>
        <v>20250093</v>
      </c>
      <c r="AO100" s="4">
        <f t="shared" si="30"/>
        <v>0</v>
      </c>
      <c r="AP100" s="16">
        <v>845.86</v>
      </c>
      <c r="AQ100" s="8">
        <f t="shared" si="31"/>
        <v>0</v>
      </c>
      <c r="AR100" s="13">
        <v>0</v>
      </c>
      <c r="AS100" s="19">
        <f>Tabela1[[#This Row],[TAXA]]*Tabela1[[#This Row],[VALOR TOTAL  USD]]</f>
        <v>0</v>
      </c>
      <c r="AT100" s="71">
        <v>14</v>
      </c>
      <c r="AU100" s="72">
        <f>Tabela1[[#This Row],[DATA NF EXP]]-Tabela1[[#This Row],[CARREGAMENTO]]</f>
        <v>0</v>
      </c>
      <c r="AV100" s="72">
        <f>Tabela1[[#This Row],[Realizado]]-Tabela1[[#This Row],[Previsto]]</f>
        <v>-14</v>
      </c>
      <c r="AW100" s="72" t="str">
        <f>IF(Tabela1[[#This Row],[Resultado]]&lt;=0,"Atendido","Não atendido")</f>
        <v>Atendido</v>
      </c>
    </row>
    <row r="101" spans="1:49" x14ac:dyDescent="0.2">
      <c r="A101" s="17" t="s">
        <v>212</v>
      </c>
      <c r="B101" s="2" t="s">
        <v>613</v>
      </c>
      <c r="C101" s="3">
        <v>20250094</v>
      </c>
      <c r="D101" s="2" t="s">
        <v>46</v>
      </c>
      <c r="E101" s="2" t="s">
        <v>44</v>
      </c>
      <c r="F101" s="2">
        <v>11473959</v>
      </c>
      <c r="G101" s="2" t="s">
        <v>914</v>
      </c>
      <c r="H101" s="2" t="s">
        <v>387</v>
      </c>
      <c r="I101" s="2" t="s">
        <v>53</v>
      </c>
      <c r="J101" s="2">
        <v>25000518757</v>
      </c>
      <c r="K101" s="2" t="s">
        <v>796</v>
      </c>
      <c r="L101" s="2" t="s">
        <v>53</v>
      </c>
      <c r="M101" s="2" t="s">
        <v>496</v>
      </c>
      <c r="N101" s="107">
        <v>2000</v>
      </c>
      <c r="O101" s="107">
        <v>4250</v>
      </c>
      <c r="P101" s="107">
        <f>Tabela1[[#This Row],[Valor anterior]]-Tabela1[[#This Row],[VALOR]]</f>
        <v>2250</v>
      </c>
      <c r="Q101" s="14" t="s">
        <v>915</v>
      </c>
      <c r="R101" s="4">
        <v>45953</v>
      </c>
      <c r="S101" s="7" t="s">
        <v>916</v>
      </c>
      <c r="T101" s="4">
        <v>45953</v>
      </c>
      <c r="U101" s="5">
        <v>100</v>
      </c>
      <c r="V101" s="5">
        <v>200</v>
      </c>
      <c r="W101" s="6" t="s">
        <v>43</v>
      </c>
      <c r="X101" s="15">
        <v>95.271000000000001</v>
      </c>
      <c r="Y101" s="5">
        <f t="shared" si="26"/>
        <v>104.729</v>
      </c>
      <c r="Z101" s="4">
        <v>45957</v>
      </c>
      <c r="AA101" s="4" t="str">
        <f t="shared" si="27"/>
        <v>OUT</v>
      </c>
      <c r="AB101" s="4">
        <f t="shared" si="28"/>
        <v>45971</v>
      </c>
      <c r="AC101" s="2">
        <v>227</v>
      </c>
      <c r="AD101" s="7" t="s">
        <v>122</v>
      </c>
      <c r="AE101" s="7"/>
      <c r="AF101" s="4"/>
      <c r="AG101" s="7"/>
      <c r="AH101" s="4"/>
      <c r="AI101" s="2"/>
      <c r="AJ101" s="2"/>
      <c r="AK101" s="4"/>
      <c r="AL101" s="4"/>
      <c r="AM101" s="4"/>
      <c r="AN101" s="2">
        <f t="shared" si="29"/>
        <v>20250094</v>
      </c>
      <c r="AO101" s="4">
        <f t="shared" si="30"/>
        <v>0</v>
      </c>
      <c r="AP101" s="35">
        <v>900</v>
      </c>
      <c r="AQ101" s="8">
        <f t="shared" si="31"/>
        <v>85743.9</v>
      </c>
      <c r="AR101" s="13">
        <v>0</v>
      </c>
      <c r="AS101" s="36">
        <f>Tabela1[[#This Row],[TAXA]]*Tabela1[[#This Row],[VALOR TOTAL  USD]]</f>
        <v>0</v>
      </c>
      <c r="AT101" s="115">
        <v>14</v>
      </c>
      <c r="AU101" s="2">
        <f>Tabela1[[#This Row],[DATA NF EXP]]-Tabela1[[#This Row],[CARREGAMENTO]]</f>
        <v>-45957</v>
      </c>
      <c r="AV101" s="2">
        <f>Tabela1[[#This Row],[Realizado]]-Tabela1[[#This Row],[Previsto]]</f>
        <v>-45971</v>
      </c>
      <c r="AW101" s="2" t="str">
        <f>IF(Tabela1[[#This Row],[Resultado]]&lt;=0,"Atendido","Não atendido")</f>
        <v>Atendido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6C6E-6C7D-479D-83D4-29E0A9944BBA}">
  <sheetPr codeName="Planilha2"/>
  <dimension ref="A1:AX41"/>
  <sheetViews>
    <sheetView showGridLines="0" tabSelected="1" zoomScale="85" zoomScaleNormal="85" workbookViewId="0">
      <pane ySplit="1" topLeftCell="A2" activePane="bottomLeft" state="frozen"/>
      <selection pane="bottomLeft" activeCell="F8" sqref="F8"/>
    </sheetView>
  </sheetViews>
  <sheetFormatPr defaultRowHeight="12" outlineLevelCol="1" x14ac:dyDescent="0.2"/>
  <cols>
    <col min="1" max="1" width="14.5703125" style="18" bestFit="1" customWidth="1"/>
    <col min="2" max="2" width="14.42578125" style="18" bestFit="1" customWidth="1"/>
    <col min="3" max="3" width="20.42578125" style="18" bestFit="1" customWidth="1"/>
    <col min="4" max="4" width="17.85546875" style="18" bestFit="1" customWidth="1"/>
    <col min="5" max="5" width="16.42578125" style="18" bestFit="1" customWidth="1"/>
    <col min="6" max="6" width="27.42578125" style="18" bestFit="1" customWidth="1" outlineLevel="1"/>
    <col min="7" max="7" width="29.85546875" style="18" bestFit="1" customWidth="1" outlineLevel="1"/>
    <col min="8" max="8" width="13.42578125" style="18" bestFit="1" customWidth="1" outlineLevel="1"/>
    <col min="9" max="9" width="20.140625" style="18" bestFit="1" customWidth="1" outlineLevel="1"/>
    <col min="10" max="10" width="32.85546875" style="18" bestFit="1" customWidth="1"/>
    <col min="11" max="11" width="13.7109375" style="18" bestFit="1" customWidth="1"/>
    <col min="12" max="12" width="10.42578125" style="18" bestFit="1" customWidth="1"/>
    <col min="13" max="13" width="20.42578125" style="18" bestFit="1" customWidth="1"/>
    <col min="14" max="14" width="13.42578125" style="18" bestFit="1" customWidth="1"/>
    <col min="15" max="15" width="21.28515625" style="18" bestFit="1" customWidth="1" outlineLevel="1"/>
    <col min="16" max="16" width="13.5703125" style="108" bestFit="1" customWidth="1" outlineLevel="1"/>
    <col min="17" max="18" width="13.5703125" style="108" customWidth="1" outlineLevel="1"/>
    <col min="19" max="19" width="12.85546875" style="18" bestFit="1" customWidth="1" outlineLevel="1"/>
    <col min="20" max="20" width="16.7109375" style="18" bestFit="1" customWidth="1" outlineLevel="1"/>
    <col min="21" max="21" width="18.140625" style="18" bestFit="1" customWidth="1"/>
    <col min="22" max="22" width="16.42578125" style="18" bestFit="1" customWidth="1"/>
    <col min="23" max="23" width="24.28515625" style="18" bestFit="1" customWidth="1"/>
    <col min="24" max="24" width="15.28515625" style="18" bestFit="1" customWidth="1"/>
    <col min="25" max="25" width="28.140625" style="18" bestFit="1" customWidth="1"/>
    <col min="26" max="26" width="23.5703125" style="18" bestFit="1" customWidth="1"/>
    <col min="27" max="27" width="23.28515625" style="18" bestFit="1" customWidth="1" outlineLevel="1"/>
    <col min="28" max="28" width="24.5703125" style="18" bestFit="1" customWidth="1" outlineLevel="1"/>
    <col min="29" max="29" width="25.85546875" style="18" bestFit="1" customWidth="1" outlineLevel="1"/>
    <col min="30" max="30" width="13.28515625" style="18" bestFit="1" customWidth="1"/>
    <col min="31" max="31" width="35.140625" style="18" bestFit="1" customWidth="1" outlineLevel="1"/>
    <col min="32" max="32" width="16.140625" style="18" bestFit="1" customWidth="1" outlineLevel="1"/>
    <col min="33" max="33" width="22" style="18" bestFit="1" customWidth="1" outlineLevel="1"/>
    <col min="34" max="34" width="16.140625" style="114" bestFit="1" customWidth="1" outlineLevel="1"/>
    <col min="35" max="35" width="19.5703125" style="18" bestFit="1" customWidth="1" outlineLevel="1"/>
    <col min="36" max="36" width="16.5703125" style="18" bestFit="1" customWidth="1"/>
    <col min="37" max="37" width="22.140625" style="18" bestFit="1" customWidth="1" outlineLevel="1"/>
    <col min="38" max="38" width="12.140625" style="18" bestFit="1" customWidth="1" outlineLevel="1"/>
    <col min="39" max="39" width="21.42578125" style="18" bestFit="1" customWidth="1" outlineLevel="1"/>
    <col min="40" max="40" width="18.5703125" style="18" bestFit="1" customWidth="1" outlineLevel="1"/>
    <col min="41" max="41" width="17" style="18" bestFit="1" customWidth="1"/>
    <col min="42" max="42" width="23.85546875" style="18" bestFit="1" customWidth="1"/>
    <col min="43" max="43" width="14.7109375" style="18" bestFit="1" customWidth="1"/>
    <col min="44" max="44" width="26.42578125" style="18" bestFit="1" customWidth="1"/>
    <col min="45" max="45" width="12.140625" style="18" bestFit="1" customWidth="1"/>
    <col min="46" max="46" width="26.85546875" style="18" bestFit="1" customWidth="1"/>
    <col min="47" max="47" width="14.42578125" style="18" bestFit="1" customWidth="1"/>
    <col min="48" max="48" width="16.140625" style="18" bestFit="1" customWidth="1"/>
    <col min="49" max="49" width="16.28515625" style="18" bestFit="1" customWidth="1"/>
    <col min="50" max="50" width="17.42578125" style="18" bestFit="1" customWidth="1"/>
    <col min="51" max="16384" width="9.140625" style="18"/>
  </cols>
  <sheetData>
    <row r="1" spans="1:50" x14ac:dyDescent="0.2">
      <c r="A1" s="21" t="s">
        <v>0</v>
      </c>
      <c r="B1" s="21" t="s">
        <v>1</v>
      </c>
      <c r="C1" s="21" t="s">
        <v>355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249</v>
      </c>
      <c r="I1" s="9" t="s">
        <v>250</v>
      </c>
      <c r="J1" s="9" t="s">
        <v>6</v>
      </c>
      <c r="K1" s="9" t="s">
        <v>7</v>
      </c>
      <c r="L1" s="9" t="s">
        <v>8</v>
      </c>
      <c r="M1" s="9" t="s">
        <v>251</v>
      </c>
      <c r="N1" s="9" t="s">
        <v>10</v>
      </c>
      <c r="O1" s="9" t="s">
        <v>57</v>
      </c>
      <c r="P1" s="109" t="s">
        <v>566</v>
      </c>
      <c r="Q1" s="109" t="s">
        <v>871</v>
      </c>
      <c r="R1" s="109" t="s">
        <v>824</v>
      </c>
      <c r="S1" s="22" t="s">
        <v>252</v>
      </c>
      <c r="T1" s="23" t="s">
        <v>11</v>
      </c>
      <c r="U1" s="22" t="s">
        <v>253</v>
      </c>
      <c r="V1" s="23" t="s">
        <v>13</v>
      </c>
      <c r="W1" s="24" t="s">
        <v>14</v>
      </c>
      <c r="X1" s="25" t="s">
        <v>16</v>
      </c>
      <c r="Y1" s="26" t="s">
        <v>17</v>
      </c>
      <c r="Z1" s="27" t="s">
        <v>18</v>
      </c>
      <c r="AA1" s="23" t="s">
        <v>19</v>
      </c>
      <c r="AB1" s="23" t="s">
        <v>396</v>
      </c>
      <c r="AC1" s="28" t="s">
        <v>20</v>
      </c>
      <c r="AD1" s="22" t="s">
        <v>21</v>
      </c>
      <c r="AE1" s="10" t="s">
        <v>22</v>
      </c>
      <c r="AF1" s="22" t="s">
        <v>23</v>
      </c>
      <c r="AG1" s="23" t="s">
        <v>24</v>
      </c>
      <c r="AH1" s="73" t="s">
        <v>25</v>
      </c>
      <c r="AI1" s="23" t="s">
        <v>26</v>
      </c>
      <c r="AJ1" s="29" t="s">
        <v>27</v>
      </c>
      <c r="AK1" s="29" t="s">
        <v>338</v>
      </c>
      <c r="AL1" s="30" t="s">
        <v>28</v>
      </c>
      <c r="AM1" s="11" t="s">
        <v>29</v>
      </c>
      <c r="AN1" s="11" t="s">
        <v>30</v>
      </c>
      <c r="AO1" s="22" t="s">
        <v>31</v>
      </c>
      <c r="AP1" s="23" t="s">
        <v>32</v>
      </c>
      <c r="AQ1" s="31" t="s">
        <v>33</v>
      </c>
      <c r="AR1" s="12" t="s">
        <v>34</v>
      </c>
      <c r="AS1" s="32" t="s">
        <v>35</v>
      </c>
      <c r="AT1" s="1" t="s">
        <v>36</v>
      </c>
      <c r="AU1" s="69" t="s">
        <v>406</v>
      </c>
      <c r="AV1" s="70" t="s">
        <v>407</v>
      </c>
      <c r="AW1" s="70" t="s">
        <v>408</v>
      </c>
      <c r="AX1" s="70" t="s">
        <v>409</v>
      </c>
    </row>
    <row r="2" spans="1:50" x14ac:dyDescent="0.2">
      <c r="A2" s="2" t="s">
        <v>37</v>
      </c>
      <c r="B2" s="2" t="s">
        <v>258</v>
      </c>
      <c r="C2" s="2" t="s">
        <v>356</v>
      </c>
      <c r="D2" s="3" t="s">
        <v>257</v>
      </c>
      <c r="E2" s="2" t="s">
        <v>46</v>
      </c>
      <c r="F2" s="2" t="s">
        <v>44</v>
      </c>
      <c r="G2" s="2" t="s">
        <v>259</v>
      </c>
      <c r="H2" s="2" t="s">
        <v>260</v>
      </c>
      <c r="I2" s="2" t="s">
        <v>261</v>
      </c>
      <c r="J2" s="2" t="s">
        <v>262</v>
      </c>
      <c r="K2" s="2">
        <v>25000127472</v>
      </c>
      <c r="L2" s="2">
        <v>9004413</v>
      </c>
      <c r="M2" s="2" t="s">
        <v>256</v>
      </c>
      <c r="N2" s="2" t="s">
        <v>263</v>
      </c>
      <c r="O2" s="2" t="s">
        <v>42</v>
      </c>
      <c r="P2" s="107">
        <v>4250.3999999999996</v>
      </c>
      <c r="Q2" s="107">
        <v>4250.3999999999996</v>
      </c>
      <c r="R2" s="107">
        <f>Tabela2[[#This Row],[Valor anterior]]-Tabela2[[#This Row],[VALOR]]</f>
        <v>0</v>
      </c>
      <c r="S2" s="2"/>
      <c r="T2" s="2" t="s">
        <v>254</v>
      </c>
      <c r="U2" s="2" t="s">
        <v>264</v>
      </c>
      <c r="V2" s="4">
        <v>45751</v>
      </c>
      <c r="W2" s="5">
        <v>50</v>
      </c>
      <c r="X2" s="6" t="s">
        <v>43</v>
      </c>
      <c r="Y2" s="5">
        <v>50.197000000000003</v>
      </c>
      <c r="Z2" s="5">
        <f>Tabela2[[#This Row],[VOLUME NO STEM]]-Tabela2[[#This Row],[VOLUME CARREGADO]]</f>
        <v>-0.19700000000000273</v>
      </c>
      <c r="AA2" s="4">
        <v>45753</v>
      </c>
      <c r="AB2" s="4" t="str">
        <f t="shared" ref="AB2:AB11" si="0">IF(AA2="","",UPPER(TEXT(AA2,"MMM")))</f>
        <v>ABR</v>
      </c>
      <c r="AC2" s="4">
        <f t="shared" ref="AC2" si="1">AA2+14</f>
        <v>45767</v>
      </c>
      <c r="AD2" s="2">
        <v>265</v>
      </c>
      <c r="AE2" s="33" t="s">
        <v>255</v>
      </c>
      <c r="AF2" s="33" t="s">
        <v>255</v>
      </c>
      <c r="AG2" s="33" t="s">
        <v>255</v>
      </c>
      <c r="AH2" s="33" t="s">
        <v>740</v>
      </c>
      <c r="AI2" s="4">
        <v>45771</v>
      </c>
      <c r="AJ2" s="7" t="s">
        <v>317</v>
      </c>
      <c r="AK2" s="7" t="s">
        <v>347</v>
      </c>
      <c r="AL2" s="4">
        <v>45775</v>
      </c>
      <c r="AM2" s="4">
        <v>45777</v>
      </c>
      <c r="AN2" s="4">
        <v>45777</v>
      </c>
      <c r="AO2" s="7" t="str">
        <f t="shared" ref="AO2:AO7" si="2">D2</f>
        <v>PA20250001</v>
      </c>
      <c r="AP2" s="4">
        <f t="shared" ref="AP2:AP7" si="3">AI2</f>
        <v>45771</v>
      </c>
      <c r="AQ2" s="16">
        <v>865</v>
      </c>
      <c r="AR2" s="8">
        <f t="shared" ref="AR2:AR7" si="4">Y2*AQ2</f>
        <v>43420.404999999999</v>
      </c>
      <c r="AS2" s="5">
        <v>5.6874000000000002</v>
      </c>
      <c r="AT2" s="34">
        <f>Tabela2[[#This Row],[VALOR TOTAL  USD]]*Tabela2[[#This Row],[TAXA]]</f>
        <v>246949.21139700001</v>
      </c>
      <c r="AU2" s="71">
        <v>14</v>
      </c>
      <c r="AV2" s="72">
        <f>Tabela2[[#This Row],[DATA]]-Tabela2[[#This Row],[CARREGAMENTO]]</f>
        <v>22</v>
      </c>
      <c r="AW2" s="72">
        <f>Tabela2[[#This Row],[Realizado]]-Tabela2[[#This Row],[Previsto]]</f>
        <v>8</v>
      </c>
      <c r="AX2" s="72" t="str">
        <f>IF(Tabela2[[#This Row],[Resultado]]&lt;=0,"Atendido","Não atendido")</f>
        <v>Não atendido</v>
      </c>
    </row>
    <row r="3" spans="1:50" x14ac:dyDescent="0.2">
      <c r="A3" s="2" t="s">
        <v>37</v>
      </c>
      <c r="B3" s="2" t="s">
        <v>284</v>
      </c>
      <c r="C3" s="2" t="s">
        <v>356</v>
      </c>
      <c r="D3" s="3" t="s">
        <v>283</v>
      </c>
      <c r="E3" s="2" t="s">
        <v>46</v>
      </c>
      <c r="F3" s="2" t="s">
        <v>44</v>
      </c>
      <c r="G3" s="2" t="s">
        <v>259</v>
      </c>
      <c r="H3" s="2" t="s">
        <v>286</v>
      </c>
      <c r="I3" s="2" t="s">
        <v>287</v>
      </c>
      <c r="J3" s="2" t="s">
        <v>262</v>
      </c>
      <c r="K3" s="2">
        <v>25000157797</v>
      </c>
      <c r="L3" s="2">
        <v>7104972</v>
      </c>
      <c r="M3" s="2" t="s">
        <v>288</v>
      </c>
      <c r="N3" s="2" t="s">
        <v>263</v>
      </c>
      <c r="O3" s="2" t="s">
        <v>42</v>
      </c>
      <c r="P3" s="107">
        <v>4250.3999999999996</v>
      </c>
      <c r="Q3" s="107">
        <v>4250.3999999999996</v>
      </c>
      <c r="R3" s="107">
        <f>Tabela2[[#This Row],[Valor anterior]]-Tabela2[[#This Row],[VALOR]]</f>
        <v>0</v>
      </c>
      <c r="S3" s="14" t="s">
        <v>254</v>
      </c>
      <c r="T3" s="4" t="s">
        <v>254</v>
      </c>
      <c r="U3" s="7" t="s">
        <v>298</v>
      </c>
      <c r="V3" s="4">
        <v>45762</v>
      </c>
      <c r="W3" s="5">
        <v>100</v>
      </c>
      <c r="X3" s="6" t="s">
        <v>43</v>
      </c>
      <c r="Y3" s="15">
        <v>70.010000000000005</v>
      </c>
      <c r="Z3" s="5">
        <f>Tabela2[[#This Row],[VOLUME NO STEM]]-Tabela2[[#This Row],[VOLUME CARREGADO]]</f>
        <v>29.989999999999995</v>
      </c>
      <c r="AA3" s="4">
        <v>45768</v>
      </c>
      <c r="AB3" s="4" t="str">
        <f t="shared" si="0"/>
        <v>ABR</v>
      </c>
      <c r="AC3" s="4">
        <f t="shared" ref="AC3:AC8" si="5">AA3+14</f>
        <v>45782</v>
      </c>
      <c r="AD3" s="2">
        <v>283</v>
      </c>
      <c r="AE3" s="7" t="s">
        <v>255</v>
      </c>
      <c r="AF3" s="7" t="s">
        <v>122</v>
      </c>
      <c r="AG3" s="4" t="s">
        <v>122</v>
      </c>
      <c r="AH3" s="33" t="s">
        <v>741</v>
      </c>
      <c r="AI3" s="4">
        <v>45772</v>
      </c>
      <c r="AJ3" s="2" t="s">
        <v>329</v>
      </c>
      <c r="AK3" s="2" t="s">
        <v>348</v>
      </c>
      <c r="AL3" s="4">
        <v>45779</v>
      </c>
      <c r="AM3" s="4">
        <v>45779</v>
      </c>
      <c r="AN3" s="4">
        <v>45779</v>
      </c>
      <c r="AO3" s="2" t="str">
        <f t="shared" si="2"/>
        <v>PA20250002</v>
      </c>
      <c r="AP3" s="4">
        <f t="shared" si="3"/>
        <v>45772</v>
      </c>
      <c r="AQ3" s="16">
        <v>766</v>
      </c>
      <c r="AR3" s="8">
        <f t="shared" si="4"/>
        <v>53627.66</v>
      </c>
      <c r="AS3" s="13">
        <v>5.6731999999999996</v>
      </c>
      <c r="AT3" s="19">
        <f>Tabela2[[#This Row],[VALOR TOTAL  USD]]*Tabela2[[#This Row],[TAXA]]</f>
        <v>304240.44071200001</v>
      </c>
      <c r="AU3" s="71">
        <v>14</v>
      </c>
      <c r="AV3" s="72">
        <f>Tabela2[[#This Row],[DATA]]-Tabela2[[#This Row],[CARREGAMENTO]]</f>
        <v>11</v>
      </c>
      <c r="AW3" s="72">
        <f>Tabela2[[#This Row],[Realizado]]-Tabela2[[#This Row],[Previsto]]</f>
        <v>-3</v>
      </c>
      <c r="AX3" s="72" t="str">
        <f>IF(Tabela2[[#This Row],[Resultado]]&lt;=0,"Atendido","Não atendido")</f>
        <v>Atendido</v>
      </c>
    </row>
    <row r="4" spans="1:50" x14ac:dyDescent="0.2">
      <c r="A4" s="2" t="s">
        <v>37</v>
      </c>
      <c r="B4" s="2" t="s">
        <v>284</v>
      </c>
      <c r="C4" s="2" t="s">
        <v>356</v>
      </c>
      <c r="D4" s="3" t="s">
        <v>285</v>
      </c>
      <c r="E4" s="2" t="s">
        <v>46</v>
      </c>
      <c r="F4" s="2" t="s">
        <v>44</v>
      </c>
      <c r="G4" s="2" t="s">
        <v>259</v>
      </c>
      <c r="H4" s="2" t="s">
        <v>286</v>
      </c>
      <c r="I4" s="2" t="s">
        <v>287</v>
      </c>
      <c r="J4" s="2" t="s">
        <v>262</v>
      </c>
      <c r="K4" s="2">
        <v>25000177712</v>
      </c>
      <c r="L4" s="2">
        <v>9737888</v>
      </c>
      <c r="M4" s="2" t="s">
        <v>294</v>
      </c>
      <c r="N4" s="2" t="s">
        <v>295</v>
      </c>
      <c r="O4" s="2" t="s">
        <v>42</v>
      </c>
      <c r="P4" s="107">
        <v>4250.3999999999996</v>
      </c>
      <c r="Q4" s="107">
        <v>4250.3999999999996</v>
      </c>
      <c r="R4" s="107">
        <f>Tabela2[[#This Row],[Valor anterior]]-Tabela2[[#This Row],[VALOR]]</f>
        <v>0</v>
      </c>
      <c r="S4" s="14" t="s">
        <v>254</v>
      </c>
      <c r="T4" s="4" t="s">
        <v>254</v>
      </c>
      <c r="U4" s="7" t="s">
        <v>299</v>
      </c>
      <c r="V4" s="4">
        <v>45762</v>
      </c>
      <c r="W4" s="5">
        <v>100</v>
      </c>
      <c r="X4" s="6" t="s">
        <v>43</v>
      </c>
      <c r="Y4" s="15">
        <v>80.009</v>
      </c>
      <c r="Z4" s="5">
        <f>Tabela2[[#This Row],[VOLUME NO STEM]]-Tabela2[[#This Row],[VOLUME CARREGADO]]</f>
        <v>19.991</v>
      </c>
      <c r="AA4" s="4">
        <v>45771</v>
      </c>
      <c r="AB4" s="4" t="str">
        <f t="shared" si="0"/>
        <v>ABR</v>
      </c>
      <c r="AC4" s="4">
        <f t="shared" si="5"/>
        <v>45785</v>
      </c>
      <c r="AD4" s="2">
        <v>287</v>
      </c>
      <c r="AE4" s="7" t="s">
        <v>122</v>
      </c>
      <c r="AF4" s="7" t="s">
        <v>122</v>
      </c>
      <c r="AG4" s="4" t="s">
        <v>122</v>
      </c>
      <c r="AH4" s="74" t="s">
        <v>359</v>
      </c>
      <c r="AI4" s="4">
        <v>45695</v>
      </c>
      <c r="AJ4" s="2" t="s">
        <v>373</v>
      </c>
      <c r="AK4" s="2" t="s">
        <v>374</v>
      </c>
      <c r="AL4" s="4">
        <v>45785</v>
      </c>
      <c r="AM4" s="4">
        <v>45786</v>
      </c>
      <c r="AN4" s="4">
        <v>45786</v>
      </c>
      <c r="AO4" s="2" t="str">
        <f t="shared" si="2"/>
        <v>PA20250003</v>
      </c>
      <c r="AP4" s="4">
        <f t="shared" si="3"/>
        <v>45695</v>
      </c>
      <c r="AQ4" s="16">
        <v>770</v>
      </c>
      <c r="AR4" s="8">
        <f t="shared" si="4"/>
        <v>61606.93</v>
      </c>
      <c r="AS4" s="13">
        <v>5.7203999999999997</v>
      </c>
      <c r="AT4" s="19">
        <f>Tabela2[[#This Row],[VALOR TOTAL  USD]]*Tabela2[[#This Row],[TAXA]]</f>
        <v>352416.28237199999</v>
      </c>
      <c r="AU4" s="71">
        <v>14</v>
      </c>
      <c r="AV4" s="72">
        <f>Tabela2[[#This Row],[DATA]]-Tabela2[[#This Row],[CARREGAMENTO]]</f>
        <v>14</v>
      </c>
      <c r="AW4" s="72">
        <f>Tabela2[[#This Row],[Realizado]]-Tabela2[[#This Row],[Previsto]]</f>
        <v>0</v>
      </c>
      <c r="AX4" s="72" t="str">
        <f>IF(Tabela2[[#This Row],[Resultado]]&lt;=0,"Atendido","Não atendido")</f>
        <v>Atendido</v>
      </c>
    </row>
    <row r="5" spans="1:50" x14ac:dyDescent="0.2">
      <c r="A5" s="2" t="s">
        <v>37</v>
      </c>
      <c r="B5" s="2" t="s">
        <v>284</v>
      </c>
      <c r="C5" s="2" t="s">
        <v>356</v>
      </c>
      <c r="D5" s="3" t="s">
        <v>300</v>
      </c>
      <c r="E5" s="2" t="s">
        <v>38</v>
      </c>
      <c r="F5" s="2" t="s">
        <v>44</v>
      </c>
      <c r="G5" s="2" t="s">
        <v>259</v>
      </c>
      <c r="H5" s="2" t="s">
        <v>286</v>
      </c>
      <c r="I5" s="2" t="s">
        <v>287</v>
      </c>
      <c r="J5" s="2" t="s">
        <v>89</v>
      </c>
      <c r="K5" s="2">
        <v>25000153775</v>
      </c>
      <c r="L5" s="2">
        <v>9620310</v>
      </c>
      <c r="M5" s="2" t="s">
        <v>301</v>
      </c>
      <c r="N5" s="2" t="s">
        <v>302</v>
      </c>
      <c r="O5" s="2" t="s">
        <v>42</v>
      </c>
      <c r="P5" s="107">
        <v>4250.3999999999996</v>
      </c>
      <c r="Q5" s="107">
        <v>4250.3999999999996</v>
      </c>
      <c r="R5" s="107">
        <f>Tabela2[[#This Row],[Valor anterior]]-Tabela2[[#This Row],[VALOR]]</f>
        <v>0</v>
      </c>
      <c r="S5" s="14" t="s">
        <v>254</v>
      </c>
      <c r="T5" s="4" t="s">
        <v>254</v>
      </c>
      <c r="U5" s="7" t="s">
        <v>303</v>
      </c>
      <c r="V5" s="4">
        <v>45764</v>
      </c>
      <c r="W5" s="5">
        <v>250</v>
      </c>
      <c r="X5" s="6" t="s">
        <v>43</v>
      </c>
      <c r="Y5" s="15">
        <v>250.08500000000001</v>
      </c>
      <c r="Z5" s="5">
        <f>Tabela2[[#This Row],[VOLUME NO STEM]]-Tabela2[[#This Row],[VOLUME CARREGADO]]</f>
        <v>-8.5000000000007958E-2</v>
      </c>
      <c r="AA5" s="4">
        <v>45768</v>
      </c>
      <c r="AB5" s="4" t="str">
        <f t="shared" si="0"/>
        <v>ABR</v>
      </c>
      <c r="AC5" s="4">
        <f t="shared" si="5"/>
        <v>45782</v>
      </c>
      <c r="AD5" s="2">
        <v>282</v>
      </c>
      <c r="AE5" s="7" t="s">
        <v>122</v>
      </c>
      <c r="AF5" s="7" t="s">
        <v>122</v>
      </c>
      <c r="AG5" s="4" t="s">
        <v>122</v>
      </c>
      <c r="AH5" s="33" t="s">
        <v>742</v>
      </c>
      <c r="AI5" s="4">
        <v>45769</v>
      </c>
      <c r="AJ5" s="2" t="s">
        <v>349</v>
      </c>
      <c r="AK5" s="2" t="s">
        <v>350</v>
      </c>
      <c r="AL5" s="4">
        <v>45775</v>
      </c>
      <c r="AM5" s="4">
        <v>45783</v>
      </c>
      <c r="AN5" s="4">
        <v>45783</v>
      </c>
      <c r="AO5" s="2" t="str">
        <f t="shared" si="2"/>
        <v>PA20250004</v>
      </c>
      <c r="AP5" s="4">
        <f t="shared" si="3"/>
        <v>45769</v>
      </c>
      <c r="AQ5" s="16">
        <v>562.38</v>
      </c>
      <c r="AR5" s="8">
        <f t="shared" si="4"/>
        <v>140642.80230000001</v>
      </c>
      <c r="AS5" s="13">
        <v>5.8552999999999997</v>
      </c>
      <c r="AT5" s="19">
        <f>Tabela2[[#This Row],[VALOR TOTAL  USD]]*Tabela2[[#This Row],[TAXA]]</f>
        <v>823505.80030719005</v>
      </c>
      <c r="AU5" s="71">
        <v>14</v>
      </c>
      <c r="AV5" s="72">
        <f>Tabela2[[#This Row],[DATA]]-Tabela2[[#This Row],[CARREGAMENTO]]</f>
        <v>7</v>
      </c>
      <c r="AW5" s="72">
        <f>Tabela2[[#This Row],[Realizado]]-Tabela2[[#This Row],[Previsto]]</f>
        <v>-7</v>
      </c>
      <c r="AX5" s="72" t="str">
        <f>IF(Tabela2[[#This Row],[Resultado]]&lt;=0,"Atendido","Não atendido")</f>
        <v>Atendido</v>
      </c>
    </row>
    <row r="6" spans="1:50" x14ac:dyDescent="0.2">
      <c r="A6" s="2" t="s">
        <v>37</v>
      </c>
      <c r="B6" s="2" t="s">
        <v>284</v>
      </c>
      <c r="C6" s="2" t="s">
        <v>356</v>
      </c>
      <c r="D6" s="3" t="s">
        <v>304</v>
      </c>
      <c r="E6" s="2" t="s">
        <v>46</v>
      </c>
      <c r="F6" s="2" t="s">
        <v>44</v>
      </c>
      <c r="G6" s="2" t="s">
        <v>259</v>
      </c>
      <c r="H6" s="2" t="s">
        <v>286</v>
      </c>
      <c r="I6" s="2" t="s">
        <v>287</v>
      </c>
      <c r="J6" s="2" t="s">
        <v>262</v>
      </c>
      <c r="K6" s="2">
        <v>25000172524</v>
      </c>
      <c r="L6" s="2">
        <v>7310507</v>
      </c>
      <c r="M6" s="2" t="s">
        <v>305</v>
      </c>
      <c r="N6" s="2" t="s">
        <v>263</v>
      </c>
      <c r="O6" s="2" t="s">
        <v>42</v>
      </c>
      <c r="P6" s="107">
        <v>4250.3999999999996</v>
      </c>
      <c r="Q6" s="107">
        <v>4250.3999999999996</v>
      </c>
      <c r="R6" s="107">
        <f>Tabela2[[#This Row],[Valor anterior]]-Tabela2[[#This Row],[VALOR]]</f>
        <v>0</v>
      </c>
      <c r="S6" s="14" t="s">
        <v>254</v>
      </c>
      <c r="T6" s="4" t="s">
        <v>254</v>
      </c>
      <c r="U6" s="7" t="s">
        <v>307</v>
      </c>
      <c r="V6" s="4">
        <v>45764</v>
      </c>
      <c r="W6" s="5">
        <v>50</v>
      </c>
      <c r="X6" s="6" t="s">
        <v>43</v>
      </c>
      <c r="Y6" s="15">
        <v>50.006</v>
      </c>
      <c r="Z6" s="5">
        <f>Tabela2[[#This Row],[VOLUME NO STEM]]-Tabela2[[#This Row],[VOLUME CARREGADO]]</f>
        <v>-6.0000000000002274E-3</v>
      </c>
      <c r="AA6" s="4">
        <v>45773</v>
      </c>
      <c r="AB6" s="4" t="str">
        <f t="shared" si="0"/>
        <v>ABR</v>
      </c>
      <c r="AC6" s="4">
        <f t="shared" si="5"/>
        <v>45787</v>
      </c>
      <c r="AD6" s="2">
        <v>292</v>
      </c>
      <c r="AE6" s="7" t="s">
        <v>122</v>
      </c>
      <c r="AF6" s="7" t="s">
        <v>122</v>
      </c>
      <c r="AG6" s="4" t="s">
        <v>122</v>
      </c>
      <c r="AH6" s="33" t="s">
        <v>743</v>
      </c>
      <c r="AI6" s="4">
        <v>45777</v>
      </c>
      <c r="AJ6" s="2" t="s">
        <v>337</v>
      </c>
      <c r="AK6" s="2" t="s">
        <v>339</v>
      </c>
      <c r="AL6" s="4">
        <v>45782</v>
      </c>
      <c r="AM6" s="4">
        <v>45782</v>
      </c>
      <c r="AN6" s="4">
        <v>45782</v>
      </c>
      <c r="AO6" s="2" t="str">
        <f t="shared" si="2"/>
        <v>PA20250005</v>
      </c>
      <c r="AP6" s="4">
        <f t="shared" si="3"/>
        <v>45777</v>
      </c>
      <c r="AQ6" s="16">
        <v>800</v>
      </c>
      <c r="AR6" s="8">
        <f t="shared" si="4"/>
        <v>40004.800000000003</v>
      </c>
      <c r="AS6" s="13">
        <v>5.6460999999999997</v>
      </c>
      <c r="AT6" s="19">
        <f>Tabela2[[#This Row],[VALOR TOTAL  USD]]*Tabela2[[#This Row],[TAXA]]</f>
        <v>225871.10128</v>
      </c>
      <c r="AU6" s="71">
        <v>14</v>
      </c>
      <c r="AV6" s="72">
        <f>Tabela2[[#This Row],[DATA]]-Tabela2[[#This Row],[CARREGAMENTO]]</f>
        <v>9</v>
      </c>
      <c r="AW6" s="72">
        <f>Tabela2[[#This Row],[Realizado]]-Tabela2[[#This Row],[Previsto]]</f>
        <v>-5</v>
      </c>
      <c r="AX6" s="72" t="str">
        <f>IF(Tabela2[[#This Row],[Resultado]]&lt;=0,"Atendido","Não atendido")</f>
        <v>Atendido</v>
      </c>
    </row>
    <row r="7" spans="1:50" x14ac:dyDescent="0.2">
      <c r="A7" s="2" t="s">
        <v>37</v>
      </c>
      <c r="B7" s="2" t="s">
        <v>284</v>
      </c>
      <c r="C7" s="2" t="s">
        <v>356</v>
      </c>
      <c r="D7" s="3" t="s">
        <v>351</v>
      </c>
      <c r="E7" s="2" t="s">
        <v>38</v>
      </c>
      <c r="F7" s="2" t="s">
        <v>44</v>
      </c>
      <c r="G7" s="2" t="s">
        <v>259</v>
      </c>
      <c r="H7" s="2" t="s">
        <v>286</v>
      </c>
      <c r="I7" s="2" t="s">
        <v>287</v>
      </c>
      <c r="J7" s="2" t="s">
        <v>187</v>
      </c>
      <c r="K7" s="2">
        <v>25000187815</v>
      </c>
      <c r="L7" s="2">
        <v>9416458</v>
      </c>
      <c r="M7" s="2" t="s">
        <v>325</v>
      </c>
      <c r="N7" s="2" t="s">
        <v>326</v>
      </c>
      <c r="O7" s="2" t="s">
        <v>42</v>
      </c>
      <c r="P7" s="107">
        <v>4250.3999999999996</v>
      </c>
      <c r="Q7" s="107">
        <v>4250.3999999999996</v>
      </c>
      <c r="R7" s="107">
        <f>Tabela2[[#This Row],[Valor anterior]]-Tabela2[[#This Row],[VALOR]]</f>
        <v>0</v>
      </c>
      <c r="S7" s="14" t="s">
        <v>254</v>
      </c>
      <c r="T7" s="4" t="s">
        <v>254</v>
      </c>
      <c r="U7" s="7" t="s">
        <v>327</v>
      </c>
      <c r="V7" s="4">
        <v>45776</v>
      </c>
      <c r="W7" s="5">
        <v>400</v>
      </c>
      <c r="X7" s="6" t="s">
        <v>43</v>
      </c>
      <c r="Y7" s="15">
        <v>300.03300000000002</v>
      </c>
      <c r="Z7" s="5">
        <f>Tabela2[[#This Row],[VOLUME NO STEM]]-Tabela2[[#This Row],[VOLUME CARREGADO]]</f>
        <v>99.966999999999985</v>
      </c>
      <c r="AA7" s="4">
        <v>45778</v>
      </c>
      <c r="AB7" s="4" t="str">
        <f t="shared" si="0"/>
        <v>MAI</v>
      </c>
      <c r="AC7" s="4">
        <f t="shared" si="5"/>
        <v>45792</v>
      </c>
      <c r="AD7" s="2">
        <v>297</v>
      </c>
      <c r="AE7" s="7" t="s">
        <v>122</v>
      </c>
      <c r="AF7" s="7" t="s">
        <v>122</v>
      </c>
      <c r="AG7" s="4" t="s">
        <v>122</v>
      </c>
      <c r="AH7" s="74" t="s">
        <v>352</v>
      </c>
      <c r="AI7" s="4">
        <v>45779</v>
      </c>
      <c r="AJ7" s="2" t="s">
        <v>353</v>
      </c>
      <c r="AK7" s="2" t="s">
        <v>354</v>
      </c>
      <c r="AL7" s="4">
        <v>45784</v>
      </c>
      <c r="AM7" s="4">
        <v>45785</v>
      </c>
      <c r="AN7" s="4">
        <v>45785</v>
      </c>
      <c r="AO7" s="2" t="str">
        <f t="shared" si="2"/>
        <v>PA20250006</v>
      </c>
      <c r="AP7" s="4">
        <f t="shared" si="3"/>
        <v>45779</v>
      </c>
      <c r="AQ7" s="16">
        <v>564</v>
      </c>
      <c r="AR7" s="8">
        <f t="shared" si="4"/>
        <v>169218.61200000002</v>
      </c>
      <c r="AS7" s="13">
        <v>5.6601999999999997</v>
      </c>
      <c r="AT7" s="19">
        <f>Tabela2[[#This Row],[VALOR TOTAL  USD]]*Tabela2[[#This Row],[TAXA]]</f>
        <v>957811.18764240004</v>
      </c>
      <c r="AU7" s="71">
        <v>14</v>
      </c>
      <c r="AV7" s="72">
        <f>Tabela2[[#This Row],[DATA]]-Tabela2[[#This Row],[CARREGAMENTO]]</f>
        <v>6</v>
      </c>
      <c r="AW7" s="72">
        <f>Tabela2[[#This Row],[Realizado]]-Tabela2[[#This Row],[Previsto]]</f>
        <v>-8</v>
      </c>
      <c r="AX7" s="72" t="str">
        <f>IF(Tabela2[[#This Row],[Resultado]]&lt;=0,"Atendido","Não atendido")</f>
        <v>Atendido</v>
      </c>
    </row>
    <row r="8" spans="1:50" x14ac:dyDescent="0.2">
      <c r="A8" s="2" t="s">
        <v>37</v>
      </c>
      <c r="B8" s="2" t="s">
        <v>284</v>
      </c>
      <c r="C8" s="2" t="s">
        <v>356</v>
      </c>
      <c r="D8" s="3" t="s">
        <v>330</v>
      </c>
      <c r="E8" s="2" t="s">
        <v>38</v>
      </c>
      <c r="F8" s="2" t="s">
        <v>44</v>
      </c>
      <c r="G8" s="2" t="s">
        <v>259</v>
      </c>
      <c r="H8" s="2" t="s">
        <v>286</v>
      </c>
      <c r="I8" s="2" t="s">
        <v>287</v>
      </c>
      <c r="J8" s="2" t="s">
        <v>331</v>
      </c>
      <c r="K8" s="2">
        <v>25000194420</v>
      </c>
      <c r="L8" s="2">
        <v>9876048</v>
      </c>
      <c r="M8" s="2" t="s">
        <v>332</v>
      </c>
      <c r="N8" s="2" t="s">
        <v>333</v>
      </c>
      <c r="O8" s="2" t="s">
        <v>42</v>
      </c>
      <c r="P8" s="107">
        <v>4250.3999999999996</v>
      </c>
      <c r="Q8" s="107">
        <v>4250.3999999999996</v>
      </c>
      <c r="R8" s="107">
        <f>Tabela2[[#This Row],[Valor anterior]]-Tabela2[[#This Row],[VALOR]]</f>
        <v>0</v>
      </c>
      <c r="S8" s="14" t="s">
        <v>254</v>
      </c>
      <c r="T8" s="4" t="s">
        <v>254</v>
      </c>
      <c r="U8" s="7" t="s">
        <v>346</v>
      </c>
      <c r="V8" s="4">
        <v>45782</v>
      </c>
      <c r="W8" s="5">
        <v>450</v>
      </c>
      <c r="X8" s="6" t="s">
        <v>43</v>
      </c>
      <c r="Y8" s="15">
        <v>400.08199999999999</v>
      </c>
      <c r="Z8" s="5">
        <f>Tabela2[[#This Row],[VOLUME NO STEM]]-Tabela2[[#This Row],[VOLUME CARREGADO]]</f>
        <v>49.918000000000006</v>
      </c>
      <c r="AA8" s="4">
        <v>45782</v>
      </c>
      <c r="AB8" s="4" t="str">
        <f t="shared" si="0"/>
        <v>MAI</v>
      </c>
      <c r="AC8" s="4">
        <f t="shared" si="5"/>
        <v>45796</v>
      </c>
      <c r="AD8" s="2">
        <v>303</v>
      </c>
      <c r="AE8" s="7" t="s">
        <v>122</v>
      </c>
      <c r="AF8" s="7" t="s">
        <v>122</v>
      </c>
      <c r="AG8" s="4" t="s">
        <v>122</v>
      </c>
      <c r="AH8" s="33" t="s">
        <v>744</v>
      </c>
      <c r="AI8" s="4">
        <v>45800</v>
      </c>
      <c r="AJ8" s="2" t="s">
        <v>448</v>
      </c>
      <c r="AK8" s="2" t="s">
        <v>449</v>
      </c>
      <c r="AL8" s="4">
        <v>45804</v>
      </c>
      <c r="AM8" s="4">
        <v>45804</v>
      </c>
      <c r="AN8" s="4">
        <v>45804</v>
      </c>
      <c r="AO8" s="2" t="str">
        <f t="shared" ref="AO8:AO13" si="6">D8</f>
        <v>PA20250007</v>
      </c>
      <c r="AP8" s="4">
        <f t="shared" ref="AP8:AP13" si="7">AI8</f>
        <v>45800</v>
      </c>
      <c r="AQ8" s="16">
        <v>563.66999999999996</v>
      </c>
      <c r="AR8" s="8">
        <f t="shared" ref="AR8:AR13" si="8">Y8*AQ8</f>
        <v>225514.22093999997</v>
      </c>
      <c r="AS8" s="13">
        <v>5.6925999999999997</v>
      </c>
      <c r="AT8" s="19">
        <f>Tabela2[[#This Row],[VALOR TOTAL  USD]]*Tabela2[[#This Row],[TAXA]]</f>
        <v>1283762.2541230437</v>
      </c>
      <c r="AU8" s="71">
        <v>14</v>
      </c>
      <c r="AV8" s="72">
        <f>Tabela2[[#This Row],[DATA]]-Tabela2[[#This Row],[CARREGAMENTO]]</f>
        <v>22</v>
      </c>
      <c r="AW8" s="72">
        <f>Tabela2[[#This Row],[Realizado]]-Tabela2[[#This Row],[Previsto]]</f>
        <v>8</v>
      </c>
      <c r="AX8" s="72" t="str">
        <f>IF(Tabela2[[#This Row],[Resultado]]&lt;=0,"Atendido","Não atendido")</f>
        <v>Não atendido</v>
      </c>
    </row>
    <row r="9" spans="1:50" x14ac:dyDescent="0.2">
      <c r="A9" s="2" t="s">
        <v>37</v>
      </c>
      <c r="B9" s="2" t="s">
        <v>258</v>
      </c>
      <c r="C9" s="2" t="s">
        <v>358</v>
      </c>
      <c r="D9" s="3" t="s">
        <v>357</v>
      </c>
      <c r="E9" s="2" t="s">
        <v>38</v>
      </c>
      <c r="F9" s="2" t="s">
        <v>44</v>
      </c>
      <c r="G9" s="2" t="s">
        <v>214</v>
      </c>
      <c r="H9" s="2" t="s">
        <v>286</v>
      </c>
      <c r="I9" s="2" t="s">
        <v>287</v>
      </c>
      <c r="J9" s="2" t="s">
        <v>375</v>
      </c>
      <c r="K9" s="2">
        <v>25000180489</v>
      </c>
      <c r="L9" s="2" t="s">
        <v>376</v>
      </c>
      <c r="M9" s="2" t="s">
        <v>377</v>
      </c>
      <c r="N9" s="2" t="s">
        <v>378</v>
      </c>
      <c r="O9" s="2" t="s">
        <v>42</v>
      </c>
      <c r="P9" s="107">
        <v>4250.3999999999996</v>
      </c>
      <c r="Q9" s="107">
        <v>4250.3999999999996</v>
      </c>
      <c r="R9" s="107">
        <f>Tabela2[[#This Row],[Valor anterior]]-Tabela2[[#This Row],[VALOR]]</f>
        <v>0</v>
      </c>
      <c r="S9" s="14" t="s">
        <v>254</v>
      </c>
      <c r="T9" s="14" t="s">
        <v>254</v>
      </c>
      <c r="U9" s="7" t="s">
        <v>264</v>
      </c>
      <c r="V9" s="4">
        <v>45784</v>
      </c>
      <c r="W9" s="5">
        <v>550</v>
      </c>
      <c r="X9" s="6" t="s">
        <v>43</v>
      </c>
      <c r="Y9" s="15">
        <v>500.267</v>
      </c>
      <c r="Z9" s="5">
        <f>Tabela2[[#This Row],[VOLUME NO STEM]]-Tabela2[[#This Row],[VOLUME CARREGADO]]</f>
        <v>49.733000000000004</v>
      </c>
      <c r="AA9" s="4">
        <v>45785</v>
      </c>
      <c r="AB9" s="4" t="str">
        <f t="shared" si="0"/>
        <v>MAI</v>
      </c>
      <c r="AC9" s="4">
        <f t="shared" ref="AC9:AC15" si="9">AA9+14</f>
        <v>45799</v>
      </c>
      <c r="AD9" s="2">
        <v>308</v>
      </c>
      <c r="AE9" s="7" t="s">
        <v>122</v>
      </c>
      <c r="AF9" s="7" t="s">
        <v>122</v>
      </c>
      <c r="AG9" s="4" t="s">
        <v>122</v>
      </c>
      <c r="AH9" s="33" t="s">
        <v>450</v>
      </c>
      <c r="AI9" s="4">
        <v>45791</v>
      </c>
      <c r="AJ9" s="2" t="s">
        <v>451</v>
      </c>
      <c r="AK9" s="2" t="s">
        <v>452</v>
      </c>
      <c r="AL9" s="4">
        <v>45793</v>
      </c>
      <c r="AM9" s="4">
        <v>45793</v>
      </c>
      <c r="AN9" s="4">
        <v>45793</v>
      </c>
      <c r="AO9" s="2" t="str">
        <f t="shared" si="6"/>
        <v>PA20250008</v>
      </c>
      <c r="AP9" s="4">
        <f t="shared" si="7"/>
        <v>45791</v>
      </c>
      <c r="AQ9" s="16">
        <v>570.24</v>
      </c>
      <c r="AR9" s="8">
        <f t="shared" si="8"/>
        <v>285272.25407999998</v>
      </c>
      <c r="AS9" s="13">
        <v>5.6322000000000001</v>
      </c>
      <c r="AT9" s="19">
        <f>Tabela2[[#This Row],[VALOR TOTAL  USD]]*Tabela2[[#This Row],[TAXA]]</f>
        <v>1606710.389429376</v>
      </c>
      <c r="AU9" s="71">
        <v>14</v>
      </c>
      <c r="AV9" s="72">
        <f>Tabela2[[#This Row],[DATA]]-Tabela2[[#This Row],[CARREGAMENTO]]</f>
        <v>8</v>
      </c>
      <c r="AW9" s="72">
        <f>Tabela2[[#This Row],[Realizado]]-Tabela2[[#This Row],[Previsto]]</f>
        <v>-6</v>
      </c>
      <c r="AX9" s="72" t="str">
        <f>IF(Tabela2[[#This Row],[Resultado]]&lt;=0,"Atendido","Não atendido")</f>
        <v>Atendido</v>
      </c>
    </row>
    <row r="10" spans="1:50" x14ac:dyDescent="0.2">
      <c r="A10" s="2" t="s">
        <v>37</v>
      </c>
      <c r="B10" s="2" t="s">
        <v>258</v>
      </c>
      <c r="C10" s="2" t="s">
        <v>356</v>
      </c>
      <c r="D10" s="3" t="s">
        <v>379</v>
      </c>
      <c r="E10" s="2" t="s">
        <v>46</v>
      </c>
      <c r="F10" s="2" t="s">
        <v>44</v>
      </c>
      <c r="G10" s="2" t="s">
        <v>380</v>
      </c>
      <c r="H10" s="2" t="s">
        <v>286</v>
      </c>
      <c r="I10" s="2" t="s">
        <v>287</v>
      </c>
      <c r="J10" s="2" t="s">
        <v>262</v>
      </c>
      <c r="K10" s="2">
        <v>25000174411</v>
      </c>
      <c r="L10" s="2">
        <v>8917742</v>
      </c>
      <c r="M10" s="2" t="s">
        <v>381</v>
      </c>
      <c r="N10" s="2" t="s">
        <v>263</v>
      </c>
      <c r="O10" s="2" t="s">
        <v>42</v>
      </c>
      <c r="P10" s="107">
        <v>4250.3999999999996</v>
      </c>
      <c r="Q10" s="107">
        <v>4250.3999999999996</v>
      </c>
      <c r="R10" s="107">
        <f>Tabela2[[#This Row],[Valor anterior]]-Tabela2[[#This Row],[VALOR]]</f>
        <v>0</v>
      </c>
      <c r="S10" s="14" t="s">
        <v>254</v>
      </c>
      <c r="T10" s="14" t="s">
        <v>254</v>
      </c>
      <c r="U10" s="7" t="s">
        <v>382</v>
      </c>
      <c r="V10" s="4">
        <v>45785</v>
      </c>
      <c r="W10" s="5">
        <v>100</v>
      </c>
      <c r="X10" s="6" t="s">
        <v>43</v>
      </c>
      <c r="Y10" s="15">
        <v>75.031999999999996</v>
      </c>
      <c r="Z10" s="5">
        <f>Tabela2[[#This Row],[VOLUME NO STEM]]-Tabela2[[#This Row],[VOLUME CARREGADO]]</f>
        <v>24.968000000000004</v>
      </c>
      <c r="AA10" s="4">
        <v>45788</v>
      </c>
      <c r="AB10" s="4" t="str">
        <f t="shared" si="0"/>
        <v>MAI</v>
      </c>
      <c r="AC10" s="4">
        <f t="shared" si="9"/>
        <v>45802</v>
      </c>
      <c r="AD10" s="2">
        <v>318</v>
      </c>
      <c r="AE10" s="7" t="s">
        <v>122</v>
      </c>
      <c r="AF10" s="7" t="s">
        <v>122</v>
      </c>
      <c r="AG10" s="4" t="s">
        <v>122</v>
      </c>
      <c r="AH10" s="33" t="s">
        <v>745</v>
      </c>
      <c r="AI10" s="4">
        <v>45790</v>
      </c>
      <c r="AJ10" s="2" t="s">
        <v>446</v>
      </c>
      <c r="AK10" s="2" t="s">
        <v>447</v>
      </c>
      <c r="AL10" s="4">
        <v>45806</v>
      </c>
      <c r="AM10" s="4">
        <v>45806</v>
      </c>
      <c r="AN10" s="4">
        <v>45806</v>
      </c>
      <c r="AO10" s="2" t="str">
        <f t="shared" si="6"/>
        <v>PA20250009</v>
      </c>
      <c r="AP10" s="4">
        <f t="shared" si="7"/>
        <v>45790</v>
      </c>
      <c r="AQ10" s="16">
        <v>776.5</v>
      </c>
      <c r="AR10" s="8">
        <f t="shared" si="8"/>
        <v>58262.347999999998</v>
      </c>
      <c r="AS10" s="13">
        <v>5.6816000000000004</v>
      </c>
      <c r="AT10" s="19">
        <f>Tabela2[[#This Row],[VALOR TOTAL  USD]]*Tabela2[[#This Row],[TAXA]]</f>
        <v>331023.35639680002</v>
      </c>
      <c r="AU10" s="71">
        <v>14</v>
      </c>
      <c r="AV10" s="72">
        <f>Tabela2[[#This Row],[DATA]]-Tabela2[[#This Row],[CARREGAMENTO]]</f>
        <v>18</v>
      </c>
      <c r="AW10" s="72">
        <f>Tabela2[[#This Row],[Realizado]]-Tabela2[[#This Row],[Previsto]]</f>
        <v>4</v>
      </c>
      <c r="AX10" s="72" t="str">
        <f>IF(Tabela2[[#This Row],[Resultado]]&lt;=0,"Atendido","Não atendido")</f>
        <v>Não atendido</v>
      </c>
    </row>
    <row r="11" spans="1:50" x14ac:dyDescent="0.2">
      <c r="A11" s="2" t="s">
        <v>37</v>
      </c>
      <c r="B11" s="2" t="s">
        <v>258</v>
      </c>
      <c r="C11" s="2" t="s">
        <v>356</v>
      </c>
      <c r="D11" s="3" t="s">
        <v>383</v>
      </c>
      <c r="E11" s="2" t="s">
        <v>46</v>
      </c>
      <c r="F11" s="2" t="s">
        <v>44</v>
      </c>
      <c r="G11" s="2" t="s">
        <v>380</v>
      </c>
      <c r="H11" s="2" t="s">
        <v>286</v>
      </c>
      <c r="I11" s="2" t="s">
        <v>287</v>
      </c>
      <c r="J11" s="2" t="s">
        <v>331</v>
      </c>
      <c r="K11" s="2">
        <v>25000207450</v>
      </c>
      <c r="L11" s="2">
        <v>9466312</v>
      </c>
      <c r="M11" s="2" t="s">
        <v>384</v>
      </c>
      <c r="N11" s="2" t="s">
        <v>385</v>
      </c>
      <c r="O11" s="2" t="s">
        <v>42</v>
      </c>
      <c r="P11" s="107">
        <v>4250.3999999999996</v>
      </c>
      <c r="Q11" s="107">
        <v>4250.3999999999996</v>
      </c>
      <c r="R11" s="107">
        <f>Tabela2[[#This Row],[Valor anterior]]-Tabela2[[#This Row],[VALOR]]</f>
        <v>0</v>
      </c>
      <c r="S11" s="14" t="s">
        <v>254</v>
      </c>
      <c r="T11" s="14" t="s">
        <v>254</v>
      </c>
      <c r="U11" s="7" t="s">
        <v>73</v>
      </c>
      <c r="V11" s="4">
        <v>45789</v>
      </c>
      <c r="W11" s="5">
        <v>200</v>
      </c>
      <c r="X11" s="6" t="s">
        <v>43</v>
      </c>
      <c r="Y11" s="15">
        <v>150.06700000000001</v>
      </c>
      <c r="Z11" s="5">
        <f>Tabela2[[#This Row],[VOLUME NO STEM]]-Tabela2[[#This Row],[VOLUME CARREGADO]]</f>
        <v>49.932999999999993</v>
      </c>
      <c r="AA11" s="4">
        <v>45790</v>
      </c>
      <c r="AB11" s="4" t="str">
        <f t="shared" si="0"/>
        <v>MAI</v>
      </c>
      <c r="AC11" s="4">
        <f t="shared" si="9"/>
        <v>45804</v>
      </c>
      <c r="AD11" s="2">
        <v>319</v>
      </c>
      <c r="AE11" s="7" t="s">
        <v>122</v>
      </c>
      <c r="AF11" s="7" t="s">
        <v>122</v>
      </c>
      <c r="AG11" s="4" t="s">
        <v>122</v>
      </c>
      <c r="AH11" s="33" t="s">
        <v>736</v>
      </c>
      <c r="AI11" s="4">
        <v>45807</v>
      </c>
      <c r="AJ11" s="2" t="s">
        <v>734</v>
      </c>
      <c r="AK11" s="2" t="s">
        <v>735</v>
      </c>
      <c r="AL11" s="4">
        <v>45807</v>
      </c>
      <c r="AM11" s="4">
        <v>45810</v>
      </c>
      <c r="AN11" s="4">
        <v>45810</v>
      </c>
      <c r="AO11" s="2" t="str">
        <f t="shared" si="6"/>
        <v>PA20250010</v>
      </c>
      <c r="AP11" s="4">
        <f t="shared" si="7"/>
        <v>45807</v>
      </c>
      <c r="AQ11" s="16">
        <v>776.5</v>
      </c>
      <c r="AR11" s="8">
        <f t="shared" si="8"/>
        <v>116527.0255</v>
      </c>
      <c r="AS11" s="13">
        <v>5.6553000000000004</v>
      </c>
      <c r="AT11" s="19">
        <f>Tabela2[[#This Row],[VALOR TOTAL  USD]]*Tabela2[[#This Row],[TAXA]]</f>
        <v>658995.2873101501</v>
      </c>
      <c r="AU11" s="71">
        <v>14</v>
      </c>
      <c r="AV11" s="72">
        <f>Tabela2[[#This Row],[DATA]]-Tabela2[[#This Row],[CARREGAMENTO]]</f>
        <v>17</v>
      </c>
      <c r="AW11" s="72">
        <f>Tabela2[[#This Row],[Realizado]]-Tabela2[[#This Row],[Previsto]]</f>
        <v>3</v>
      </c>
      <c r="AX11" s="72" t="str">
        <f>IF(Tabela2[[#This Row],[Resultado]]&lt;=0,"Atendido","Não atendido")</f>
        <v>Não atendido</v>
      </c>
    </row>
    <row r="12" spans="1:50" x14ac:dyDescent="0.2">
      <c r="A12" s="92" t="s">
        <v>306</v>
      </c>
      <c r="B12" s="92" t="s">
        <v>284</v>
      </c>
      <c r="C12" s="92" t="s">
        <v>356</v>
      </c>
      <c r="D12" s="93" t="s">
        <v>412</v>
      </c>
      <c r="E12" s="92" t="s">
        <v>46</v>
      </c>
      <c r="F12" s="92" t="s">
        <v>44</v>
      </c>
      <c r="G12" s="92" t="s">
        <v>259</v>
      </c>
      <c r="H12" s="92" t="s">
        <v>286</v>
      </c>
      <c r="I12" s="92" t="s">
        <v>287</v>
      </c>
      <c r="J12" s="92" t="s">
        <v>414</v>
      </c>
      <c r="K12" s="92">
        <v>25000214030</v>
      </c>
      <c r="L12" s="92">
        <v>8901860</v>
      </c>
      <c r="M12" s="92" t="s">
        <v>413</v>
      </c>
      <c r="N12" s="92" t="s">
        <v>263</v>
      </c>
      <c r="O12" s="92" t="s">
        <v>42</v>
      </c>
      <c r="P12" s="111">
        <v>4250.3999999999996</v>
      </c>
      <c r="Q12" s="107">
        <v>4250.3999999999996</v>
      </c>
      <c r="R12" s="111">
        <f>Tabela2[[#This Row],[Valor anterior]]-Tabela2[[#This Row],[VALOR]]</f>
        <v>0</v>
      </c>
      <c r="S12" s="94" t="s">
        <v>254</v>
      </c>
      <c r="T12" s="95" t="s">
        <v>254</v>
      </c>
      <c r="U12" s="96" t="s">
        <v>415</v>
      </c>
      <c r="V12" s="95">
        <v>45796</v>
      </c>
      <c r="W12" s="97">
        <v>250</v>
      </c>
      <c r="X12" s="98" t="s">
        <v>43</v>
      </c>
      <c r="Y12" s="99"/>
      <c r="Z12" s="97">
        <f>Tabela2[[#This Row],[VOLUME NO STEM]]-Tabela2[[#This Row],[VOLUME CARREGADO]]</f>
        <v>250</v>
      </c>
      <c r="AA12" s="95"/>
      <c r="AB12" s="95" t="str">
        <f t="shared" ref="AB12:AB17" si="10">IF(AA12="","",UPPER(TEXT(AA12,"MMM")))</f>
        <v/>
      </c>
      <c r="AC12" s="95">
        <f t="shared" si="9"/>
        <v>14</v>
      </c>
      <c r="AD12" s="92"/>
      <c r="AE12" s="96" t="s">
        <v>122</v>
      </c>
      <c r="AF12" s="96" t="s">
        <v>122</v>
      </c>
      <c r="AG12" s="95" t="s">
        <v>122</v>
      </c>
      <c r="AH12" s="100"/>
      <c r="AI12" s="95"/>
      <c r="AJ12" s="92"/>
      <c r="AK12" s="92"/>
      <c r="AL12" s="95"/>
      <c r="AM12" s="95"/>
      <c r="AN12" s="95"/>
      <c r="AO12" s="92" t="str">
        <f t="shared" si="6"/>
        <v>PA20250011</v>
      </c>
      <c r="AP12" s="95">
        <f t="shared" si="7"/>
        <v>0</v>
      </c>
      <c r="AQ12" s="101">
        <v>0</v>
      </c>
      <c r="AR12" s="102">
        <f t="shared" si="8"/>
        <v>0</v>
      </c>
      <c r="AS12" s="103">
        <v>0</v>
      </c>
      <c r="AT12" s="104">
        <f>Tabela2[[#This Row],[VALOR TOTAL  USD]]*Tabela2[[#This Row],[TAXA]]</f>
        <v>0</v>
      </c>
      <c r="AU12" s="105">
        <v>14</v>
      </c>
      <c r="AV12" s="92">
        <f>Tabela2[[#This Row],[DATA]]-Tabela2[[#This Row],[CARREGAMENTO]]</f>
        <v>0</v>
      </c>
      <c r="AW12" s="92">
        <f>Tabela2[[#This Row],[Realizado]]-Tabela2[[#This Row],[Previsto]]</f>
        <v>-14</v>
      </c>
      <c r="AX12" s="92" t="str">
        <f>IF(Tabela2[[#This Row],[Resultado]]&lt;=0,"Atendido","Não atendido")</f>
        <v>Atendido</v>
      </c>
    </row>
    <row r="13" spans="1:50" x14ac:dyDescent="0.2">
      <c r="A13" s="2" t="s">
        <v>37</v>
      </c>
      <c r="B13" s="2" t="s">
        <v>284</v>
      </c>
      <c r="C13" s="2" t="s">
        <v>356</v>
      </c>
      <c r="D13" s="3" t="s">
        <v>456</v>
      </c>
      <c r="E13" s="2" t="s">
        <v>38</v>
      </c>
      <c r="F13" s="2" t="s">
        <v>44</v>
      </c>
      <c r="G13" s="2" t="s">
        <v>259</v>
      </c>
      <c r="H13" s="2" t="s">
        <v>461</v>
      </c>
      <c r="I13" s="2" t="s">
        <v>464</v>
      </c>
      <c r="J13" s="2" t="s">
        <v>414</v>
      </c>
      <c r="K13" s="2">
        <v>25000148046</v>
      </c>
      <c r="L13" s="2">
        <v>9590979</v>
      </c>
      <c r="M13" s="2" t="s">
        <v>457</v>
      </c>
      <c r="N13" s="2" t="s">
        <v>45</v>
      </c>
      <c r="O13" s="2" t="s">
        <v>42</v>
      </c>
      <c r="P13" s="107">
        <v>4250.3999999999996</v>
      </c>
      <c r="Q13" s="107">
        <v>4250.3999999999996</v>
      </c>
      <c r="R13" s="107">
        <f>Tabela2[[#This Row],[Valor anterior]]-Tabela2[[#This Row],[VALOR]]</f>
        <v>0</v>
      </c>
      <c r="S13" s="14" t="s">
        <v>254</v>
      </c>
      <c r="T13" s="4" t="s">
        <v>254</v>
      </c>
      <c r="U13" s="7" t="s">
        <v>458</v>
      </c>
      <c r="V13" s="4">
        <v>45810</v>
      </c>
      <c r="W13" s="5">
        <v>500</v>
      </c>
      <c r="X13" s="6" t="s">
        <v>43</v>
      </c>
      <c r="Y13" s="15">
        <v>400.03699999999998</v>
      </c>
      <c r="Z13" s="5">
        <f>Tabela2[[#This Row],[VOLUME NO STEM]]-Tabela2[[#This Row],[VOLUME CARREGADO]]</f>
        <v>99.963000000000022</v>
      </c>
      <c r="AA13" s="4">
        <v>45813</v>
      </c>
      <c r="AB13" s="4" t="str">
        <f t="shared" si="10"/>
        <v>JUN</v>
      </c>
      <c r="AC13" s="4">
        <f t="shared" si="9"/>
        <v>45827</v>
      </c>
      <c r="AD13" s="2">
        <v>351</v>
      </c>
      <c r="AE13" s="7" t="s">
        <v>122</v>
      </c>
      <c r="AF13" s="7" t="s">
        <v>122</v>
      </c>
      <c r="AG13" s="4" t="s">
        <v>122</v>
      </c>
      <c r="AH13" s="33" t="s">
        <v>737</v>
      </c>
      <c r="AI13" s="4">
        <v>45814</v>
      </c>
      <c r="AJ13" s="2" t="s">
        <v>738</v>
      </c>
      <c r="AK13" s="2" t="s">
        <v>739</v>
      </c>
      <c r="AL13" s="4">
        <v>45817</v>
      </c>
      <c r="AM13" s="4">
        <v>45818</v>
      </c>
      <c r="AN13" s="4">
        <v>45818</v>
      </c>
      <c r="AO13" s="2" t="str">
        <f t="shared" si="6"/>
        <v>PA20250012</v>
      </c>
      <c r="AP13" s="4">
        <f t="shared" si="7"/>
        <v>45814</v>
      </c>
      <c r="AQ13" s="16">
        <v>588.75</v>
      </c>
      <c r="AR13" s="8">
        <f t="shared" si="8"/>
        <v>235521.78374999997</v>
      </c>
      <c r="AS13" s="13">
        <v>5.5963000000000003</v>
      </c>
      <c r="AT13" s="19">
        <f>Tabela2[[#This Row],[VALOR TOTAL  USD]]*Tabela2[[#This Row],[TAXA]]</f>
        <v>1318050.558400125</v>
      </c>
      <c r="AU13" s="71">
        <v>14</v>
      </c>
      <c r="AV13" s="72">
        <f>Tabela2[[#This Row],[DATA]]-Tabela2[[#This Row],[CARREGAMENTO]]</f>
        <v>4</v>
      </c>
      <c r="AW13" s="72">
        <f>Tabela2[[#This Row],[Realizado]]-Tabela2[[#This Row],[Previsto]]</f>
        <v>-10</v>
      </c>
      <c r="AX13" s="72" t="str">
        <f>IF(Tabela2[[#This Row],[Resultado]]&lt;=0,"Atendido","Não atendido")</f>
        <v>Atendido</v>
      </c>
    </row>
    <row r="14" spans="1:50" x14ac:dyDescent="0.2">
      <c r="A14" s="2" t="s">
        <v>37</v>
      </c>
      <c r="B14" s="2" t="s">
        <v>284</v>
      </c>
      <c r="C14" s="2" t="s">
        <v>356</v>
      </c>
      <c r="D14" s="3" t="s">
        <v>459</v>
      </c>
      <c r="E14" s="2" t="s">
        <v>38</v>
      </c>
      <c r="F14" s="2" t="s">
        <v>44</v>
      </c>
      <c r="G14" s="2" t="s">
        <v>259</v>
      </c>
      <c r="H14" s="2" t="s">
        <v>461</v>
      </c>
      <c r="I14" s="2" t="s">
        <v>464</v>
      </c>
      <c r="J14" s="2" t="s">
        <v>465</v>
      </c>
      <c r="K14" s="2">
        <v>25000211686</v>
      </c>
      <c r="L14" s="2">
        <v>9504736</v>
      </c>
      <c r="M14" s="2" t="s">
        <v>462</v>
      </c>
      <c r="N14" s="2" t="s">
        <v>45</v>
      </c>
      <c r="O14" s="2" t="s">
        <v>42</v>
      </c>
      <c r="P14" s="107">
        <v>4250.3999999999996</v>
      </c>
      <c r="Q14" s="107">
        <v>4250.3999999999996</v>
      </c>
      <c r="R14" s="107">
        <f>Tabela2[[#This Row],[Valor anterior]]-Tabela2[[#This Row],[VALOR]]</f>
        <v>0</v>
      </c>
      <c r="S14" s="14" t="s">
        <v>254</v>
      </c>
      <c r="T14" s="4" t="s">
        <v>254</v>
      </c>
      <c r="U14" s="7" t="s">
        <v>479</v>
      </c>
      <c r="V14" s="4">
        <v>45812</v>
      </c>
      <c r="W14" s="5">
        <v>600</v>
      </c>
      <c r="X14" s="6" t="s">
        <v>43</v>
      </c>
      <c r="Y14" s="15">
        <v>550.66700000000003</v>
      </c>
      <c r="Z14" s="5">
        <f>Tabela2[[#This Row],[VOLUME NO STEM]]-Tabela2[[#This Row],[VOLUME CARREGADO]]</f>
        <v>49.33299999999997</v>
      </c>
      <c r="AA14" s="4">
        <v>45817</v>
      </c>
      <c r="AB14" s="4" t="str">
        <f t="shared" si="10"/>
        <v>JUN</v>
      </c>
      <c r="AC14" s="4">
        <f t="shared" si="9"/>
        <v>45831</v>
      </c>
      <c r="AD14" s="2">
        <v>352</v>
      </c>
      <c r="AE14" s="7" t="s">
        <v>122</v>
      </c>
      <c r="AF14" s="7" t="s">
        <v>122</v>
      </c>
      <c r="AG14" s="4" t="s">
        <v>122</v>
      </c>
      <c r="AH14" s="33" t="s">
        <v>480</v>
      </c>
      <c r="AI14" s="4">
        <v>45819</v>
      </c>
      <c r="AJ14" s="2" t="s">
        <v>486</v>
      </c>
      <c r="AK14" s="2" t="s">
        <v>485</v>
      </c>
      <c r="AL14" s="4">
        <v>45824</v>
      </c>
      <c r="AM14" s="4">
        <v>45824</v>
      </c>
      <c r="AN14" s="4">
        <v>45824</v>
      </c>
      <c r="AO14" s="2" t="str">
        <f t="shared" ref="AO14:AO19" si="11">D14</f>
        <v>PA20250013</v>
      </c>
      <c r="AP14" s="4">
        <f t="shared" ref="AP14:AP19" si="12">AI14</f>
        <v>45819</v>
      </c>
      <c r="AQ14" s="16">
        <v>586.54</v>
      </c>
      <c r="AR14" s="8">
        <f t="shared" ref="AR14:AR19" si="13">Y14*AQ14</f>
        <v>322988.22217999998</v>
      </c>
      <c r="AS14" s="13">
        <v>5.5551000000000004</v>
      </c>
      <c r="AT14" s="19">
        <f>Tabela2[[#This Row],[VALOR TOTAL  USD]]*Tabela2[[#This Row],[TAXA]]</f>
        <v>1794231.873032118</v>
      </c>
      <c r="AU14" s="71">
        <v>14</v>
      </c>
      <c r="AV14" s="72">
        <f>Tabela2[[#This Row],[DATA]]-Tabela2[[#This Row],[CARREGAMENTO]]</f>
        <v>7</v>
      </c>
      <c r="AW14" s="72">
        <f>Tabela2[[#This Row],[Realizado]]-Tabela2[[#This Row],[Previsto]]</f>
        <v>-7</v>
      </c>
      <c r="AX14" s="72" t="str">
        <f>IF(Tabela2[[#This Row],[Resultado]]&lt;=0,"Atendido","Não atendido")</f>
        <v>Atendido</v>
      </c>
    </row>
    <row r="15" spans="1:50" x14ac:dyDescent="0.2">
      <c r="A15" s="2" t="s">
        <v>37</v>
      </c>
      <c r="B15" s="2" t="s">
        <v>284</v>
      </c>
      <c r="C15" s="2" t="s">
        <v>356</v>
      </c>
      <c r="D15" s="3" t="s">
        <v>460</v>
      </c>
      <c r="E15" s="2" t="s">
        <v>38</v>
      </c>
      <c r="F15" s="2" t="s">
        <v>44</v>
      </c>
      <c r="G15" s="2" t="s">
        <v>259</v>
      </c>
      <c r="H15" s="2" t="s">
        <v>461</v>
      </c>
      <c r="I15" s="2" t="s">
        <v>464</v>
      </c>
      <c r="J15" s="2" t="s">
        <v>331</v>
      </c>
      <c r="K15" s="2">
        <v>25000240899</v>
      </c>
      <c r="L15" s="2">
        <v>1016472</v>
      </c>
      <c r="M15" s="2" t="s">
        <v>463</v>
      </c>
      <c r="N15" s="2" t="s">
        <v>45</v>
      </c>
      <c r="O15" s="2" t="s">
        <v>42</v>
      </c>
      <c r="P15" s="107">
        <v>4250.3999999999996</v>
      </c>
      <c r="Q15" s="107">
        <v>4250.3999999999996</v>
      </c>
      <c r="R15" s="107">
        <f>Tabela2[[#This Row],[Valor anterior]]-Tabela2[[#This Row],[VALOR]]</f>
        <v>0</v>
      </c>
      <c r="S15" s="14" t="s">
        <v>254</v>
      </c>
      <c r="T15" s="4" t="s">
        <v>254</v>
      </c>
      <c r="U15" s="7" t="s">
        <v>75</v>
      </c>
      <c r="V15" s="4">
        <v>45814</v>
      </c>
      <c r="W15" s="5">
        <v>200</v>
      </c>
      <c r="X15" s="6" t="s">
        <v>43</v>
      </c>
      <c r="Y15" s="15">
        <v>150.04599999999999</v>
      </c>
      <c r="Z15" s="5">
        <f>Tabela2[[#This Row],[VOLUME NO STEM]]-Tabela2[[#This Row],[VOLUME CARREGADO]]</f>
        <v>49.954000000000008</v>
      </c>
      <c r="AA15" s="4">
        <v>45815</v>
      </c>
      <c r="AB15" s="4" t="str">
        <f t="shared" si="10"/>
        <v>JUN</v>
      </c>
      <c r="AC15" s="4">
        <f t="shared" si="9"/>
        <v>45829</v>
      </c>
      <c r="AD15" s="2">
        <v>353</v>
      </c>
      <c r="AE15" s="7" t="s">
        <v>122</v>
      </c>
      <c r="AF15" s="7" t="s">
        <v>122</v>
      </c>
      <c r="AG15" s="4" t="s">
        <v>122</v>
      </c>
      <c r="AH15" s="33" t="s">
        <v>512</v>
      </c>
      <c r="AI15" s="4">
        <v>45820</v>
      </c>
      <c r="AJ15" s="2" t="s">
        <v>513</v>
      </c>
      <c r="AK15" s="2" t="s">
        <v>514</v>
      </c>
      <c r="AL15" s="4">
        <v>45824</v>
      </c>
      <c r="AM15" s="4">
        <v>45824</v>
      </c>
      <c r="AN15" s="4">
        <v>45824</v>
      </c>
      <c r="AO15" s="2" t="str">
        <f t="shared" si="11"/>
        <v>PA20250014</v>
      </c>
      <c r="AP15" s="4">
        <f t="shared" si="12"/>
        <v>45820</v>
      </c>
      <c r="AQ15" s="16">
        <v>598.76</v>
      </c>
      <c r="AR15" s="8">
        <f t="shared" si="13"/>
        <v>89841.542959999992</v>
      </c>
      <c r="AS15" s="13">
        <v>5.5384000000000002</v>
      </c>
      <c r="AT15" s="19">
        <f>Tabela2[[#This Row],[VALOR TOTAL  USD]]*Tabela2[[#This Row],[TAXA]]</f>
        <v>497578.401529664</v>
      </c>
      <c r="AU15" s="71">
        <v>14</v>
      </c>
      <c r="AV15" s="72">
        <f>Tabela2[[#This Row],[DATA]]-Tabela2[[#This Row],[CARREGAMENTO]]</f>
        <v>9</v>
      </c>
      <c r="AW15" s="72">
        <f>Tabela2[[#This Row],[Realizado]]-Tabela2[[#This Row],[Previsto]]</f>
        <v>-5</v>
      </c>
      <c r="AX15" s="72" t="str">
        <f>IF(Tabela2[[#This Row],[Resultado]]&lt;=0,"Atendido","Não atendido")</f>
        <v>Atendido</v>
      </c>
    </row>
    <row r="16" spans="1:50" x14ac:dyDescent="0.2">
      <c r="A16" s="92" t="s">
        <v>306</v>
      </c>
      <c r="B16" s="92" t="s">
        <v>284</v>
      </c>
      <c r="C16" s="92" t="s">
        <v>356</v>
      </c>
      <c r="D16" s="93" t="s">
        <v>478</v>
      </c>
      <c r="E16" s="92" t="s">
        <v>46</v>
      </c>
      <c r="F16" s="92" t="s">
        <v>44</v>
      </c>
      <c r="G16" s="92" t="s">
        <v>259</v>
      </c>
      <c r="H16" s="92" t="s">
        <v>286</v>
      </c>
      <c r="I16" s="92" t="s">
        <v>464</v>
      </c>
      <c r="J16" s="92" t="s">
        <v>414</v>
      </c>
      <c r="K16" s="92">
        <v>25000148046</v>
      </c>
      <c r="L16" s="92">
        <v>9590979</v>
      </c>
      <c r="M16" s="92" t="s">
        <v>457</v>
      </c>
      <c r="N16" s="92" t="s">
        <v>45</v>
      </c>
      <c r="O16" s="92" t="s">
        <v>42</v>
      </c>
      <c r="P16" s="111">
        <v>4250.3999999999996</v>
      </c>
      <c r="Q16" s="107">
        <v>4250.3999999999996</v>
      </c>
      <c r="R16" s="111">
        <f>Tabela2[[#This Row],[Valor anterior]]-Tabela2[[#This Row],[VALOR]]</f>
        <v>0</v>
      </c>
      <c r="S16" s="94" t="s">
        <v>254</v>
      </c>
      <c r="T16" s="95" t="s">
        <v>254</v>
      </c>
      <c r="U16" s="96"/>
      <c r="V16" s="95"/>
      <c r="W16" s="97"/>
      <c r="X16" s="98"/>
      <c r="Y16" s="99"/>
      <c r="Z16" s="97">
        <f>Tabela2[[#This Row],[VOLUME NO STEM]]-Tabela2[[#This Row],[VOLUME CARREGADO]]</f>
        <v>0</v>
      </c>
      <c r="AA16" s="95"/>
      <c r="AB16" s="95" t="str">
        <f t="shared" si="10"/>
        <v/>
      </c>
      <c r="AC16" s="95">
        <f t="shared" ref="AC16:AC21" si="14">AA16+14</f>
        <v>14</v>
      </c>
      <c r="AD16" s="92"/>
      <c r="AE16" s="96" t="s">
        <v>122</v>
      </c>
      <c r="AF16" s="96" t="s">
        <v>122</v>
      </c>
      <c r="AG16" s="95" t="s">
        <v>122</v>
      </c>
      <c r="AH16" s="100"/>
      <c r="AI16" s="95"/>
      <c r="AJ16" s="92"/>
      <c r="AK16" s="92"/>
      <c r="AL16" s="95"/>
      <c r="AM16" s="95"/>
      <c r="AN16" s="95"/>
      <c r="AO16" s="92" t="str">
        <f t="shared" si="11"/>
        <v>PA20250015</v>
      </c>
      <c r="AP16" s="95">
        <f t="shared" si="12"/>
        <v>0</v>
      </c>
      <c r="AQ16" s="101">
        <v>0</v>
      </c>
      <c r="AR16" s="102">
        <f t="shared" si="13"/>
        <v>0</v>
      </c>
      <c r="AS16" s="103">
        <v>0</v>
      </c>
      <c r="AT16" s="104">
        <f>Tabela2[[#This Row],[VALOR TOTAL  USD]]*Tabela2[[#This Row],[TAXA]]</f>
        <v>0</v>
      </c>
      <c r="AU16" s="105">
        <v>14</v>
      </c>
      <c r="AV16" s="92">
        <f>Tabela2[[#This Row],[DATA]]-Tabela2[[#This Row],[CARREGAMENTO]]</f>
        <v>0</v>
      </c>
      <c r="AW16" s="92">
        <f>Tabela2[[#This Row],[Realizado]]-Tabela2[[#This Row],[Previsto]]</f>
        <v>-14</v>
      </c>
      <c r="AX16" s="92" t="str">
        <f>IF(Tabela2[[#This Row],[Resultado]]&lt;=0,"Atendido","Não atendido")</f>
        <v>Atendido</v>
      </c>
    </row>
    <row r="17" spans="1:50" x14ac:dyDescent="0.2">
      <c r="A17" s="2" t="s">
        <v>37</v>
      </c>
      <c r="B17" s="2" t="s">
        <v>284</v>
      </c>
      <c r="C17" s="2" t="s">
        <v>356</v>
      </c>
      <c r="D17" s="3" t="s">
        <v>481</v>
      </c>
      <c r="E17" s="2" t="s">
        <v>46</v>
      </c>
      <c r="F17" s="2" t="s">
        <v>44</v>
      </c>
      <c r="G17" s="2" t="s">
        <v>259</v>
      </c>
      <c r="H17" s="2" t="s">
        <v>286</v>
      </c>
      <c r="I17" s="2" t="s">
        <v>464</v>
      </c>
      <c r="J17" s="2" t="s">
        <v>482</v>
      </c>
      <c r="K17" s="2">
        <v>25000292910</v>
      </c>
      <c r="L17" s="2">
        <v>9959307</v>
      </c>
      <c r="M17" s="2" t="s">
        <v>483</v>
      </c>
      <c r="N17" s="2" t="s">
        <v>484</v>
      </c>
      <c r="O17" s="2" t="s">
        <v>42</v>
      </c>
      <c r="P17" s="107">
        <v>4250.3999999999996</v>
      </c>
      <c r="Q17" s="107">
        <v>4250.3999999999996</v>
      </c>
      <c r="R17" s="107">
        <f>Tabela2[[#This Row],[Valor anterior]]-Tabela2[[#This Row],[VALOR]]</f>
        <v>0</v>
      </c>
      <c r="S17" s="14" t="s">
        <v>254</v>
      </c>
      <c r="T17" s="4" t="s">
        <v>254</v>
      </c>
      <c r="U17" s="7" t="s">
        <v>508</v>
      </c>
      <c r="V17" s="4">
        <v>45834</v>
      </c>
      <c r="W17" s="5">
        <v>100</v>
      </c>
      <c r="X17" s="6" t="s">
        <v>43</v>
      </c>
      <c r="Y17" s="15">
        <v>49.805999999999997</v>
      </c>
      <c r="Z17" s="5">
        <f>Tabela2[[#This Row],[VOLUME NO STEM]]-Tabela2[[#This Row],[VOLUME CARREGADO]]</f>
        <v>50.194000000000003</v>
      </c>
      <c r="AA17" s="4">
        <v>45834</v>
      </c>
      <c r="AB17" s="4" t="str">
        <f t="shared" si="10"/>
        <v>JUN</v>
      </c>
      <c r="AC17" s="4">
        <f t="shared" si="14"/>
        <v>45848</v>
      </c>
      <c r="AD17" s="2">
        <v>382</v>
      </c>
      <c r="AE17" s="7" t="s">
        <v>122</v>
      </c>
      <c r="AF17" s="7" t="s">
        <v>122</v>
      </c>
      <c r="AG17" s="4" t="s">
        <v>122</v>
      </c>
      <c r="AH17" s="33" t="s">
        <v>509</v>
      </c>
      <c r="AI17" s="4">
        <v>45845</v>
      </c>
      <c r="AJ17" s="2" t="s">
        <v>510</v>
      </c>
      <c r="AK17" s="2" t="s">
        <v>511</v>
      </c>
      <c r="AL17" s="4">
        <v>45846</v>
      </c>
      <c r="AM17" s="4">
        <v>45846</v>
      </c>
      <c r="AN17" s="4">
        <v>45846</v>
      </c>
      <c r="AO17" s="2" t="str">
        <f t="shared" si="11"/>
        <v>PA20250016</v>
      </c>
      <c r="AP17" s="4">
        <f t="shared" si="12"/>
        <v>45845</v>
      </c>
      <c r="AQ17" s="16">
        <v>1017.39</v>
      </c>
      <c r="AR17" s="8">
        <f t="shared" si="13"/>
        <v>50672.126339999995</v>
      </c>
      <c r="AS17" s="13">
        <v>5.4546000000000001</v>
      </c>
      <c r="AT17" s="19">
        <f>Tabela2[[#This Row],[VALOR TOTAL  USD]]*Tabela2[[#This Row],[TAXA]]</f>
        <v>276396.180334164</v>
      </c>
      <c r="AU17" s="71">
        <v>14</v>
      </c>
      <c r="AV17" s="72">
        <f>Tabela2[[#This Row],[DATA]]-Tabela2[[#This Row],[CARREGAMENTO]]</f>
        <v>12</v>
      </c>
      <c r="AW17" s="72">
        <f>Tabela2[[#This Row],[Realizado]]-Tabela2[[#This Row],[Previsto]]</f>
        <v>-2</v>
      </c>
      <c r="AX17" s="72" t="str">
        <f>IF(Tabela2[[#This Row],[Resultado]]&lt;=0,"Atendido","Não atendido")</f>
        <v>Atendido</v>
      </c>
    </row>
    <row r="18" spans="1:50" x14ac:dyDescent="0.2">
      <c r="A18" s="2" t="s">
        <v>37</v>
      </c>
      <c r="B18" s="2" t="s">
        <v>284</v>
      </c>
      <c r="C18" s="2" t="s">
        <v>356</v>
      </c>
      <c r="D18" s="3" t="s">
        <v>491</v>
      </c>
      <c r="E18" s="2" t="s">
        <v>38</v>
      </c>
      <c r="F18" s="2" t="s">
        <v>44</v>
      </c>
      <c r="G18" s="2" t="s">
        <v>259</v>
      </c>
      <c r="H18" s="2" t="s">
        <v>503</v>
      </c>
      <c r="I18" s="2" t="s">
        <v>464</v>
      </c>
      <c r="J18" s="2" t="s">
        <v>504</v>
      </c>
      <c r="K18" s="2">
        <v>25000209886</v>
      </c>
      <c r="L18" s="2">
        <v>9670420</v>
      </c>
      <c r="M18" s="2" t="s">
        <v>505</v>
      </c>
      <c r="N18" s="2" t="s">
        <v>484</v>
      </c>
      <c r="O18" s="2" t="s">
        <v>42</v>
      </c>
      <c r="P18" s="107">
        <v>4250.3999999999996</v>
      </c>
      <c r="Q18" s="107">
        <v>4250.3999999999996</v>
      </c>
      <c r="R18" s="107">
        <f>Tabela2[[#This Row],[Valor anterior]]-Tabela2[[#This Row],[VALOR]]</f>
        <v>0</v>
      </c>
      <c r="S18" s="14" t="s">
        <v>254</v>
      </c>
      <c r="T18" s="4" t="s">
        <v>254</v>
      </c>
      <c r="U18" s="7" t="s">
        <v>506</v>
      </c>
      <c r="V18" s="4">
        <v>45842</v>
      </c>
      <c r="W18" s="5">
        <v>400</v>
      </c>
      <c r="X18" s="6" t="s">
        <v>43</v>
      </c>
      <c r="Y18" s="15">
        <v>248.66300000000001</v>
      </c>
      <c r="Z18" s="5">
        <f>Tabela2[[#This Row],[VOLUME NO STEM]]-Tabela2[[#This Row],[VOLUME CARREGADO]]</f>
        <v>151.33699999999999</v>
      </c>
      <c r="AA18" s="4">
        <v>45842</v>
      </c>
      <c r="AB18" s="4" t="str">
        <f t="shared" ref="AB18:AB23" si="15">IF(AA18="","",UPPER(TEXT(AA18,"MMM")))</f>
        <v>JUL</v>
      </c>
      <c r="AC18" s="4">
        <f t="shared" si="14"/>
        <v>45856</v>
      </c>
      <c r="AD18" s="2">
        <v>391</v>
      </c>
      <c r="AE18" s="7" t="s">
        <v>122</v>
      </c>
      <c r="AF18" s="7" t="s">
        <v>122</v>
      </c>
      <c r="AG18" s="4" t="s">
        <v>122</v>
      </c>
      <c r="AH18" s="33" t="s">
        <v>507</v>
      </c>
      <c r="AI18" s="4">
        <v>45847</v>
      </c>
      <c r="AJ18" s="2" t="s">
        <v>732</v>
      </c>
      <c r="AK18" s="2" t="s">
        <v>733</v>
      </c>
      <c r="AL18" s="4">
        <v>45847</v>
      </c>
      <c r="AM18" s="4">
        <v>45847</v>
      </c>
      <c r="AN18" s="4">
        <v>45847</v>
      </c>
      <c r="AO18" s="2" t="str">
        <f t="shared" si="11"/>
        <v>PA20250017</v>
      </c>
      <c r="AP18" s="4">
        <f t="shared" si="12"/>
        <v>45847</v>
      </c>
      <c r="AQ18" s="16">
        <v>610.55999999999995</v>
      </c>
      <c r="AR18" s="8">
        <f t="shared" si="13"/>
        <v>151823.68127999999</v>
      </c>
      <c r="AS18" s="13">
        <v>5.4565000000000001</v>
      </c>
      <c r="AT18" s="19">
        <f>Tabela2[[#This Row],[VALOR TOTAL  USD]]*Tabela2[[#This Row],[TAXA]]</f>
        <v>828425.91690432001</v>
      </c>
      <c r="AU18" s="71">
        <v>14</v>
      </c>
      <c r="AV18" s="72">
        <f>Tabela2[[#This Row],[DATA]]-Tabela2[[#This Row],[CARREGAMENTO]]</f>
        <v>5</v>
      </c>
      <c r="AW18" s="72">
        <f>Tabela2[[#This Row],[Realizado]]-Tabela2[[#This Row],[Previsto]]</f>
        <v>-9</v>
      </c>
      <c r="AX18" s="72" t="str">
        <f>IF(Tabela2[[#This Row],[Resultado]]&lt;=0,"Atendido","Não atendido")</f>
        <v>Atendido</v>
      </c>
    </row>
    <row r="19" spans="1:50" x14ac:dyDescent="0.2">
      <c r="A19" s="2" t="s">
        <v>37</v>
      </c>
      <c r="B19" s="2" t="s">
        <v>284</v>
      </c>
      <c r="C19" s="2" t="s">
        <v>356</v>
      </c>
      <c r="D19" s="3" t="s">
        <v>565</v>
      </c>
      <c r="E19" s="2" t="s">
        <v>38</v>
      </c>
      <c r="F19" s="2" t="s">
        <v>44</v>
      </c>
      <c r="G19" s="2" t="s">
        <v>259</v>
      </c>
      <c r="H19" s="2" t="s">
        <v>286</v>
      </c>
      <c r="I19" s="2" t="s">
        <v>464</v>
      </c>
      <c r="J19" s="2" t="s">
        <v>567</v>
      </c>
      <c r="K19" s="2">
        <v>25000381913</v>
      </c>
      <c r="L19" s="2">
        <v>9304112</v>
      </c>
      <c r="M19" s="2" t="s">
        <v>568</v>
      </c>
      <c r="N19" s="2" t="s">
        <v>45</v>
      </c>
      <c r="O19" s="2" t="s">
        <v>42</v>
      </c>
      <c r="P19" s="107">
        <v>4250.3999999999996</v>
      </c>
      <c r="Q19" s="107">
        <v>4250.3999999999996</v>
      </c>
      <c r="R19" s="107">
        <f>Tabela2[[#This Row],[Valor anterior]]-Tabela2[[#This Row],[VALOR]]</f>
        <v>0</v>
      </c>
      <c r="S19" s="14" t="s">
        <v>254</v>
      </c>
      <c r="T19" s="4" t="s">
        <v>254</v>
      </c>
      <c r="U19" s="7" t="s">
        <v>74</v>
      </c>
      <c r="V19" s="4">
        <v>45881</v>
      </c>
      <c r="W19" s="5">
        <v>450</v>
      </c>
      <c r="X19" s="6" t="s">
        <v>43</v>
      </c>
      <c r="Y19" s="15">
        <v>380.89800000000002</v>
      </c>
      <c r="Z19" s="5">
        <f>Tabela2[[#This Row],[VOLUME NO STEM]]-Tabela2[[#This Row],[VOLUME CARREGADO]]</f>
        <v>69.101999999999975</v>
      </c>
      <c r="AA19" s="4">
        <v>45882</v>
      </c>
      <c r="AB19" s="4" t="str">
        <f t="shared" si="15"/>
        <v>AGO</v>
      </c>
      <c r="AC19" s="4">
        <f t="shared" si="14"/>
        <v>45896</v>
      </c>
      <c r="AD19" s="2">
        <v>446</v>
      </c>
      <c r="AE19" s="7" t="s">
        <v>122</v>
      </c>
      <c r="AF19" s="7" t="s">
        <v>122</v>
      </c>
      <c r="AG19" s="4" t="s">
        <v>122</v>
      </c>
      <c r="AH19" s="33" t="s">
        <v>748</v>
      </c>
      <c r="AI19" s="4">
        <v>45889</v>
      </c>
      <c r="AJ19" s="2" t="s">
        <v>746</v>
      </c>
      <c r="AK19" s="2" t="s">
        <v>747</v>
      </c>
      <c r="AL19" s="4">
        <v>45895</v>
      </c>
      <c r="AM19" s="4">
        <v>45895</v>
      </c>
      <c r="AN19" s="4">
        <v>45895</v>
      </c>
      <c r="AO19" s="2" t="str">
        <f t="shared" si="11"/>
        <v>PA20250018</v>
      </c>
      <c r="AP19" s="4">
        <f t="shared" si="12"/>
        <v>45889</v>
      </c>
      <c r="AQ19" s="16">
        <v>635</v>
      </c>
      <c r="AR19" s="8">
        <f t="shared" si="13"/>
        <v>241870.23</v>
      </c>
      <c r="AS19" s="13">
        <v>5.4710000000000001</v>
      </c>
      <c r="AT19" s="19">
        <f>Tabela2[[#This Row],[VALOR TOTAL  USD]]*Tabela2[[#This Row],[TAXA]]</f>
        <v>1323272.0283300001</v>
      </c>
      <c r="AU19" s="71">
        <v>14</v>
      </c>
      <c r="AV19" s="72">
        <f>Tabela2[[#This Row],[DATA]]-Tabela2[[#This Row],[CARREGAMENTO]]</f>
        <v>13</v>
      </c>
      <c r="AW19" s="72">
        <f>Tabela2[[#This Row],[Realizado]]-Tabela2[[#This Row],[Previsto]]</f>
        <v>-1</v>
      </c>
      <c r="AX19" s="72" t="str">
        <f>IF(Tabela2[[#This Row],[Resultado]]&lt;=0,"Atendido","Não atendido")</f>
        <v>Atendido</v>
      </c>
    </row>
    <row r="20" spans="1:50" x14ac:dyDescent="0.2">
      <c r="A20" s="2" t="s">
        <v>37</v>
      </c>
      <c r="B20" s="2" t="s">
        <v>284</v>
      </c>
      <c r="C20" s="2" t="s">
        <v>356</v>
      </c>
      <c r="D20" s="3" t="s">
        <v>569</v>
      </c>
      <c r="E20" s="2" t="s">
        <v>46</v>
      </c>
      <c r="F20" s="2" t="s">
        <v>44</v>
      </c>
      <c r="G20" s="2" t="s">
        <v>259</v>
      </c>
      <c r="H20" s="2" t="s">
        <v>286</v>
      </c>
      <c r="I20" s="2" t="s">
        <v>464</v>
      </c>
      <c r="J20" s="2" t="s">
        <v>567</v>
      </c>
      <c r="K20" s="2">
        <v>25000381913</v>
      </c>
      <c r="L20" s="2">
        <v>9304112</v>
      </c>
      <c r="M20" s="2" t="s">
        <v>568</v>
      </c>
      <c r="N20" s="2" t="s">
        <v>45</v>
      </c>
      <c r="O20" s="2" t="s">
        <v>42</v>
      </c>
      <c r="P20" s="107">
        <v>4250.3999999999996</v>
      </c>
      <c r="Q20" s="107">
        <v>4250.3999999999996</v>
      </c>
      <c r="R20" s="107">
        <f>Tabela2[[#This Row],[Valor anterior]]-Tabela2[[#This Row],[VALOR]]</f>
        <v>0</v>
      </c>
      <c r="S20" s="14" t="s">
        <v>254</v>
      </c>
      <c r="T20" s="4" t="s">
        <v>254</v>
      </c>
      <c r="U20" s="7" t="s">
        <v>570</v>
      </c>
      <c r="V20" s="4">
        <v>45881</v>
      </c>
      <c r="W20" s="5">
        <v>120</v>
      </c>
      <c r="X20" s="6" t="s">
        <v>43</v>
      </c>
      <c r="Y20" s="15">
        <v>75.099999999999994</v>
      </c>
      <c r="Z20" s="5">
        <f>Tabela2[[#This Row],[VOLUME NO STEM]]-Tabela2[[#This Row],[VOLUME CARREGADO]]</f>
        <v>44.900000000000006</v>
      </c>
      <c r="AA20" s="4">
        <v>45882</v>
      </c>
      <c r="AB20" s="4" t="str">
        <f t="shared" si="15"/>
        <v>AGO</v>
      </c>
      <c r="AC20" s="4">
        <f t="shared" si="14"/>
        <v>45896</v>
      </c>
      <c r="AD20" s="2">
        <v>447</v>
      </c>
      <c r="AE20" s="7" t="s">
        <v>122</v>
      </c>
      <c r="AF20" s="7" t="s">
        <v>122</v>
      </c>
      <c r="AG20" s="4" t="s">
        <v>122</v>
      </c>
      <c r="AH20" s="33" t="s">
        <v>712</v>
      </c>
      <c r="AI20" s="4">
        <v>45903</v>
      </c>
      <c r="AJ20" s="2" t="s">
        <v>630</v>
      </c>
      <c r="AK20" s="2" t="s">
        <v>631</v>
      </c>
      <c r="AL20" s="4">
        <v>45908</v>
      </c>
      <c r="AM20" s="4">
        <v>45909</v>
      </c>
      <c r="AN20" s="4">
        <v>45909</v>
      </c>
      <c r="AO20" s="2" t="str">
        <f t="shared" ref="AO20:AO27" si="16">D20</f>
        <v>PA20250019</v>
      </c>
      <c r="AP20" s="4">
        <f t="shared" ref="AP20:AP27" si="17">AI20</f>
        <v>45903</v>
      </c>
      <c r="AQ20" s="16">
        <v>964</v>
      </c>
      <c r="AR20" s="8">
        <f t="shared" ref="AR20:AR27" si="18">Y20*AQ20</f>
        <v>72396.399999999994</v>
      </c>
      <c r="AS20" s="13">
        <v>5.4673999999999996</v>
      </c>
      <c r="AT20" s="19">
        <f>Tabela2[[#This Row],[VALOR TOTAL  USD]]*Tabela2[[#This Row],[TAXA]]</f>
        <v>395820.07735999994</v>
      </c>
      <c r="AU20" s="71">
        <v>14</v>
      </c>
      <c r="AV20" s="72">
        <f>Tabela2[[#This Row],[DATA]]-Tabela2[[#This Row],[CARREGAMENTO]]</f>
        <v>26</v>
      </c>
      <c r="AW20" s="72">
        <f>Tabela2[[#This Row],[Realizado]]-Tabela2[[#This Row],[Previsto]]</f>
        <v>12</v>
      </c>
      <c r="AX20" s="72" t="str">
        <f>IF(Tabela2[[#This Row],[Resultado]]&lt;=0,"Atendido","Não atendido")</f>
        <v>Não atendido</v>
      </c>
    </row>
    <row r="21" spans="1:50" x14ac:dyDescent="0.2">
      <c r="A21" s="2" t="s">
        <v>37</v>
      </c>
      <c r="B21" s="2" t="s">
        <v>284</v>
      </c>
      <c r="C21" s="2" t="s">
        <v>356</v>
      </c>
      <c r="D21" s="3" t="s">
        <v>571</v>
      </c>
      <c r="E21" s="2" t="s">
        <v>46</v>
      </c>
      <c r="F21" s="2" t="s">
        <v>44</v>
      </c>
      <c r="G21" s="2" t="s">
        <v>259</v>
      </c>
      <c r="H21" s="2" t="s">
        <v>286</v>
      </c>
      <c r="I21" s="2" t="s">
        <v>464</v>
      </c>
      <c r="J21" s="2" t="s">
        <v>414</v>
      </c>
      <c r="K21" s="2">
        <v>25000369182</v>
      </c>
      <c r="L21" s="2">
        <v>7711866</v>
      </c>
      <c r="M21" s="2" t="s">
        <v>572</v>
      </c>
      <c r="N21" s="2" t="s">
        <v>263</v>
      </c>
      <c r="O21" s="2" t="s">
        <v>42</v>
      </c>
      <c r="P21" s="107">
        <v>4250.3999999999996</v>
      </c>
      <c r="Q21" s="107">
        <v>4250.3999999999996</v>
      </c>
      <c r="R21" s="107">
        <f>Tabela2[[#This Row],[Valor anterior]]-Tabela2[[#This Row],[VALOR]]</f>
        <v>0</v>
      </c>
      <c r="S21" s="14" t="s">
        <v>254</v>
      </c>
      <c r="T21" s="4" t="s">
        <v>254</v>
      </c>
      <c r="U21" s="7" t="s">
        <v>573</v>
      </c>
      <c r="V21" s="4">
        <v>45884</v>
      </c>
      <c r="W21" s="5">
        <v>120</v>
      </c>
      <c r="X21" s="6" t="s">
        <v>43</v>
      </c>
      <c r="Y21" s="15">
        <v>105.18899999999999</v>
      </c>
      <c r="Z21" s="5">
        <f>Tabela2[[#This Row],[VOLUME NO STEM]]-Tabela2[[#This Row],[VOLUME CARREGADO]]</f>
        <v>14.811000000000007</v>
      </c>
      <c r="AA21" s="4">
        <v>45891</v>
      </c>
      <c r="AB21" s="4" t="str">
        <f t="shared" si="15"/>
        <v>AGO</v>
      </c>
      <c r="AC21" s="4">
        <f t="shared" si="14"/>
        <v>45905</v>
      </c>
      <c r="AD21" s="2" t="s">
        <v>635</v>
      </c>
      <c r="AE21" s="7" t="s">
        <v>122</v>
      </c>
      <c r="AF21" s="7" t="s">
        <v>122</v>
      </c>
      <c r="AG21" s="4" t="s">
        <v>122</v>
      </c>
      <c r="AH21" s="33" t="s">
        <v>711</v>
      </c>
      <c r="AI21" s="4">
        <v>45909</v>
      </c>
      <c r="AJ21" s="2" t="s">
        <v>687</v>
      </c>
      <c r="AK21" s="2" t="s">
        <v>688</v>
      </c>
      <c r="AL21" s="4">
        <v>45910</v>
      </c>
      <c r="AM21" s="4">
        <v>45910</v>
      </c>
      <c r="AN21" s="4">
        <v>45910</v>
      </c>
      <c r="AO21" s="2" t="str">
        <f t="shared" si="16"/>
        <v>PA20250020</v>
      </c>
      <c r="AP21" s="4">
        <f t="shared" si="17"/>
        <v>45909</v>
      </c>
      <c r="AQ21" s="16">
        <v>812.75</v>
      </c>
      <c r="AR21" s="8">
        <f t="shared" si="18"/>
        <v>85492.359749999989</v>
      </c>
      <c r="AS21" s="13">
        <v>5.4272</v>
      </c>
      <c r="AT21" s="19">
        <f>Tabela2[[#This Row],[VALOR TOTAL  USD]]*Tabela2[[#This Row],[TAXA]]</f>
        <v>463984.13483519992</v>
      </c>
      <c r="AU21" s="71">
        <v>14</v>
      </c>
      <c r="AV21" s="72">
        <f>Tabela2[[#This Row],[DATA]]-Tabela2[[#This Row],[CARREGAMENTO]]</f>
        <v>19</v>
      </c>
      <c r="AW21" s="72">
        <f>Tabela2[[#This Row],[Realizado]]-Tabela2[[#This Row],[Previsto]]</f>
        <v>5</v>
      </c>
      <c r="AX21" s="72" t="str">
        <f>IF(Tabela2[[#This Row],[Resultado]]&lt;=0,"Atendido","Não atendido")</f>
        <v>Não atendido</v>
      </c>
    </row>
    <row r="22" spans="1:50" x14ac:dyDescent="0.2">
      <c r="A22" s="2" t="s">
        <v>37</v>
      </c>
      <c r="B22" s="2" t="s">
        <v>284</v>
      </c>
      <c r="C22" s="2" t="s">
        <v>356</v>
      </c>
      <c r="D22" s="3" t="s">
        <v>585</v>
      </c>
      <c r="E22" s="2" t="s">
        <v>46</v>
      </c>
      <c r="F22" s="2" t="s">
        <v>44</v>
      </c>
      <c r="G22" s="2" t="s">
        <v>259</v>
      </c>
      <c r="H22" s="2" t="s">
        <v>286</v>
      </c>
      <c r="I22" s="2" t="s">
        <v>464</v>
      </c>
      <c r="J22" s="2" t="s">
        <v>586</v>
      </c>
      <c r="K22" s="2">
        <v>25000256850</v>
      </c>
      <c r="L22" s="2">
        <v>9175901</v>
      </c>
      <c r="M22" s="2" t="s">
        <v>728</v>
      </c>
      <c r="N22" s="2" t="s">
        <v>587</v>
      </c>
      <c r="O22" s="2" t="s">
        <v>42</v>
      </c>
      <c r="P22" s="107">
        <v>4250.3999999999996</v>
      </c>
      <c r="Q22" s="107">
        <v>4250.3999999999996</v>
      </c>
      <c r="R22" s="107">
        <f>Tabela2[[#This Row],[Valor anterior]]-Tabela2[[#This Row],[VALOR]]</f>
        <v>0</v>
      </c>
      <c r="S22" s="14" t="s">
        <v>254</v>
      </c>
      <c r="T22" s="4" t="s">
        <v>254</v>
      </c>
      <c r="U22" s="7" t="s">
        <v>588</v>
      </c>
      <c r="V22" s="4">
        <v>45887</v>
      </c>
      <c r="W22" s="5">
        <v>160</v>
      </c>
      <c r="X22" s="6" t="s">
        <v>43</v>
      </c>
      <c r="Y22" s="15">
        <v>105.15</v>
      </c>
      <c r="Z22" s="5">
        <f>Tabela2[[#This Row],[VOLUME NO STEM]]-Tabela2[[#This Row],[VOLUME CARREGADO]]</f>
        <v>54.849999999999994</v>
      </c>
      <c r="AA22" s="4">
        <v>45889</v>
      </c>
      <c r="AB22" s="4" t="str">
        <f t="shared" si="15"/>
        <v>AGO</v>
      </c>
      <c r="AC22" s="4">
        <f t="shared" ref="AC22:AC27" si="19">AA22+14</f>
        <v>45903</v>
      </c>
      <c r="AD22" s="2">
        <v>455</v>
      </c>
      <c r="AE22" s="7" t="s">
        <v>122</v>
      </c>
      <c r="AF22" s="7" t="s">
        <v>122</v>
      </c>
      <c r="AG22" s="4" t="s">
        <v>122</v>
      </c>
      <c r="AH22" s="33" t="s">
        <v>731</v>
      </c>
      <c r="AI22" s="4">
        <v>45894</v>
      </c>
      <c r="AJ22" s="2" t="s">
        <v>729</v>
      </c>
      <c r="AK22" s="2" t="s">
        <v>730</v>
      </c>
      <c r="AL22" s="4">
        <v>45901</v>
      </c>
      <c r="AM22" s="4">
        <v>45901</v>
      </c>
      <c r="AN22" s="4">
        <v>45901</v>
      </c>
      <c r="AO22" s="2" t="str">
        <f t="shared" si="16"/>
        <v>PA20250021</v>
      </c>
      <c r="AP22" s="4">
        <f t="shared" si="17"/>
        <v>45894</v>
      </c>
      <c r="AQ22" s="16">
        <v>844.99</v>
      </c>
      <c r="AR22" s="8">
        <f t="shared" si="18"/>
        <v>88850.698499999999</v>
      </c>
      <c r="AS22" s="13">
        <v>5.4386000000000001</v>
      </c>
      <c r="AT22" s="19">
        <f>Tabela2[[#This Row],[VALOR TOTAL  USD]]*Tabela2[[#This Row],[TAXA]]</f>
        <v>483223.40886209998</v>
      </c>
      <c r="AU22" s="71">
        <v>14</v>
      </c>
      <c r="AV22" s="72">
        <f>Tabela2[[#This Row],[DATA]]-Tabela2[[#This Row],[CARREGAMENTO]]</f>
        <v>12</v>
      </c>
      <c r="AW22" s="72">
        <f>Tabela2[[#This Row],[Realizado]]-Tabela2[[#This Row],[Previsto]]</f>
        <v>-2</v>
      </c>
      <c r="AX22" s="72" t="str">
        <f>IF(Tabela2[[#This Row],[Resultado]]&lt;=0,"Atendido","Não atendido")</f>
        <v>Atendido</v>
      </c>
    </row>
    <row r="23" spans="1:50" x14ac:dyDescent="0.2">
      <c r="A23" s="2" t="s">
        <v>37</v>
      </c>
      <c r="B23" s="2" t="s">
        <v>613</v>
      </c>
      <c r="C23" s="2" t="s">
        <v>356</v>
      </c>
      <c r="D23" s="3" t="s">
        <v>589</v>
      </c>
      <c r="E23" s="2" t="s">
        <v>46</v>
      </c>
      <c r="F23" s="2" t="s">
        <v>44</v>
      </c>
      <c r="G23" s="2" t="s">
        <v>259</v>
      </c>
      <c r="H23" s="2" t="s">
        <v>286</v>
      </c>
      <c r="I23" s="2" t="s">
        <v>464</v>
      </c>
      <c r="J23" s="2" t="s">
        <v>616</v>
      </c>
      <c r="K23" s="2">
        <v>25000375166</v>
      </c>
      <c r="L23" s="2">
        <v>9719575</v>
      </c>
      <c r="M23" s="2" t="s">
        <v>617</v>
      </c>
      <c r="N23" s="2" t="s">
        <v>618</v>
      </c>
      <c r="O23" s="2" t="s">
        <v>496</v>
      </c>
      <c r="P23" s="107">
        <v>2000</v>
      </c>
      <c r="Q23" s="107">
        <v>4250.3999999999996</v>
      </c>
      <c r="R23" s="107">
        <f>Tabela2[[#This Row],[Valor anterior]]-Tabela2[[#This Row],[VALOR]]</f>
        <v>2250.3999999999996</v>
      </c>
      <c r="S23" s="14" t="s">
        <v>254</v>
      </c>
      <c r="T23" s="4" t="s">
        <v>254</v>
      </c>
      <c r="U23" s="7" t="s">
        <v>803</v>
      </c>
      <c r="V23" s="4">
        <v>45898</v>
      </c>
      <c r="W23" s="5">
        <v>75</v>
      </c>
      <c r="X23" s="6" t="s">
        <v>43</v>
      </c>
      <c r="Y23" s="15">
        <v>90.055000000000007</v>
      </c>
      <c r="Z23" s="5">
        <f>Tabela2[[#This Row],[VOLUME NO STEM]]-Tabela2[[#This Row],[VOLUME CARREGADO]]</f>
        <v>-15.055000000000007</v>
      </c>
      <c r="AA23" s="4">
        <v>45902</v>
      </c>
      <c r="AB23" s="4" t="str">
        <f t="shared" si="15"/>
        <v>SET</v>
      </c>
      <c r="AC23" s="4">
        <f t="shared" si="19"/>
        <v>45916</v>
      </c>
      <c r="AD23" s="2">
        <v>476</v>
      </c>
      <c r="AE23" s="7" t="s">
        <v>122</v>
      </c>
      <c r="AF23" s="7" t="s">
        <v>122</v>
      </c>
      <c r="AG23" s="4" t="s">
        <v>122</v>
      </c>
      <c r="AH23" s="33" t="s">
        <v>749</v>
      </c>
      <c r="AI23" s="4">
        <v>45916</v>
      </c>
      <c r="AJ23" s="2" t="s">
        <v>757</v>
      </c>
      <c r="AK23" s="2" t="s">
        <v>758</v>
      </c>
      <c r="AL23" s="4">
        <v>45918</v>
      </c>
      <c r="AM23" s="4">
        <v>45922</v>
      </c>
      <c r="AN23" s="4">
        <v>45922</v>
      </c>
      <c r="AO23" s="2" t="str">
        <f t="shared" si="16"/>
        <v>PA20250022</v>
      </c>
      <c r="AP23" s="4">
        <f t="shared" si="17"/>
        <v>45916</v>
      </c>
      <c r="AQ23" s="16">
        <v>875</v>
      </c>
      <c r="AR23" s="8">
        <f t="shared" si="18"/>
        <v>78798.125</v>
      </c>
      <c r="AS23" s="13">
        <v>5.3201999999999998</v>
      </c>
      <c r="AT23" s="19">
        <f>Tabela2[[#This Row],[VALOR TOTAL  USD]]*Tabela2[[#This Row],[TAXA]]</f>
        <v>419221.78462499997</v>
      </c>
      <c r="AU23" s="71">
        <v>14</v>
      </c>
      <c r="AV23" s="72">
        <f>Tabela2[[#This Row],[DATA]]-Tabela2[[#This Row],[CARREGAMENTO]]</f>
        <v>16</v>
      </c>
      <c r="AW23" s="72">
        <f>Tabela2[[#This Row],[Realizado]]-Tabela2[[#This Row],[Previsto]]</f>
        <v>2</v>
      </c>
      <c r="AX23" s="72" t="str">
        <f>IF(Tabela2[[#This Row],[Resultado]]&lt;=0,"Atendido","Não atendido")</f>
        <v>Não atendido</v>
      </c>
    </row>
    <row r="24" spans="1:50" x14ac:dyDescent="0.2">
      <c r="A24" s="92" t="s">
        <v>306</v>
      </c>
      <c r="B24" s="92" t="s">
        <v>613</v>
      </c>
      <c r="C24" s="92" t="s">
        <v>356</v>
      </c>
      <c r="D24" s="93" t="s">
        <v>619</v>
      </c>
      <c r="E24" s="92" t="s">
        <v>46</v>
      </c>
      <c r="F24" s="92" t="s">
        <v>44</v>
      </c>
      <c r="G24" s="92" t="s">
        <v>259</v>
      </c>
      <c r="H24" s="92" t="s">
        <v>286</v>
      </c>
      <c r="I24" s="92" t="s">
        <v>464</v>
      </c>
      <c r="J24" s="92" t="s">
        <v>616</v>
      </c>
      <c r="K24" s="92">
        <v>25000375166</v>
      </c>
      <c r="L24" s="92">
        <v>9719575</v>
      </c>
      <c r="M24" s="92" t="s">
        <v>617</v>
      </c>
      <c r="N24" s="92" t="s">
        <v>618</v>
      </c>
      <c r="O24" s="92" t="s">
        <v>496</v>
      </c>
      <c r="P24" s="111">
        <v>2000</v>
      </c>
      <c r="Q24" s="107">
        <v>4250.3999999999996</v>
      </c>
      <c r="R24" s="111">
        <f>Tabela2[[#This Row],[Valor anterior]]-Tabela2[[#This Row],[VALOR]]</f>
        <v>2250.3999999999996</v>
      </c>
      <c r="S24" s="94" t="s">
        <v>254</v>
      </c>
      <c r="T24" s="95" t="s">
        <v>254</v>
      </c>
      <c r="U24" s="96" t="s">
        <v>620</v>
      </c>
      <c r="V24" s="95">
        <v>45902</v>
      </c>
      <c r="W24" s="97">
        <v>40</v>
      </c>
      <c r="X24" s="98" t="s">
        <v>43</v>
      </c>
      <c r="Y24" s="99"/>
      <c r="Z24" s="97">
        <f>Tabela2[[#This Row],[VOLUME NO STEM]]-Tabela2[[#This Row],[VOLUME CARREGADO]]</f>
        <v>40</v>
      </c>
      <c r="AA24" s="95"/>
      <c r="AB24" s="95" t="str">
        <f t="shared" ref="AB24:AB29" si="20">IF(AA24="","",UPPER(TEXT(AA24,"MMM")))</f>
        <v/>
      </c>
      <c r="AC24" s="95">
        <f t="shared" si="19"/>
        <v>14</v>
      </c>
      <c r="AD24" s="92"/>
      <c r="AE24" s="96" t="s">
        <v>122</v>
      </c>
      <c r="AF24" s="96" t="s">
        <v>122</v>
      </c>
      <c r="AG24" s="95" t="s">
        <v>122</v>
      </c>
      <c r="AH24" s="100"/>
      <c r="AI24" s="95"/>
      <c r="AJ24" s="92"/>
      <c r="AK24" s="92"/>
      <c r="AL24" s="95"/>
      <c r="AM24" s="95"/>
      <c r="AN24" s="95"/>
      <c r="AO24" s="92" t="str">
        <f t="shared" si="16"/>
        <v>PA20250023</v>
      </c>
      <c r="AP24" s="95">
        <f t="shared" si="17"/>
        <v>0</v>
      </c>
      <c r="AQ24" s="101">
        <v>0</v>
      </c>
      <c r="AR24" s="102">
        <f t="shared" si="18"/>
        <v>0</v>
      </c>
      <c r="AS24" s="103">
        <v>0</v>
      </c>
      <c r="AT24" s="104">
        <f>Tabela2[[#This Row],[VALOR TOTAL  USD]]*Tabela2[[#This Row],[TAXA]]</f>
        <v>0</v>
      </c>
      <c r="AU24" s="105">
        <v>14</v>
      </c>
      <c r="AV24" s="92">
        <f>Tabela2[[#This Row],[DATA]]-Tabela2[[#This Row],[CARREGAMENTO]]</f>
        <v>0</v>
      </c>
      <c r="AW24" s="92">
        <f>Tabela2[[#This Row],[Realizado]]-Tabela2[[#This Row],[Previsto]]</f>
        <v>-14</v>
      </c>
      <c r="AX24" s="92" t="str">
        <f>IF(Tabela2[[#This Row],[Resultado]]&lt;=0,"Atendido","Não atendido")</f>
        <v>Atendido</v>
      </c>
    </row>
    <row r="25" spans="1:50" x14ac:dyDescent="0.2">
      <c r="A25" s="2" t="s">
        <v>37</v>
      </c>
      <c r="B25" s="2" t="s">
        <v>613</v>
      </c>
      <c r="C25" s="2" t="s">
        <v>356</v>
      </c>
      <c r="D25" s="3" t="s">
        <v>621</v>
      </c>
      <c r="E25" s="2" t="s">
        <v>38</v>
      </c>
      <c r="F25" s="2" t="s">
        <v>44</v>
      </c>
      <c r="G25" s="2" t="s">
        <v>259</v>
      </c>
      <c r="H25" s="2" t="s">
        <v>286</v>
      </c>
      <c r="I25" s="2" t="s">
        <v>464</v>
      </c>
      <c r="J25" s="2" t="s">
        <v>567</v>
      </c>
      <c r="K25" s="2">
        <v>25000373155</v>
      </c>
      <c r="L25" s="2">
        <v>9748069</v>
      </c>
      <c r="M25" s="2" t="s">
        <v>622</v>
      </c>
      <c r="N25" s="2" t="s">
        <v>623</v>
      </c>
      <c r="O25" s="2" t="s">
        <v>496</v>
      </c>
      <c r="P25" s="107">
        <v>2000</v>
      </c>
      <c r="Q25" s="107">
        <v>4250.3999999999996</v>
      </c>
      <c r="R25" s="107">
        <f>Tabela2[[#This Row],[Valor anterior]]-Tabela2[[#This Row],[VALOR]]</f>
        <v>2250.3999999999996</v>
      </c>
      <c r="S25" s="14" t="s">
        <v>254</v>
      </c>
      <c r="T25" s="4" t="s">
        <v>254</v>
      </c>
      <c r="U25" s="7" t="s">
        <v>626</v>
      </c>
      <c r="V25" s="4">
        <v>45902</v>
      </c>
      <c r="W25" s="5">
        <v>320</v>
      </c>
      <c r="X25" s="6" t="s">
        <v>43</v>
      </c>
      <c r="Y25" s="15">
        <v>250.136</v>
      </c>
      <c r="Z25" s="5">
        <f>Tabela2[[#This Row],[VOLUME NO STEM]]-Tabela2[[#This Row],[VOLUME CARREGADO]]</f>
        <v>69.864000000000004</v>
      </c>
      <c r="AA25" s="4">
        <v>45904</v>
      </c>
      <c r="AB25" s="4" t="str">
        <f t="shared" si="20"/>
        <v>SET</v>
      </c>
      <c r="AC25" s="4">
        <f t="shared" si="19"/>
        <v>45918</v>
      </c>
      <c r="AD25" s="2">
        <v>475</v>
      </c>
      <c r="AE25" s="7" t="s">
        <v>122</v>
      </c>
      <c r="AF25" s="7" t="s">
        <v>122</v>
      </c>
      <c r="AG25" s="4" t="s">
        <v>122</v>
      </c>
      <c r="AH25" s="33" t="s">
        <v>705</v>
      </c>
      <c r="AI25" s="4">
        <v>45910</v>
      </c>
      <c r="AJ25" s="2" t="s">
        <v>716</v>
      </c>
      <c r="AK25" s="2" t="s">
        <v>717</v>
      </c>
      <c r="AL25" s="4">
        <v>45912</v>
      </c>
      <c r="AM25" s="4">
        <v>45916</v>
      </c>
      <c r="AN25" s="4">
        <v>45916</v>
      </c>
      <c r="AO25" s="2" t="str">
        <f t="shared" si="16"/>
        <v>PA20250024</v>
      </c>
      <c r="AP25" s="4">
        <f t="shared" si="17"/>
        <v>45910</v>
      </c>
      <c r="AQ25" s="16">
        <v>561.1</v>
      </c>
      <c r="AR25" s="8">
        <f t="shared" si="18"/>
        <v>140351.30960000001</v>
      </c>
      <c r="AS25" s="13">
        <v>5.4272</v>
      </c>
      <c r="AT25" s="19">
        <f>Tabela2[[#This Row],[VALOR TOTAL  USD]]*Tabela2[[#This Row],[TAXA]]</f>
        <v>761714.62746112002</v>
      </c>
      <c r="AU25" s="71">
        <v>14</v>
      </c>
      <c r="AV25" s="72">
        <f>Tabela2[[#This Row],[DATA]]-Tabela2[[#This Row],[CARREGAMENTO]]</f>
        <v>8</v>
      </c>
      <c r="AW25" s="72">
        <f>Tabela2[[#This Row],[Realizado]]-Tabela2[[#This Row],[Previsto]]</f>
        <v>-6</v>
      </c>
      <c r="AX25" s="72" t="str">
        <f>IF(Tabela2[[#This Row],[Resultado]]&lt;=0,"Atendido","Não atendido")</f>
        <v>Atendido</v>
      </c>
    </row>
    <row r="26" spans="1:50" x14ac:dyDescent="0.2">
      <c r="A26" s="2" t="s">
        <v>37</v>
      </c>
      <c r="B26" s="2" t="s">
        <v>613</v>
      </c>
      <c r="C26" s="2" t="s">
        <v>356</v>
      </c>
      <c r="D26" s="3" t="s">
        <v>624</v>
      </c>
      <c r="E26" s="2" t="s">
        <v>38</v>
      </c>
      <c r="F26" s="2" t="s">
        <v>44</v>
      </c>
      <c r="G26" s="2" t="s">
        <v>259</v>
      </c>
      <c r="H26" s="2" t="s">
        <v>286</v>
      </c>
      <c r="I26" s="2" t="s">
        <v>464</v>
      </c>
      <c r="J26" s="2" t="s">
        <v>331</v>
      </c>
      <c r="K26" s="2">
        <v>25000429258</v>
      </c>
      <c r="L26" s="2">
        <v>1015313</v>
      </c>
      <c r="M26" s="2" t="s">
        <v>627</v>
      </c>
      <c r="N26" s="2" t="s">
        <v>628</v>
      </c>
      <c r="O26" s="2" t="s">
        <v>496</v>
      </c>
      <c r="P26" s="107">
        <v>2000</v>
      </c>
      <c r="Q26" s="107">
        <v>4250.3999999999996</v>
      </c>
      <c r="R26" s="107">
        <f>Tabela2[[#This Row],[Valor anterior]]-Tabela2[[#This Row],[VALOR]]</f>
        <v>2250.3999999999996</v>
      </c>
      <c r="S26" s="14" t="s">
        <v>254</v>
      </c>
      <c r="T26" s="4" t="s">
        <v>254</v>
      </c>
      <c r="U26" s="7" t="s">
        <v>626</v>
      </c>
      <c r="V26" s="4">
        <v>45903</v>
      </c>
      <c r="W26" s="5">
        <v>700</v>
      </c>
      <c r="X26" s="6" t="s">
        <v>43</v>
      </c>
      <c r="Y26" s="15">
        <v>640.17899999999997</v>
      </c>
      <c r="Z26" s="5">
        <f>Tabela2[[#This Row],[VOLUME NO STEM]]-Tabela2[[#This Row],[VOLUME CARREGADO]]</f>
        <v>59.821000000000026</v>
      </c>
      <c r="AA26" s="4">
        <v>45909</v>
      </c>
      <c r="AB26" s="4" t="str">
        <f t="shared" si="20"/>
        <v>SET</v>
      </c>
      <c r="AC26" s="4">
        <f t="shared" si="19"/>
        <v>45923</v>
      </c>
      <c r="AD26" s="2">
        <v>484</v>
      </c>
      <c r="AE26" s="7" t="s">
        <v>122</v>
      </c>
      <c r="AF26" s="7" t="s">
        <v>122</v>
      </c>
      <c r="AG26" s="4" t="s">
        <v>122</v>
      </c>
      <c r="AH26" s="33" t="s">
        <v>818</v>
      </c>
      <c r="AI26" s="4">
        <v>45930</v>
      </c>
      <c r="AJ26" s="2" t="s">
        <v>829</v>
      </c>
      <c r="AK26" s="2" t="s">
        <v>830</v>
      </c>
      <c r="AL26" s="4">
        <v>45932</v>
      </c>
      <c r="AM26" s="4">
        <v>45933</v>
      </c>
      <c r="AN26" s="4">
        <v>45933</v>
      </c>
      <c r="AO26" s="2" t="str">
        <f t="shared" si="16"/>
        <v>PA20250025</v>
      </c>
      <c r="AP26" s="4">
        <f t="shared" si="17"/>
        <v>45930</v>
      </c>
      <c r="AQ26" s="16">
        <v>501.78613999999999</v>
      </c>
      <c r="AR26" s="8">
        <f t="shared" si="18"/>
        <v>321232.94931905996</v>
      </c>
      <c r="AS26" s="13">
        <v>5.3223000000000003</v>
      </c>
      <c r="AT26" s="19">
        <f>Tabela2[[#This Row],[VALOR TOTAL  USD]]*Tabela2[[#This Row],[TAXA]]</f>
        <v>1709698.1261608328</v>
      </c>
      <c r="AU26" s="71">
        <v>14</v>
      </c>
      <c r="AV26" s="72">
        <f>Tabela2[[#This Row],[DATA]]-Tabela2[[#This Row],[CARREGAMENTO]]</f>
        <v>23</v>
      </c>
      <c r="AW26" s="72">
        <f>Tabela2[[#This Row],[Realizado]]-Tabela2[[#This Row],[Previsto]]</f>
        <v>9</v>
      </c>
      <c r="AX26" s="72" t="str">
        <f>IF(Tabela2[[#This Row],[Resultado]]&lt;=0,"Atendido","Não atendido")</f>
        <v>Não atendido</v>
      </c>
    </row>
    <row r="27" spans="1:50" x14ac:dyDescent="0.2">
      <c r="A27" s="2" t="s">
        <v>37</v>
      </c>
      <c r="B27" s="2" t="s">
        <v>613</v>
      </c>
      <c r="C27" s="2" t="s">
        <v>356</v>
      </c>
      <c r="D27" s="3" t="s">
        <v>625</v>
      </c>
      <c r="E27" s="2" t="s">
        <v>46</v>
      </c>
      <c r="F27" s="2" t="s">
        <v>44</v>
      </c>
      <c r="G27" s="2" t="s">
        <v>259</v>
      </c>
      <c r="H27" s="2" t="s">
        <v>286</v>
      </c>
      <c r="I27" s="2" t="s">
        <v>464</v>
      </c>
      <c r="J27" s="2" t="s">
        <v>331</v>
      </c>
      <c r="K27" s="2">
        <v>25000429258</v>
      </c>
      <c r="L27" s="2">
        <v>1015313</v>
      </c>
      <c r="M27" s="2" t="s">
        <v>627</v>
      </c>
      <c r="N27" s="2" t="s">
        <v>628</v>
      </c>
      <c r="O27" s="2" t="s">
        <v>496</v>
      </c>
      <c r="P27" s="107">
        <v>2000</v>
      </c>
      <c r="Q27" s="107">
        <v>4250.3999999999996</v>
      </c>
      <c r="R27" s="107">
        <f>Tabela2[[#This Row],[Valor anterior]]-Tabela2[[#This Row],[VALOR]]</f>
        <v>2250.3999999999996</v>
      </c>
      <c r="S27" s="14" t="s">
        <v>254</v>
      </c>
      <c r="T27" s="4" t="s">
        <v>254</v>
      </c>
      <c r="U27" s="7" t="s">
        <v>629</v>
      </c>
      <c r="V27" s="4">
        <v>45903</v>
      </c>
      <c r="W27" s="5">
        <v>300</v>
      </c>
      <c r="X27" s="6" t="s">
        <v>43</v>
      </c>
      <c r="Y27" s="15">
        <v>230.75200000000001</v>
      </c>
      <c r="Z27" s="5">
        <f>Tabela2[[#This Row],[VOLUME NO STEM]]-Tabela2[[#This Row],[VOLUME CARREGADO]]</f>
        <v>69.24799999999999</v>
      </c>
      <c r="AA27" s="4">
        <v>45907</v>
      </c>
      <c r="AB27" s="4" t="str">
        <f t="shared" si="20"/>
        <v>SET</v>
      </c>
      <c r="AC27" s="4">
        <f t="shared" si="19"/>
        <v>45921</v>
      </c>
      <c r="AD27" s="2">
        <v>483</v>
      </c>
      <c r="AE27" s="7" t="s">
        <v>122</v>
      </c>
      <c r="AF27" s="7" t="s">
        <v>122</v>
      </c>
      <c r="AG27" s="4" t="s">
        <v>122</v>
      </c>
      <c r="AH27" s="33" t="s">
        <v>774</v>
      </c>
      <c r="AI27" s="4">
        <v>45922</v>
      </c>
      <c r="AJ27" s="2" t="s">
        <v>783</v>
      </c>
      <c r="AK27" s="2" t="s">
        <v>784</v>
      </c>
      <c r="AL27" s="4">
        <v>45924</v>
      </c>
      <c r="AM27" s="4">
        <v>45925</v>
      </c>
      <c r="AN27" s="4">
        <v>45925</v>
      </c>
      <c r="AO27" s="2" t="str">
        <f t="shared" si="16"/>
        <v>PA20250026</v>
      </c>
      <c r="AP27" s="4">
        <f t="shared" si="17"/>
        <v>45922</v>
      </c>
      <c r="AQ27" s="16">
        <v>865</v>
      </c>
      <c r="AR27" s="8">
        <f t="shared" si="18"/>
        <v>199600.48</v>
      </c>
      <c r="AS27" s="13">
        <v>5.327</v>
      </c>
      <c r="AT27" s="19">
        <f>Tabela2[[#This Row],[VALOR TOTAL  USD]]*Tabela2[[#This Row],[TAXA]]</f>
        <v>1063271.7569600001</v>
      </c>
      <c r="AU27" s="71">
        <v>14</v>
      </c>
      <c r="AV27" s="72">
        <f>Tabela2[[#This Row],[DATA]]-Tabela2[[#This Row],[CARREGAMENTO]]</f>
        <v>17</v>
      </c>
      <c r="AW27" s="72">
        <f>Tabela2[[#This Row],[Realizado]]-Tabela2[[#This Row],[Previsto]]</f>
        <v>3</v>
      </c>
      <c r="AX27" s="72" t="str">
        <f>IF(Tabela2[[#This Row],[Resultado]]&lt;=0,"Atendido","Não atendido")</f>
        <v>Não atendido</v>
      </c>
    </row>
    <row r="28" spans="1:50" x14ac:dyDescent="0.2">
      <c r="A28" s="2" t="s">
        <v>37</v>
      </c>
      <c r="B28" s="2" t="s">
        <v>284</v>
      </c>
      <c r="C28" s="2" t="s">
        <v>356</v>
      </c>
      <c r="D28" s="3" t="s">
        <v>707</v>
      </c>
      <c r="E28" s="2" t="s">
        <v>38</v>
      </c>
      <c r="F28" s="2" t="s">
        <v>44</v>
      </c>
      <c r="G28" s="2" t="s">
        <v>259</v>
      </c>
      <c r="H28" s="2" t="s">
        <v>286</v>
      </c>
      <c r="I28" s="2" t="s">
        <v>464</v>
      </c>
      <c r="J28" s="2" t="s">
        <v>710</v>
      </c>
      <c r="K28" s="2">
        <v>25000443080</v>
      </c>
      <c r="L28" s="2">
        <v>9609691</v>
      </c>
      <c r="M28" s="2" t="s">
        <v>708</v>
      </c>
      <c r="N28" s="2" t="s">
        <v>709</v>
      </c>
      <c r="O28" s="2" t="s">
        <v>496</v>
      </c>
      <c r="P28" s="107">
        <v>2000</v>
      </c>
      <c r="Q28" s="107">
        <v>4250.3999999999996</v>
      </c>
      <c r="R28" s="107">
        <f>Tabela2[[#This Row],[Valor anterior]]-Tabela2[[#This Row],[VALOR]]</f>
        <v>2250.3999999999996</v>
      </c>
      <c r="S28" s="14" t="s">
        <v>254</v>
      </c>
      <c r="T28" s="4" t="s">
        <v>254</v>
      </c>
      <c r="U28" s="7" t="s">
        <v>713</v>
      </c>
      <c r="V28" s="4">
        <v>45910</v>
      </c>
      <c r="W28" s="5">
        <v>220</v>
      </c>
      <c r="X28" s="6" t="s">
        <v>43</v>
      </c>
      <c r="Y28" s="15">
        <v>110.19199999999999</v>
      </c>
      <c r="Z28" s="5">
        <f>Tabela2[[#This Row],[VOLUME NO STEM]]-Tabela2[[#This Row],[VOLUME CARREGADO]]</f>
        <v>109.80800000000001</v>
      </c>
      <c r="AA28" s="4">
        <v>45913</v>
      </c>
      <c r="AB28" s="4" t="str">
        <f t="shared" si="20"/>
        <v>SET</v>
      </c>
      <c r="AC28" s="4">
        <f t="shared" ref="AC28:AC35" si="21">AA28+14</f>
        <v>45927</v>
      </c>
      <c r="AD28" s="2">
        <v>492</v>
      </c>
      <c r="AE28" s="7" t="s">
        <v>122</v>
      </c>
      <c r="AF28" s="7" t="s">
        <v>122</v>
      </c>
      <c r="AG28" s="4" t="s">
        <v>122</v>
      </c>
      <c r="AH28" s="33" t="s">
        <v>750</v>
      </c>
      <c r="AI28" s="4">
        <v>45916</v>
      </c>
      <c r="AJ28" s="2" t="s">
        <v>755</v>
      </c>
      <c r="AK28" s="2" t="s">
        <v>756</v>
      </c>
      <c r="AL28" s="4">
        <v>45917</v>
      </c>
      <c r="AM28" s="4">
        <v>45918</v>
      </c>
      <c r="AN28" s="4">
        <v>45918</v>
      </c>
      <c r="AO28" s="2" t="str">
        <f t="shared" ref="AO28:AO35" si="22">D28</f>
        <v>PA20250027</v>
      </c>
      <c r="AP28" s="4">
        <f t="shared" ref="AP28:AP35" si="23">AI28</f>
        <v>45916</v>
      </c>
      <c r="AQ28" s="16">
        <v>544.62</v>
      </c>
      <c r="AR28" s="8">
        <f t="shared" ref="AR28:AR35" si="24">Y28*AQ28</f>
        <v>60012.767039999999</v>
      </c>
      <c r="AS28" s="13">
        <v>5.3201999999999998</v>
      </c>
      <c r="AT28" s="19">
        <f>Tabela2[[#This Row],[VALOR TOTAL  USD]]*Tabela2[[#This Row],[TAXA]]</f>
        <v>319279.92320620798</v>
      </c>
      <c r="AU28" s="71">
        <v>14</v>
      </c>
      <c r="AV28" s="72">
        <f>Tabela2[[#This Row],[DATA]]-Tabela2[[#This Row],[CARREGAMENTO]]</f>
        <v>4</v>
      </c>
      <c r="AW28" s="72">
        <f>Tabela2[[#This Row],[Realizado]]-Tabela2[[#This Row],[Previsto]]</f>
        <v>-10</v>
      </c>
      <c r="AX28" s="72" t="str">
        <f>IF(Tabela2[[#This Row],[Resultado]]&lt;=0,"Atendido","Não atendido")</f>
        <v>Atendido</v>
      </c>
    </row>
    <row r="29" spans="1:50" x14ac:dyDescent="0.2">
      <c r="A29" s="2" t="s">
        <v>37</v>
      </c>
      <c r="B29" s="2" t="s">
        <v>613</v>
      </c>
      <c r="C29" s="2" t="s">
        <v>356</v>
      </c>
      <c r="D29" s="3" t="s">
        <v>753</v>
      </c>
      <c r="E29" s="2" t="s">
        <v>38</v>
      </c>
      <c r="F29" s="2" t="s">
        <v>44</v>
      </c>
      <c r="G29" s="2" t="s">
        <v>259</v>
      </c>
      <c r="H29" s="2" t="s">
        <v>286</v>
      </c>
      <c r="I29" s="2" t="s">
        <v>464</v>
      </c>
      <c r="J29" s="2" t="s">
        <v>482</v>
      </c>
      <c r="K29" s="2">
        <v>25000457987</v>
      </c>
      <c r="L29" s="2">
        <v>9972452</v>
      </c>
      <c r="M29" s="2" t="s">
        <v>754</v>
      </c>
      <c r="N29" s="2" t="s">
        <v>484</v>
      </c>
      <c r="O29" s="2" t="s">
        <v>496</v>
      </c>
      <c r="P29" s="107">
        <v>2000</v>
      </c>
      <c r="Q29" s="107">
        <v>4250.3999999999996</v>
      </c>
      <c r="R29" s="107">
        <f>Tabela2[[#This Row],[Valor anterior]]-Tabela2[[#This Row],[VALOR]]</f>
        <v>2250.3999999999996</v>
      </c>
      <c r="S29" s="14" t="s">
        <v>254</v>
      </c>
      <c r="T29" s="4" t="s">
        <v>254</v>
      </c>
      <c r="U29" s="7" t="s">
        <v>804</v>
      </c>
      <c r="V29" s="4">
        <v>45923</v>
      </c>
      <c r="W29" s="5">
        <v>340</v>
      </c>
      <c r="X29" s="6" t="s">
        <v>43</v>
      </c>
      <c r="Y29" s="15">
        <v>130.09</v>
      </c>
      <c r="Z29" s="5">
        <f>Tabela2[[#This Row],[VOLUME NO STEM]]-Tabela2[[#This Row],[VOLUME CARREGADO]]</f>
        <v>209.91</v>
      </c>
      <c r="AA29" s="4">
        <v>45925</v>
      </c>
      <c r="AB29" s="4" t="str">
        <f t="shared" si="20"/>
        <v>SET</v>
      </c>
      <c r="AC29" s="4">
        <f t="shared" si="21"/>
        <v>45939</v>
      </c>
      <c r="AD29" s="2">
        <v>509</v>
      </c>
      <c r="AE29" s="7" t="s">
        <v>122</v>
      </c>
      <c r="AF29" s="7" t="s">
        <v>122</v>
      </c>
      <c r="AG29" s="4" t="s">
        <v>122</v>
      </c>
      <c r="AH29" s="33" t="s">
        <v>839</v>
      </c>
      <c r="AI29" s="4">
        <v>45936</v>
      </c>
      <c r="AJ29" s="2" t="s">
        <v>849</v>
      </c>
      <c r="AK29" s="2" t="s">
        <v>850</v>
      </c>
      <c r="AL29" s="4">
        <v>45938</v>
      </c>
      <c r="AM29" s="4">
        <v>45938</v>
      </c>
      <c r="AN29" s="4">
        <v>45938</v>
      </c>
      <c r="AO29" s="2" t="str">
        <f t="shared" si="22"/>
        <v>PA20250028</v>
      </c>
      <c r="AP29" s="4">
        <f t="shared" si="23"/>
        <v>45936</v>
      </c>
      <c r="AQ29" s="16">
        <v>549</v>
      </c>
      <c r="AR29" s="8">
        <f t="shared" si="24"/>
        <v>71419.41</v>
      </c>
      <c r="AS29" s="13">
        <v>5.3491999999999997</v>
      </c>
      <c r="AT29" s="19">
        <f>Tabela2[[#This Row],[VALOR TOTAL  USD]]*Tabela2[[#This Row],[TAXA]]</f>
        <v>382036.707972</v>
      </c>
      <c r="AU29" s="71">
        <v>14</v>
      </c>
      <c r="AV29" s="72">
        <f>Tabela2[[#This Row],[DATA]]-Tabela2[[#This Row],[CARREGAMENTO]]</f>
        <v>13</v>
      </c>
      <c r="AW29" s="72">
        <f>Tabela2[[#This Row],[Realizado]]-Tabela2[[#This Row],[Previsto]]</f>
        <v>-1</v>
      </c>
      <c r="AX29" s="72" t="str">
        <f>IF(Tabela2[[#This Row],[Resultado]]&lt;=0,"Atendido","Não atendido")</f>
        <v>Atendido</v>
      </c>
    </row>
    <row r="30" spans="1:50" x14ac:dyDescent="0.2">
      <c r="A30" s="2" t="s">
        <v>924</v>
      </c>
      <c r="B30" s="2" t="s">
        <v>613</v>
      </c>
      <c r="C30" s="2" t="s">
        <v>356</v>
      </c>
      <c r="D30" s="3" t="s">
        <v>769</v>
      </c>
      <c r="E30" s="2" t="s">
        <v>38</v>
      </c>
      <c r="F30" s="2" t="s">
        <v>44</v>
      </c>
      <c r="G30" s="2" t="s">
        <v>259</v>
      </c>
      <c r="H30" s="2" t="s">
        <v>286</v>
      </c>
      <c r="I30" s="2" t="s">
        <v>464</v>
      </c>
      <c r="J30" s="2" t="s">
        <v>465</v>
      </c>
      <c r="K30" s="2">
        <v>25000452527</v>
      </c>
      <c r="L30" s="2">
        <v>9416721</v>
      </c>
      <c r="M30" s="2" t="s">
        <v>771</v>
      </c>
      <c r="N30" s="2" t="s">
        <v>772</v>
      </c>
      <c r="O30" s="2" t="s">
        <v>496</v>
      </c>
      <c r="P30" s="107">
        <v>2000</v>
      </c>
      <c r="Q30" s="107">
        <v>4250.3999999999996</v>
      </c>
      <c r="R30" s="107">
        <f>Tabela2[[#This Row],[Valor anterior]]-Tabela2[[#This Row],[VALOR]]</f>
        <v>2250.3999999999996</v>
      </c>
      <c r="S30" s="14" t="s">
        <v>254</v>
      </c>
      <c r="T30" s="4" t="s">
        <v>254</v>
      </c>
      <c r="U30" s="7" t="s">
        <v>713</v>
      </c>
      <c r="V30" s="4">
        <v>45922</v>
      </c>
      <c r="W30" s="5">
        <v>800</v>
      </c>
      <c r="X30" s="6" t="s">
        <v>43</v>
      </c>
      <c r="Y30" s="15">
        <v>400.64600000000002</v>
      </c>
      <c r="Z30" s="5">
        <f>Tabela2[[#This Row],[VOLUME NO STEM]]-Tabela2[[#This Row],[VOLUME CARREGADO]]</f>
        <v>399.35399999999998</v>
      </c>
      <c r="AA30" s="4">
        <v>45924</v>
      </c>
      <c r="AB30" s="4" t="str">
        <f t="shared" ref="AB30:AB35" si="25">IF(AA30="","",UPPER(TEXT(AA30,"MMM")))</f>
        <v>SET</v>
      </c>
      <c r="AC30" s="4">
        <f t="shared" si="21"/>
        <v>45938</v>
      </c>
      <c r="AD30" s="2">
        <v>508</v>
      </c>
      <c r="AE30" s="7" t="s">
        <v>122</v>
      </c>
      <c r="AF30" s="7" t="s">
        <v>122</v>
      </c>
      <c r="AG30" s="4" t="s">
        <v>122</v>
      </c>
      <c r="AH30" s="33" t="s">
        <v>902</v>
      </c>
      <c r="AI30" s="4">
        <v>45947</v>
      </c>
      <c r="AJ30" s="2" t="s">
        <v>925</v>
      </c>
      <c r="AK30" s="2" t="s">
        <v>926</v>
      </c>
      <c r="AL30" s="4">
        <v>45953</v>
      </c>
      <c r="AM30" s="4"/>
      <c r="AN30" s="4"/>
      <c r="AO30" s="2" t="str">
        <f t="shared" si="22"/>
        <v>PA20250029</v>
      </c>
      <c r="AP30" s="4">
        <f t="shared" si="23"/>
        <v>45947</v>
      </c>
      <c r="AQ30" s="16">
        <v>547.75</v>
      </c>
      <c r="AR30" s="8">
        <f t="shared" si="24"/>
        <v>219453.84650000001</v>
      </c>
      <c r="AS30" s="13">
        <v>5.4348000000000001</v>
      </c>
      <c r="AT30" s="19">
        <f>Tabela2[[#This Row],[VALOR TOTAL  USD]]*Tabela2[[#This Row],[TAXA]]</f>
        <v>1192687.7649582</v>
      </c>
      <c r="AU30" s="71">
        <v>14</v>
      </c>
      <c r="AV30" s="72">
        <f>Tabela2[[#This Row],[DATA]]-Tabela2[[#This Row],[CARREGAMENTO]]</f>
        <v>29</v>
      </c>
      <c r="AW30" s="72">
        <f>Tabela2[[#This Row],[Realizado]]-Tabela2[[#This Row],[Previsto]]</f>
        <v>15</v>
      </c>
      <c r="AX30" s="72" t="str">
        <f>IF(Tabela2[[#This Row],[Resultado]]&lt;=0,"Atendido","Não atendido")</f>
        <v>Não atendido</v>
      </c>
    </row>
    <row r="31" spans="1:50" x14ac:dyDescent="0.2">
      <c r="A31" s="2" t="s">
        <v>37</v>
      </c>
      <c r="B31" s="2" t="s">
        <v>613</v>
      </c>
      <c r="C31" s="2" t="s">
        <v>356</v>
      </c>
      <c r="D31" s="3" t="s">
        <v>770</v>
      </c>
      <c r="E31" s="2" t="s">
        <v>46</v>
      </c>
      <c r="F31" s="2" t="s">
        <v>44</v>
      </c>
      <c r="G31" s="2" t="s">
        <v>259</v>
      </c>
      <c r="H31" s="2" t="s">
        <v>286</v>
      </c>
      <c r="I31" s="2" t="s">
        <v>464</v>
      </c>
      <c r="J31" s="2" t="s">
        <v>465</v>
      </c>
      <c r="K31" s="2">
        <v>25000452527</v>
      </c>
      <c r="L31" s="2">
        <v>9416721</v>
      </c>
      <c r="M31" s="2" t="s">
        <v>771</v>
      </c>
      <c r="N31" s="2" t="s">
        <v>772</v>
      </c>
      <c r="O31" s="2" t="s">
        <v>496</v>
      </c>
      <c r="P31" s="107">
        <v>2000</v>
      </c>
      <c r="Q31" s="107">
        <v>4250.3999999999996</v>
      </c>
      <c r="R31" s="107">
        <f>Tabela2[[#This Row],[Valor anterior]]-Tabela2[[#This Row],[VALOR]]</f>
        <v>2250.3999999999996</v>
      </c>
      <c r="S31" s="14" t="s">
        <v>254</v>
      </c>
      <c r="T31" s="4" t="s">
        <v>254</v>
      </c>
      <c r="U31" s="7" t="s">
        <v>773</v>
      </c>
      <c r="V31" s="4">
        <v>45922</v>
      </c>
      <c r="W31" s="5">
        <v>160</v>
      </c>
      <c r="X31" s="6" t="s">
        <v>43</v>
      </c>
      <c r="Y31" s="15">
        <v>80.180000000000007</v>
      </c>
      <c r="Z31" s="5">
        <f>Tabela2[[#This Row],[VOLUME NO STEM]]-Tabela2[[#This Row],[VOLUME CARREGADO]]</f>
        <v>79.819999999999993</v>
      </c>
      <c r="AA31" s="4">
        <v>45924</v>
      </c>
      <c r="AB31" s="4" t="str">
        <f t="shared" si="25"/>
        <v>SET</v>
      </c>
      <c r="AC31" s="4">
        <f t="shared" si="21"/>
        <v>45938</v>
      </c>
      <c r="AD31" s="2">
        <v>507</v>
      </c>
      <c r="AE31" s="7" t="s">
        <v>122</v>
      </c>
      <c r="AF31" s="7" t="s">
        <v>122</v>
      </c>
      <c r="AG31" s="4" t="s">
        <v>122</v>
      </c>
      <c r="AH31" s="33" t="s">
        <v>903</v>
      </c>
      <c r="AI31" s="4">
        <v>45947</v>
      </c>
      <c r="AJ31" s="2" t="s">
        <v>922</v>
      </c>
      <c r="AK31" s="2" t="s">
        <v>923</v>
      </c>
      <c r="AL31" s="4">
        <v>45954</v>
      </c>
      <c r="AM31" s="4">
        <v>45957</v>
      </c>
      <c r="AN31" s="4">
        <v>45957</v>
      </c>
      <c r="AO31" s="2" t="str">
        <f t="shared" si="22"/>
        <v>PA20250030</v>
      </c>
      <c r="AP31" s="4">
        <f t="shared" si="23"/>
        <v>45947</v>
      </c>
      <c r="AQ31" s="16">
        <v>911.43</v>
      </c>
      <c r="AR31" s="8">
        <f t="shared" si="24"/>
        <v>73078.457399999999</v>
      </c>
      <c r="AS31" s="13">
        <v>5.4348000000000001</v>
      </c>
      <c r="AT31" s="19">
        <f>Tabela2[[#This Row],[VALOR TOTAL  USD]]*Tabela2[[#This Row],[TAXA]]</f>
        <v>397166.80027752003</v>
      </c>
      <c r="AU31" s="71">
        <v>14</v>
      </c>
      <c r="AV31" s="72">
        <f>Tabela2[[#This Row],[DATA]]-Tabela2[[#This Row],[CARREGAMENTO]]</f>
        <v>30</v>
      </c>
      <c r="AW31" s="72">
        <f>Tabela2[[#This Row],[Realizado]]-Tabela2[[#This Row],[Previsto]]</f>
        <v>16</v>
      </c>
      <c r="AX31" s="72" t="str">
        <f>IF(Tabela2[[#This Row],[Resultado]]&lt;=0,"Atendido","Não atendido")</f>
        <v>Não atendido</v>
      </c>
    </row>
    <row r="32" spans="1:50" x14ac:dyDescent="0.2">
      <c r="A32" s="2" t="s">
        <v>37</v>
      </c>
      <c r="B32" s="2" t="s">
        <v>613</v>
      </c>
      <c r="C32" s="2" t="s">
        <v>356</v>
      </c>
      <c r="D32" s="3" t="s">
        <v>825</v>
      </c>
      <c r="E32" s="2" t="s">
        <v>38</v>
      </c>
      <c r="F32" s="2" t="s">
        <v>44</v>
      </c>
      <c r="G32" s="2" t="s">
        <v>259</v>
      </c>
      <c r="H32" s="2" t="s">
        <v>286</v>
      </c>
      <c r="I32" s="2" t="s">
        <v>464</v>
      </c>
      <c r="J32" s="2" t="s">
        <v>826</v>
      </c>
      <c r="K32" s="2">
        <v>25000457677</v>
      </c>
      <c r="L32" s="2">
        <v>9261750</v>
      </c>
      <c r="M32" s="2" t="s">
        <v>827</v>
      </c>
      <c r="N32" s="2" t="s">
        <v>828</v>
      </c>
      <c r="O32" s="2" t="s">
        <v>496</v>
      </c>
      <c r="P32" s="107">
        <v>2000</v>
      </c>
      <c r="Q32" s="107">
        <v>4250.3999999999996</v>
      </c>
      <c r="R32" s="107">
        <f>Tabela2[[#This Row],[Valor anterior]]-Tabela2[[#This Row],[VALOR]]</f>
        <v>2250.3999999999996</v>
      </c>
      <c r="S32" s="14" t="s">
        <v>254</v>
      </c>
      <c r="T32" s="4" t="s">
        <v>254</v>
      </c>
      <c r="U32" s="7" t="s">
        <v>832</v>
      </c>
      <c r="V32" s="4">
        <v>45933</v>
      </c>
      <c r="W32" s="5">
        <v>740</v>
      </c>
      <c r="X32" s="6" t="s">
        <v>43</v>
      </c>
      <c r="Y32" s="15">
        <v>370.34199999999998</v>
      </c>
      <c r="Z32" s="5">
        <f>Tabela2[[#This Row],[VOLUME NO STEM]]-Tabela2[[#This Row],[VOLUME CARREGADO]]</f>
        <v>369.65800000000002</v>
      </c>
      <c r="AA32" s="4">
        <v>45934</v>
      </c>
      <c r="AB32" s="4" t="str">
        <f t="shared" si="25"/>
        <v>OUT</v>
      </c>
      <c r="AC32" s="4">
        <f t="shared" si="21"/>
        <v>45948</v>
      </c>
      <c r="AD32" s="2">
        <v>522</v>
      </c>
      <c r="AE32" s="7" t="s">
        <v>122</v>
      </c>
      <c r="AF32" s="7" t="s">
        <v>122</v>
      </c>
      <c r="AG32" s="4" t="s">
        <v>122</v>
      </c>
      <c r="AH32" s="33" t="s">
        <v>853</v>
      </c>
      <c r="AI32" s="4">
        <v>45936</v>
      </c>
      <c r="AJ32" s="2" t="s">
        <v>854</v>
      </c>
      <c r="AK32" s="2" t="s">
        <v>855</v>
      </c>
      <c r="AL32" s="4">
        <v>45938</v>
      </c>
      <c r="AM32" s="4">
        <v>45939</v>
      </c>
      <c r="AN32" s="4">
        <v>45939</v>
      </c>
      <c r="AO32" s="2" t="str">
        <f t="shared" si="22"/>
        <v>PA20250031</v>
      </c>
      <c r="AP32" s="4">
        <f t="shared" si="23"/>
        <v>45936</v>
      </c>
      <c r="AQ32" s="16">
        <v>530.12</v>
      </c>
      <c r="AR32" s="8">
        <f t="shared" si="24"/>
        <v>196325.70103999999</v>
      </c>
      <c r="AS32" s="13">
        <v>5.3491999999999997</v>
      </c>
      <c r="AT32" s="19">
        <f>Tabela2[[#This Row],[VALOR TOTAL  USD]]*Tabela2[[#This Row],[TAXA]]</f>
        <v>1050185.4400031678</v>
      </c>
      <c r="AU32" s="71">
        <v>14</v>
      </c>
      <c r="AV32" s="72">
        <f>Tabela2[[#This Row],[DATA]]-Tabela2[[#This Row],[CARREGAMENTO]]</f>
        <v>4</v>
      </c>
      <c r="AW32" s="72">
        <f>Tabela2[[#This Row],[Realizado]]-Tabela2[[#This Row],[Previsto]]</f>
        <v>-10</v>
      </c>
      <c r="AX32" s="72" t="str">
        <f>IF(Tabela2[[#This Row],[Resultado]]&lt;=0,"Atendido","Não atendido")</f>
        <v>Atendido</v>
      </c>
    </row>
    <row r="33" spans="1:50" x14ac:dyDescent="0.2">
      <c r="A33" s="2" t="s">
        <v>37</v>
      </c>
      <c r="B33" s="2" t="s">
        <v>613</v>
      </c>
      <c r="C33" s="2" t="s">
        <v>356</v>
      </c>
      <c r="D33" s="3" t="s">
        <v>856</v>
      </c>
      <c r="E33" s="2" t="s">
        <v>38</v>
      </c>
      <c r="F33" s="2" t="s">
        <v>39</v>
      </c>
      <c r="G33" s="2" t="s">
        <v>859</v>
      </c>
      <c r="H33" s="2" t="s">
        <v>286</v>
      </c>
      <c r="I33" s="2" t="s">
        <v>464</v>
      </c>
      <c r="J33" s="2" t="s">
        <v>89</v>
      </c>
      <c r="K33" s="2">
        <v>25000496117</v>
      </c>
      <c r="L33" s="2">
        <v>9473339</v>
      </c>
      <c r="M33" s="2" t="s">
        <v>858</v>
      </c>
      <c r="N33" s="2" t="s">
        <v>709</v>
      </c>
      <c r="O33" s="2" t="s">
        <v>496</v>
      </c>
      <c r="P33" s="107">
        <v>2000</v>
      </c>
      <c r="Q33" s="107">
        <v>4250.3999999999996</v>
      </c>
      <c r="R33" s="107">
        <f>Tabela2[[#This Row],[Valor anterior]]-Tabela2[[#This Row],[VALOR]]</f>
        <v>2250.3999999999996</v>
      </c>
      <c r="S33" s="14" t="s">
        <v>254</v>
      </c>
      <c r="T33" s="4" t="s">
        <v>254</v>
      </c>
      <c r="U33" s="7" t="s">
        <v>873</v>
      </c>
      <c r="V33" s="4">
        <v>45939</v>
      </c>
      <c r="W33" s="5">
        <v>1200</v>
      </c>
      <c r="X33" s="6" t="s">
        <v>43</v>
      </c>
      <c r="Y33" s="15">
        <v>600.71</v>
      </c>
      <c r="Z33" s="5">
        <f>Tabela2[[#This Row],[VOLUME NO STEM]]-Tabela2[[#This Row],[VOLUME CARREGADO]]</f>
        <v>599.29</v>
      </c>
      <c r="AA33" s="4">
        <v>45945</v>
      </c>
      <c r="AB33" s="4" t="str">
        <f t="shared" si="25"/>
        <v>OUT</v>
      </c>
      <c r="AC33" s="4">
        <f t="shared" si="21"/>
        <v>45959</v>
      </c>
      <c r="AD33" s="2">
        <v>533</v>
      </c>
      <c r="AE33" s="7" t="s">
        <v>122</v>
      </c>
      <c r="AF33" s="7" t="s">
        <v>122</v>
      </c>
      <c r="AG33" s="4" t="s">
        <v>122</v>
      </c>
      <c r="AH33" s="33" t="s">
        <v>122</v>
      </c>
      <c r="AI33" s="4" t="s">
        <v>122</v>
      </c>
      <c r="AJ33" s="2" t="s">
        <v>122</v>
      </c>
      <c r="AK33" s="2" t="s">
        <v>122</v>
      </c>
      <c r="AL33" s="4" t="s">
        <v>122</v>
      </c>
      <c r="AM33" s="4" t="s">
        <v>122</v>
      </c>
      <c r="AN33" s="4" t="s">
        <v>122</v>
      </c>
      <c r="AO33" s="2" t="str">
        <f t="shared" si="22"/>
        <v>PA20250032</v>
      </c>
      <c r="AP33" s="4" t="str">
        <f t="shared" si="23"/>
        <v>NA</v>
      </c>
      <c r="AQ33" s="16">
        <v>541</v>
      </c>
      <c r="AR33" s="8">
        <f t="shared" si="24"/>
        <v>324984.11000000004</v>
      </c>
      <c r="AS33" s="13">
        <v>0</v>
      </c>
      <c r="AT33" s="19">
        <f>Tabela2[[#This Row],[VALOR TOTAL  USD]]*Tabela2[[#This Row],[TAXA]]</f>
        <v>0</v>
      </c>
      <c r="AU33" s="71">
        <v>14</v>
      </c>
      <c r="AV33" s="72" t="e">
        <f>Tabela2[[#This Row],[DATA]]-Tabela2[[#This Row],[CARREGAMENTO]]</f>
        <v>#VALUE!</v>
      </c>
      <c r="AW33" s="72" t="e">
        <f>Tabela2[[#This Row],[Realizado]]-Tabela2[[#This Row],[Previsto]]</f>
        <v>#VALUE!</v>
      </c>
      <c r="AX33" s="72" t="e">
        <f>IF(Tabela2[[#This Row],[Resultado]]&lt;=0,"Atendido","Não atendido")</f>
        <v>#VALUE!</v>
      </c>
    </row>
    <row r="34" spans="1:50" x14ac:dyDescent="0.2">
      <c r="A34" s="2" t="s">
        <v>212</v>
      </c>
      <c r="B34" s="2" t="s">
        <v>613</v>
      </c>
      <c r="C34" s="2" t="s">
        <v>356</v>
      </c>
      <c r="D34" s="3" t="s">
        <v>857</v>
      </c>
      <c r="E34" s="2" t="s">
        <v>38</v>
      </c>
      <c r="F34" s="2" t="s">
        <v>44</v>
      </c>
      <c r="G34" s="2" t="s">
        <v>259</v>
      </c>
      <c r="H34" s="2" t="s">
        <v>286</v>
      </c>
      <c r="I34" s="2" t="s">
        <v>464</v>
      </c>
      <c r="J34" s="2" t="s">
        <v>710</v>
      </c>
      <c r="K34" s="2">
        <v>25000496451</v>
      </c>
      <c r="L34" s="2">
        <v>9773313</v>
      </c>
      <c r="M34" s="2" t="s">
        <v>860</v>
      </c>
      <c r="N34" s="2" t="s">
        <v>709</v>
      </c>
      <c r="O34" s="2" t="s">
        <v>496</v>
      </c>
      <c r="P34" s="107">
        <v>2000</v>
      </c>
      <c r="Q34" s="107">
        <v>4250.3999999999996</v>
      </c>
      <c r="R34" s="107">
        <f>Tabela2[[#This Row],[Valor anterior]]-Tabela2[[#This Row],[VALOR]]</f>
        <v>2250.3999999999996</v>
      </c>
      <c r="S34" s="14" t="s">
        <v>254</v>
      </c>
      <c r="T34" s="4" t="s">
        <v>254</v>
      </c>
      <c r="U34" s="7" t="s">
        <v>889</v>
      </c>
      <c r="V34" s="4">
        <v>45940</v>
      </c>
      <c r="W34" s="5">
        <v>600</v>
      </c>
      <c r="X34" s="6" t="s">
        <v>43</v>
      </c>
      <c r="Y34" s="15">
        <v>250.09800000000001</v>
      </c>
      <c r="Z34" s="5">
        <f>Tabela2[[#This Row],[VOLUME NO STEM]]-Tabela2[[#This Row],[VOLUME CARREGADO]]</f>
        <v>349.90199999999999</v>
      </c>
      <c r="AA34" s="4">
        <v>45954</v>
      </c>
      <c r="AB34" s="4" t="str">
        <f t="shared" si="25"/>
        <v>OUT</v>
      </c>
      <c r="AC34" s="4">
        <f t="shared" si="21"/>
        <v>45968</v>
      </c>
      <c r="AD34" s="2">
        <v>550</v>
      </c>
      <c r="AE34" s="7" t="s">
        <v>122</v>
      </c>
      <c r="AF34" s="7" t="s">
        <v>122</v>
      </c>
      <c r="AG34" s="4" t="s">
        <v>122</v>
      </c>
      <c r="AH34" s="33"/>
      <c r="AI34" s="4"/>
      <c r="AJ34" s="2"/>
      <c r="AK34" s="2"/>
      <c r="AL34" s="4"/>
      <c r="AM34" s="4"/>
      <c r="AN34" s="4"/>
      <c r="AO34" s="2" t="str">
        <f t="shared" si="22"/>
        <v>PA20250033</v>
      </c>
      <c r="AP34" s="4">
        <f t="shared" si="23"/>
        <v>0</v>
      </c>
      <c r="AQ34" s="16">
        <v>520</v>
      </c>
      <c r="AR34" s="8">
        <f t="shared" si="24"/>
        <v>130050.96</v>
      </c>
      <c r="AS34" s="13">
        <v>0</v>
      </c>
      <c r="AT34" s="19">
        <f>Tabela2[[#This Row],[VALOR TOTAL  USD]]*Tabela2[[#This Row],[TAXA]]</f>
        <v>0</v>
      </c>
      <c r="AU34" s="71">
        <v>14</v>
      </c>
      <c r="AV34" s="72">
        <f>Tabela2[[#This Row],[DATA]]-Tabela2[[#This Row],[CARREGAMENTO]]</f>
        <v>-45954</v>
      </c>
      <c r="AW34" s="72">
        <f>Tabela2[[#This Row],[Realizado]]-Tabela2[[#This Row],[Previsto]]</f>
        <v>-45968</v>
      </c>
      <c r="AX34" s="72" t="str">
        <f>IF(Tabela2[[#This Row],[Resultado]]&lt;=0,"Atendido","Não atendido")</f>
        <v>Atendido</v>
      </c>
    </row>
    <row r="35" spans="1:50" x14ac:dyDescent="0.2">
      <c r="A35" s="2" t="s">
        <v>37</v>
      </c>
      <c r="B35" s="2" t="s">
        <v>613</v>
      </c>
      <c r="C35" s="2" t="s">
        <v>356</v>
      </c>
      <c r="D35" s="3" t="s">
        <v>863</v>
      </c>
      <c r="E35" s="2" t="s">
        <v>38</v>
      </c>
      <c r="F35" s="2" t="s">
        <v>39</v>
      </c>
      <c r="G35" s="2" t="s">
        <v>859</v>
      </c>
      <c r="H35" s="2" t="s">
        <v>286</v>
      </c>
      <c r="I35" s="2" t="s">
        <v>464</v>
      </c>
      <c r="J35" s="2" t="s">
        <v>865</v>
      </c>
      <c r="K35" s="2">
        <v>25000497830</v>
      </c>
      <c r="L35" s="2">
        <v>9991123</v>
      </c>
      <c r="M35" s="2" t="s">
        <v>864</v>
      </c>
      <c r="N35" s="2" t="s">
        <v>709</v>
      </c>
      <c r="O35" s="2" t="s">
        <v>496</v>
      </c>
      <c r="P35" s="107">
        <v>2000</v>
      </c>
      <c r="Q35" s="107">
        <v>4250.3999999999996</v>
      </c>
      <c r="R35" s="107">
        <f>Tabela2[[#This Row],[Valor anterior]]-Tabela2[[#This Row],[VALOR]]</f>
        <v>2250.3999999999996</v>
      </c>
      <c r="S35" s="14" t="s">
        <v>254</v>
      </c>
      <c r="T35" s="4" t="s">
        <v>254</v>
      </c>
      <c r="U35" s="7" t="s">
        <v>79</v>
      </c>
      <c r="V35" s="4">
        <v>45939</v>
      </c>
      <c r="W35" s="5">
        <v>800</v>
      </c>
      <c r="X35" s="6" t="s">
        <v>43</v>
      </c>
      <c r="Y35" s="15">
        <v>400.07799999999997</v>
      </c>
      <c r="Z35" s="5">
        <f>Tabela2[[#This Row],[VOLUME NO STEM]]-Tabela2[[#This Row],[VOLUME CARREGADO]]</f>
        <v>399.92200000000003</v>
      </c>
      <c r="AA35" s="4">
        <v>45942</v>
      </c>
      <c r="AB35" s="4" t="str">
        <f t="shared" si="25"/>
        <v>OUT</v>
      </c>
      <c r="AC35" s="4">
        <f t="shared" si="21"/>
        <v>45956</v>
      </c>
      <c r="AD35" s="2">
        <v>527</v>
      </c>
      <c r="AE35" s="7" t="s">
        <v>122</v>
      </c>
      <c r="AF35" s="7" t="s">
        <v>122</v>
      </c>
      <c r="AG35" s="4" t="s">
        <v>122</v>
      </c>
      <c r="AH35" s="33" t="s">
        <v>888</v>
      </c>
      <c r="AI35" s="4">
        <v>45942</v>
      </c>
      <c r="AJ35" s="2" t="s">
        <v>122</v>
      </c>
      <c r="AK35" s="2" t="s">
        <v>122</v>
      </c>
      <c r="AL35" s="4" t="s">
        <v>122</v>
      </c>
      <c r="AM35" s="4" t="s">
        <v>122</v>
      </c>
      <c r="AN35" s="4" t="s">
        <v>122</v>
      </c>
      <c r="AO35" s="2" t="str">
        <f t="shared" si="22"/>
        <v>PA20250034</v>
      </c>
      <c r="AP35" s="4">
        <f t="shared" si="23"/>
        <v>45942</v>
      </c>
      <c r="AQ35" s="16">
        <v>545.65994000000001</v>
      </c>
      <c r="AR35" s="8">
        <f t="shared" si="24"/>
        <v>218306.53747531999</v>
      </c>
      <c r="AS35" s="13">
        <v>0</v>
      </c>
      <c r="AT35" s="19">
        <f>Tabela2[[#This Row],[VALOR TOTAL  USD]]*Tabela2[[#This Row],[TAXA]]</f>
        <v>0</v>
      </c>
      <c r="AU35" s="71">
        <v>14</v>
      </c>
      <c r="AV35" s="72" t="e">
        <f>Tabela2[[#This Row],[DATA]]-Tabela2[[#This Row],[CARREGAMENTO]]</f>
        <v>#VALUE!</v>
      </c>
      <c r="AW35" s="72" t="e">
        <f>Tabela2[[#This Row],[Realizado]]-Tabela2[[#This Row],[Previsto]]</f>
        <v>#VALUE!</v>
      </c>
      <c r="AX35" s="72" t="e">
        <f>IF(Tabela2[[#This Row],[Resultado]]&lt;=0,"Atendido","Não atendido")</f>
        <v>#VALUE!</v>
      </c>
    </row>
    <row r="36" spans="1:50" x14ac:dyDescent="0.2">
      <c r="A36" s="2" t="s">
        <v>212</v>
      </c>
      <c r="B36" s="2" t="s">
        <v>613</v>
      </c>
      <c r="C36" s="2" t="s">
        <v>356</v>
      </c>
      <c r="D36" s="3" t="s">
        <v>874</v>
      </c>
      <c r="E36" s="2" t="s">
        <v>38</v>
      </c>
      <c r="F36" s="2" t="s">
        <v>44</v>
      </c>
      <c r="G36" s="2" t="s">
        <v>259</v>
      </c>
      <c r="H36" s="2" t="s">
        <v>286</v>
      </c>
      <c r="I36" s="2" t="s">
        <v>464</v>
      </c>
      <c r="J36" s="2" t="s">
        <v>504</v>
      </c>
      <c r="K36" s="2">
        <v>25000496451</v>
      </c>
      <c r="L36" s="2">
        <v>9773313</v>
      </c>
      <c r="M36" s="2" t="s">
        <v>860</v>
      </c>
      <c r="N36" s="2" t="s">
        <v>709</v>
      </c>
      <c r="O36" s="2" t="s">
        <v>496</v>
      </c>
      <c r="P36" s="107">
        <v>2000</v>
      </c>
      <c r="Q36" s="107">
        <v>4250.3999999999996</v>
      </c>
      <c r="R36" s="107">
        <f>Tabela2[[#This Row],[Valor anterior]]-Tabela2[[#This Row],[VALOR]]</f>
        <v>2250.3999999999996</v>
      </c>
      <c r="S36" s="14" t="s">
        <v>254</v>
      </c>
      <c r="T36" s="4" t="s">
        <v>254</v>
      </c>
      <c r="U36" s="7" t="s">
        <v>890</v>
      </c>
      <c r="V36" s="4">
        <v>45943</v>
      </c>
      <c r="W36" s="5">
        <v>200</v>
      </c>
      <c r="X36" s="6" t="s">
        <v>43</v>
      </c>
      <c r="Y36" s="15">
        <v>70.152000000000001</v>
      </c>
      <c r="Z36" s="5">
        <f>Tabela2[[#This Row],[VOLUME NO STEM]]-Tabela2[[#This Row],[VOLUME CARREGADO]]</f>
        <v>129.84800000000001</v>
      </c>
      <c r="AA36" s="4">
        <v>45954</v>
      </c>
      <c r="AB36" s="4" t="str">
        <f t="shared" ref="AB36:AB41" si="26">IF(AA36="","",UPPER(TEXT(AA36,"MMM")))</f>
        <v>OUT</v>
      </c>
      <c r="AC36" s="4">
        <f>AA36+14</f>
        <v>45968</v>
      </c>
      <c r="AD36" s="2">
        <v>551</v>
      </c>
      <c r="AE36" s="7" t="s">
        <v>122</v>
      </c>
      <c r="AF36" s="7" t="s">
        <v>122</v>
      </c>
      <c r="AG36" s="4" t="s">
        <v>122</v>
      </c>
      <c r="AH36" s="33"/>
      <c r="AI36" s="4"/>
      <c r="AJ36" s="2"/>
      <c r="AK36" s="2"/>
      <c r="AL36" s="4"/>
      <c r="AM36" s="4"/>
      <c r="AN36" s="4"/>
      <c r="AO36" s="2" t="str">
        <f t="shared" ref="AO36:AO41" si="27">D36</f>
        <v>PA20250035</v>
      </c>
      <c r="AP36" s="4">
        <f t="shared" ref="AP36:AP41" si="28">AI36</f>
        <v>0</v>
      </c>
      <c r="AQ36" s="16">
        <v>515.89</v>
      </c>
      <c r="AR36" s="8">
        <f t="shared" ref="AR36:AR41" si="29">Y36*AQ36</f>
        <v>36190.715279999997</v>
      </c>
      <c r="AS36" s="13">
        <v>0</v>
      </c>
      <c r="AT36" s="19">
        <f>Tabela2[[#This Row],[VALOR TOTAL  USD]]*Tabela2[[#This Row],[TAXA]]</f>
        <v>0</v>
      </c>
      <c r="AU36" s="71">
        <v>14</v>
      </c>
      <c r="AV36" s="72">
        <f>Tabela2[[#This Row],[DATA]]-Tabela2[[#This Row],[CARREGAMENTO]]</f>
        <v>-45954</v>
      </c>
      <c r="AW36" s="72">
        <f>Tabela2[[#This Row],[Realizado]]-Tabela2[[#This Row],[Previsto]]</f>
        <v>-45968</v>
      </c>
      <c r="AX36" s="72" t="str">
        <f>IF(Tabela2[[#This Row],[Resultado]]&lt;=0,"Atendido","Não atendido")</f>
        <v>Atendido</v>
      </c>
    </row>
    <row r="37" spans="1:50" x14ac:dyDescent="0.2">
      <c r="A37" s="17" t="s">
        <v>837</v>
      </c>
      <c r="B37" s="2" t="s">
        <v>613</v>
      </c>
      <c r="C37" s="2" t="s">
        <v>356</v>
      </c>
      <c r="D37" s="3" t="s">
        <v>883</v>
      </c>
      <c r="E37" s="2" t="s">
        <v>38</v>
      </c>
      <c r="F37" s="2" t="s">
        <v>44</v>
      </c>
      <c r="G37" s="2" t="s">
        <v>884</v>
      </c>
      <c r="H37" s="2" t="s">
        <v>885</v>
      </c>
      <c r="I37" s="2" t="s">
        <v>906</v>
      </c>
      <c r="J37" s="2" t="s">
        <v>710</v>
      </c>
      <c r="K37" s="2">
        <v>25000495951</v>
      </c>
      <c r="L37" s="2">
        <v>9972622</v>
      </c>
      <c r="M37" s="2" t="s">
        <v>886</v>
      </c>
      <c r="N37" s="2" t="s">
        <v>887</v>
      </c>
      <c r="O37" s="2" t="s">
        <v>496</v>
      </c>
      <c r="P37" s="107">
        <v>2000</v>
      </c>
      <c r="Q37" s="107">
        <v>4250.3999999999996</v>
      </c>
      <c r="R37" s="107">
        <f>Tabela2[[#This Row],[Valor anterior]]-Tabela2[[#This Row],[VALOR]]</f>
        <v>2250.3999999999996</v>
      </c>
      <c r="S37" s="14" t="s">
        <v>254</v>
      </c>
      <c r="T37" s="4" t="s">
        <v>254</v>
      </c>
      <c r="U37" s="7" t="s">
        <v>913</v>
      </c>
      <c r="V37" s="4">
        <v>45952</v>
      </c>
      <c r="W37" s="5">
        <v>1600</v>
      </c>
      <c r="X37" s="6" t="s">
        <v>43</v>
      </c>
      <c r="Y37" s="15"/>
      <c r="Z37" s="5">
        <f>Tabela2[[#This Row],[VOLUME NO STEM]]-Tabela2[[#This Row],[VOLUME CARREGADO]]</f>
        <v>1600</v>
      </c>
      <c r="AA37" s="4"/>
      <c r="AB37" s="4" t="str">
        <f t="shared" si="26"/>
        <v/>
      </c>
      <c r="AC37" s="4">
        <f>AA37+2</f>
        <v>2</v>
      </c>
      <c r="AD37" s="2"/>
      <c r="AE37" s="7" t="s">
        <v>122</v>
      </c>
      <c r="AF37" s="7" t="s">
        <v>122</v>
      </c>
      <c r="AG37" s="4" t="s">
        <v>122</v>
      </c>
      <c r="AH37" s="33"/>
      <c r="AI37" s="4"/>
      <c r="AJ37" s="2"/>
      <c r="AK37" s="2"/>
      <c r="AL37" s="4"/>
      <c r="AM37" s="4"/>
      <c r="AN37" s="4"/>
      <c r="AO37" s="2" t="str">
        <f t="shared" si="27"/>
        <v>PA20250036</v>
      </c>
      <c r="AP37" s="4">
        <f t="shared" si="28"/>
        <v>0</v>
      </c>
      <c r="AQ37" s="16">
        <v>543</v>
      </c>
      <c r="AR37" s="8">
        <f t="shared" si="29"/>
        <v>0</v>
      </c>
      <c r="AS37" s="13">
        <v>0</v>
      </c>
      <c r="AT37" s="19">
        <f>Tabela2[[#This Row],[VALOR TOTAL  USD]]*Tabela2[[#This Row],[TAXA]]</f>
        <v>0</v>
      </c>
      <c r="AU37" s="71">
        <v>14</v>
      </c>
      <c r="AV37" s="72">
        <f>Tabela2[[#This Row],[DATA]]-Tabela2[[#This Row],[CARREGAMENTO]]</f>
        <v>0</v>
      </c>
      <c r="AW37" s="72">
        <f>Tabela2[[#This Row],[Realizado]]-Tabela2[[#This Row],[Previsto]]</f>
        <v>-14</v>
      </c>
      <c r="AX37" s="72" t="str">
        <f>IF(Tabela2[[#This Row],[Resultado]]&lt;=0,"Atendido","Não atendido")</f>
        <v>Atendido</v>
      </c>
    </row>
    <row r="38" spans="1:50" x14ac:dyDescent="0.2">
      <c r="A38" s="17" t="s">
        <v>837</v>
      </c>
      <c r="B38" s="2" t="s">
        <v>613</v>
      </c>
      <c r="C38" s="2" t="s">
        <v>356</v>
      </c>
      <c r="D38" s="3" t="s">
        <v>891</v>
      </c>
      <c r="E38" s="2" t="s">
        <v>38</v>
      </c>
      <c r="F38" s="2" t="s">
        <v>39</v>
      </c>
      <c r="G38" s="2" t="s">
        <v>859</v>
      </c>
      <c r="H38" s="2" t="s">
        <v>286</v>
      </c>
      <c r="I38" s="2" t="s">
        <v>464</v>
      </c>
      <c r="J38" s="2" t="s">
        <v>892</v>
      </c>
      <c r="K38" s="2">
        <v>25000504110</v>
      </c>
      <c r="L38" s="2">
        <v>9991094</v>
      </c>
      <c r="M38" s="2" t="s">
        <v>893</v>
      </c>
      <c r="N38" s="2" t="s">
        <v>709</v>
      </c>
      <c r="O38" s="2" t="s">
        <v>496</v>
      </c>
      <c r="P38" s="107">
        <v>2000</v>
      </c>
      <c r="Q38" s="107">
        <v>4250.3999999999996</v>
      </c>
      <c r="R38" s="107">
        <f>Tabela2[[#This Row],[Valor anterior]]-Tabela2[[#This Row],[VALOR]]</f>
        <v>2250.3999999999996</v>
      </c>
      <c r="S38" s="14" t="s">
        <v>254</v>
      </c>
      <c r="T38" s="4" t="s">
        <v>254</v>
      </c>
      <c r="U38" s="7" t="s">
        <v>897</v>
      </c>
      <c r="V38" s="4">
        <v>45947</v>
      </c>
      <c r="W38" s="5">
        <v>800</v>
      </c>
      <c r="X38" s="6" t="s">
        <v>43</v>
      </c>
      <c r="Y38" s="15"/>
      <c r="Z38" s="5">
        <f>Tabela2[[#This Row],[VOLUME NO STEM]]-Tabela2[[#This Row],[VOLUME CARREGADO]]</f>
        <v>800</v>
      </c>
      <c r="AA38" s="4"/>
      <c r="AB38" s="4" t="str">
        <f t="shared" si="26"/>
        <v/>
      </c>
      <c r="AC38" s="4">
        <f>AA38+14</f>
        <v>14</v>
      </c>
      <c r="AD38" s="2"/>
      <c r="AE38" s="7" t="s">
        <v>122</v>
      </c>
      <c r="AF38" s="7" t="s">
        <v>122</v>
      </c>
      <c r="AG38" s="4" t="s">
        <v>122</v>
      </c>
      <c r="AH38" s="33" t="s">
        <v>122</v>
      </c>
      <c r="AI38" s="4" t="s">
        <v>122</v>
      </c>
      <c r="AJ38" s="2" t="s">
        <v>122</v>
      </c>
      <c r="AK38" s="2" t="s">
        <v>122</v>
      </c>
      <c r="AL38" s="4" t="s">
        <v>122</v>
      </c>
      <c r="AM38" s="4" t="s">
        <v>122</v>
      </c>
      <c r="AN38" s="4" t="s">
        <v>122</v>
      </c>
      <c r="AO38" s="2" t="str">
        <f t="shared" si="27"/>
        <v>PA20250037</v>
      </c>
      <c r="AP38" s="4" t="str">
        <f t="shared" si="28"/>
        <v>NA</v>
      </c>
      <c r="AQ38" s="19">
        <v>3872.07</v>
      </c>
      <c r="AR38" s="8">
        <f t="shared" si="29"/>
        <v>0</v>
      </c>
      <c r="AS38" s="13">
        <v>0</v>
      </c>
      <c r="AT38" s="19">
        <f>Tabela2[[#This Row],[VALOR TOTAL  USD]]*Tabela2[[#This Row],[TAXA]]</f>
        <v>0</v>
      </c>
      <c r="AU38" s="2">
        <v>14</v>
      </c>
      <c r="AV38" s="2" t="e">
        <f>Tabela2[[#This Row],[DATA]]-Tabela2[[#This Row],[CARREGAMENTO]]</f>
        <v>#VALUE!</v>
      </c>
      <c r="AW38" s="2" t="e">
        <f>Tabela2[[#This Row],[Realizado]]-Tabela2[[#This Row],[Previsto]]</f>
        <v>#VALUE!</v>
      </c>
      <c r="AX38" s="2" t="e">
        <f>IF(Tabela2[[#This Row],[Resultado]]&lt;=0,"Atendido","Não atendido")</f>
        <v>#VALUE!</v>
      </c>
    </row>
    <row r="39" spans="1:50" x14ac:dyDescent="0.2">
      <c r="A39" s="17" t="s">
        <v>837</v>
      </c>
      <c r="B39" s="2" t="s">
        <v>613</v>
      </c>
      <c r="C39" s="2" t="s">
        <v>356</v>
      </c>
      <c r="D39" s="3" t="s">
        <v>894</v>
      </c>
      <c r="E39" s="2" t="s">
        <v>46</v>
      </c>
      <c r="F39" s="2" t="s">
        <v>39</v>
      </c>
      <c r="G39" s="2" t="s">
        <v>859</v>
      </c>
      <c r="H39" s="2" t="s">
        <v>286</v>
      </c>
      <c r="I39" s="2" t="s">
        <v>464</v>
      </c>
      <c r="J39" s="2" t="s">
        <v>892</v>
      </c>
      <c r="K39" s="2">
        <v>25000504110</v>
      </c>
      <c r="L39" s="2">
        <v>9991094</v>
      </c>
      <c r="M39" s="2" t="s">
        <v>893</v>
      </c>
      <c r="N39" s="2" t="s">
        <v>709</v>
      </c>
      <c r="O39" s="2" t="s">
        <v>496</v>
      </c>
      <c r="P39" s="107">
        <v>2000</v>
      </c>
      <c r="Q39" s="107">
        <v>4250.3999999999996</v>
      </c>
      <c r="R39" s="107">
        <f>Tabela2[[#This Row],[Valor anterior]]-Tabela2[[#This Row],[VALOR]]</f>
        <v>2250.3999999999996</v>
      </c>
      <c r="S39" s="14" t="s">
        <v>254</v>
      </c>
      <c r="T39" s="4" t="s">
        <v>254</v>
      </c>
      <c r="U39" s="7" t="s">
        <v>898</v>
      </c>
      <c r="V39" s="4">
        <v>45947</v>
      </c>
      <c r="W39" s="5">
        <v>110</v>
      </c>
      <c r="X39" s="6" t="s">
        <v>43</v>
      </c>
      <c r="Y39" s="15"/>
      <c r="Z39" s="5">
        <f>Tabela2[[#This Row],[VOLUME NO STEM]]-Tabela2[[#This Row],[VOLUME CARREGADO]]</f>
        <v>110</v>
      </c>
      <c r="AA39" s="4"/>
      <c r="AB39" s="4" t="str">
        <f t="shared" si="26"/>
        <v/>
      </c>
      <c r="AC39" s="4">
        <f>AA39+14</f>
        <v>14</v>
      </c>
      <c r="AD39" s="2"/>
      <c r="AE39" s="7" t="s">
        <v>122</v>
      </c>
      <c r="AF39" s="7" t="s">
        <v>122</v>
      </c>
      <c r="AG39" s="4" t="s">
        <v>122</v>
      </c>
      <c r="AH39" s="33" t="s">
        <v>122</v>
      </c>
      <c r="AI39" s="4" t="s">
        <v>122</v>
      </c>
      <c r="AJ39" s="2" t="s">
        <v>122</v>
      </c>
      <c r="AK39" s="2" t="s">
        <v>122</v>
      </c>
      <c r="AL39" s="4" t="s">
        <v>122</v>
      </c>
      <c r="AM39" s="4" t="s">
        <v>122</v>
      </c>
      <c r="AN39" s="4" t="s">
        <v>122</v>
      </c>
      <c r="AO39" s="2" t="str">
        <f t="shared" si="27"/>
        <v>PA20250038</v>
      </c>
      <c r="AP39" s="4" t="str">
        <f t="shared" si="28"/>
        <v>NA</v>
      </c>
      <c r="AQ39" s="19">
        <v>6110.35</v>
      </c>
      <c r="AR39" s="8">
        <f t="shared" si="29"/>
        <v>0</v>
      </c>
      <c r="AS39" s="13">
        <v>0</v>
      </c>
      <c r="AT39" s="19">
        <f>Tabela2[[#This Row],[VALOR TOTAL  USD]]*Tabela2[[#This Row],[TAXA]]</f>
        <v>0</v>
      </c>
      <c r="AU39" s="2">
        <v>14</v>
      </c>
      <c r="AV39" s="2" t="e">
        <f>Tabela2[[#This Row],[DATA]]-Tabela2[[#This Row],[CARREGAMENTO]]</f>
        <v>#VALUE!</v>
      </c>
      <c r="AW39" s="2" t="e">
        <f>Tabela2[[#This Row],[Realizado]]-Tabela2[[#This Row],[Previsto]]</f>
        <v>#VALUE!</v>
      </c>
      <c r="AX39" s="2" t="e">
        <f>IF(Tabela2[[#This Row],[Resultado]]&lt;=0,"Atendido","Não atendido")</f>
        <v>#VALUE!</v>
      </c>
    </row>
    <row r="40" spans="1:50" x14ac:dyDescent="0.2">
      <c r="A40" s="2" t="s">
        <v>837</v>
      </c>
      <c r="B40" s="2" t="s">
        <v>284</v>
      </c>
      <c r="C40" s="2" t="s">
        <v>356</v>
      </c>
      <c r="D40" s="3" t="s">
        <v>899</v>
      </c>
      <c r="E40" s="2" t="s">
        <v>38</v>
      </c>
      <c r="F40" s="2" t="s">
        <v>44</v>
      </c>
      <c r="G40" s="2" t="s">
        <v>259</v>
      </c>
      <c r="H40" s="2" t="s">
        <v>286</v>
      </c>
      <c r="I40" s="2" t="s">
        <v>464</v>
      </c>
      <c r="J40" s="2" t="s">
        <v>710</v>
      </c>
      <c r="K40" s="2">
        <v>25000490852</v>
      </c>
      <c r="L40" s="2">
        <v>9746970</v>
      </c>
      <c r="M40" s="2" t="s">
        <v>900</v>
      </c>
      <c r="N40" s="2" t="s">
        <v>484</v>
      </c>
      <c r="O40" s="2" t="s">
        <v>496</v>
      </c>
      <c r="P40" s="107">
        <v>2000</v>
      </c>
      <c r="Q40" s="107">
        <v>4250.3999999999996</v>
      </c>
      <c r="R40" s="107">
        <f>Tabela2[[#This Row],[Valor anterior]]-Tabela2[[#This Row],[VALOR]]</f>
        <v>2250.3999999999996</v>
      </c>
      <c r="S40" s="14" t="s">
        <v>254</v>
      </c>
      <c r="T40" s="4" t="s">
        <v>254</v>
      </c>
      <c r="U40" s="7" t="s">
        <v>890</v>
      </c>
      <c r="V40" s="4">
        <v>45951</v>
      </c>
      <c r="W40" s="5">
        <v>300</v>
      </c>
      <c r="X40" s="6" t="s">
        <v>43</v>
      </c>
      <c r="Y40" s="15">
        <v>200.51900000000001</v>
      </c>
      <c r="Z40" s="5">
        <f>Tabela2[[#This Row],[VOLUME NO STEM]]-Tabela2[[#This Row],[VOLUME CARREGADO]]</f>
        <v>99.480999999999995</v>
      </c>
      <c r="AA40" s="4">
        <v>45952</v>
      </c>
      <c r="AB40" s="4" t="str">
        <f t="shared" si="26"/>
        <v>OUT</v>
      </c>
      <c r="AC40" s="4">
        <f>AA40+14</f>
        <v>45966</v>
      </c>
      <c r="AD40" s="2">
        <v>544</v>
      </c>
      <c r="AE40" s="7" t="s">
        <v>122</v>
      </c>
      <c r="AF40" s="7" t="s">
        <v>122</v>
      </c>
      <c r="AG40" s="4" t="s">
        <v>122</v>
      </c>
      <c r="AH40" s="33"/>
      <c r="AI40" s="4"/>
      <c r="AJ40" s="2"/>
      <c r="AK40" s="2"/>
      <c r="AL40" s="4"/>
      <c r="AM40" s="4"/>
      <c r="AN40" s="4"/>
      <c r="AO40" s="2" t="str">
        <f t="shared" si="27"/>
        <v>PA20250039</v>
      </c>
      <c r="AP40" s="4">
        <f t="shared" si="28"/>
        <v>0</v>
      </c>
      <c r="AQ40" s="16">
        <v>510</v>
      </c>
      <c r="AR40" s="8">
        <f t="shared" si="29"/>
        <v>102264.69</v>
      </c>
      <c r="AS40" s="13">
        <v>0</v>
      </c>
      <c r="AT40" s="19">
        <f>Tabela2[[#This Row],[VALOR TOTAL  USD]]*Tabela2[[#This Row],[TAXA]]</f>
        <v>0</v>
      </c>
      <c r="AU40" s="2">
        <v>14</v>
      </c>
      <c r="AV40" s="2">
        <f>Tabela2[[#This Row],[DATA]]-Tabela2[[#This Row],[CARREGAMENTO]]</f>
        <v>-45952</v>
      </c>
      <c r="AW40" s="2">
        <f>Tabela2[[#This Row],[Realizado]]-Tabela2[[#This Row],[Previsto]]</f>
        <v>-45966</v>
      </c>
      <c r="AX40" s="2" t="str">
        <f>IF(Tabela2[[#This Row],[Resultado]]&lt;=0,"Atendido","Não atendido")</f>
        <v>Atendido</v>
      </c>
    </row>
    <row r="41" spans="1:50" x14ac:dyDescent="0.2">
      <c r="A41" s="2" t="s">
        <v>928</v>
      </c>
      <c r="B41" s="2" t="s">
        <v>613</v>
      </c>
      <c r="C41" s="2" t="s">
        <v>356</v>
      </c>
      <c r="D41" s="3" t="s">
        <v>927</v>
      </c>
      <c r="E41" s="2" t="s">
        <v>38</v>
      </c>
      <c r="F41" s="2" t="s">
        <v>44</v>
      </c>
      <c r="G41" s="2" t="s">
        <v>380</v>
      </c>
      <c r="H41" s="2" t="s">
        <v>286</v>
      </c>
      <c r="I41" s="2" t="s">
        <v>464</v>
      </c>
      <c r="J41" s="2" t="s">
        <v>482</v>
      </c>
      <c r="K41" s="2">
        <v>25000520409</v>
      </c>
      <c r="L41" s="2">
        <v>1065617</v>
      </c>
      <c r="M41" s="2" t="s">
        <v>929</v>
      </c>
      <c r="N41" s="2" t="s">
        <v>484</v>
      </c>
      <c r="O41" s="2" t="s">
        <v>496</v>
      </c>
      <c r="P41" s="107">
        <v>2000</v>
      </c>
      <c r="Q41" s="107">
        <v>4250.3999999999996</v>
      </c>
      <c r="R41" s="107">
        <f>Tabela2[[#This Row],[Valor anterior]]-Tabela2[[#This Row],[VALOR]]</f>
        <v>2250.3999999999996</v>
      </c>
      <c r="S41" s="14" t="s">
        <v>254</v>
      </c>
      <c r="T41" s="4" t="s">
        <v>254</v>
      </c>
      <c r="U41" s="7"/>
      <c r="V41" s="4"/>
      <c r="W41" s="5"/>
      <c r="X41" s="6" t="s">
        <v>43</v>
      </c>
      <c r="Y41" s="15">
        <v>330</v>
      </c>
      <c r="Z41" s="5">
        <f>Tabela2[[#This Row],[VOLUME NO STEM]]-Tabela2[[#This Row],[VOLUME CARREGADO]]</f>
        <v>-330</v>
      </c>
      <c r="AA41" s="4"/>
      <c r="AB41" s="4" t="str">
        <f t="shared" si="26"/>
        <v/>
      </c>
      <c r="AC41" s="4">
        <f>AA41+14</f>
        <v>14</v>
      </c>
      <c r="AD41" s="2"/>
      <c r="AE41" s="7" t="s">
        <v>122</v>
      </c>
      <c r="AF41" s="7" t="s">
        <v>122</v>
      </c>
      <c r="AG41" s="4" t="s">
        <v>122</v>
      </c>
      <c r="AH41" s="33"/>
      <c r="AI41" s="4"/>
      <c r="AJ41" s="2"/>
      <c r="AK41" s="2"/>
      <c r="AL41" s="4"/>
      <c r="AM41" s="4"/>
      <c r="AN41" s="4"/>
      <c r="AO41" s="2" t="str">
        <f t="shared" si="27"/>
        <v>PA20250040</v>
      </c>
      <c r="AP41" s="4">
        <f t="shared" si="28"/>
        <v>0</v>
      </c>
      <c r="AQ41" s="16">
        <v>508</v>
      </c>
      <c r="AR41" s="8">
        <f t="shared" si="29"/>
        <v>167640</v>
      </c>
      <c r="AS41" s="13">
        <v>0</v>
      </c>
      <c r="AT41" s="19">
        <f>Tabela2[[#This Row],[VALOR TOTAL  USD]]*Tabela2[[#This Row],[TAXA]]</f>
        <v>0</v>
      </c>
      <c r="AU41" s="2">
        <v>14</v>
      </c>
      <c r="AV41" s="2">
        <f>Tabela2[[#This Row],[DATA]]-Tabela2[[#This Row],[CARREGAMENTO]]</f>
        <v>0</v>
      </c>
      <c r="AW41" s="2">
        <f>Tabela2[[#This Row],[Realizado]]-Tabela2[[#This Row],[Previsto]]</f>
        <v>-14</v>
      </c>
      <c r="AX41" s="2" t="str">
        <f>IF(Tabela2[[#This Row],[Resultado]]&lt;=0,"Atendido","Não atendido")</f>
        <v>Atendido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26D7-6851-4309-9F90-5EF8EF61E6A5}">
  <sheetPr codeName="Planilha3"/>
  <dimension ref="A3:D32"/>
  <sheetViews>
    <sheetView showGridLines="0" topLeftCell="A13" workbookViewId="0">
      <selection activeCell="C32" sqref="C32"/>
    </sheetView>
  </sheetViews>
  <sheetFormatPr defaultRowHeight="15" x14ac:dyDescent="0.25"/>
  <cols>
    <col min="1" max="1" width="24" bestFit="1" customWidth="1"/>
    <col min="2" max="2" width="20.140625" bestFit="1" customWidth="1"/>
    <col min="3" max="3" width="13.140625" bestFit="1" customWidth="1"/>
    <col min="4" max="4" width="10.7109375" bestFit="1" customWidth="1"/>
    <col min="5" max="5" width="20.28515625" bestFit="1" customWidth="1"/>
    <col min="6" max="6" width="26.42578125" bestFit="1" customWidth="1"/>
    <col min="7" max="7" width="24.85546875" bestFit="1" customWidth="1"/>
    <col min="8" max="8" width="8.42578125" bestFit="1" customWidth="1"/>
    <col min="9" max="9" width="11.28515625" bestFit="1" customWidth="1"/>
    <col min="10" max="10" width="10.42578125" bestFit="1" customWidth="1"/>
    <col min="11" max="42" width="9" bestFit="1" customWidth="1"/>
    <col min="43" max="43" width="10.42578125" bestFit="1" customWidth="1"/>
    <col min="44" max="44" width="11.28515625" bestFit="1" customWidth="1"/>
    <col min="45" max="45" width="10.42578125" bestFit="1" customWidth="1"/>
  </cols>
  <sheetData>
    <row r="3" spans="1:4" x14ac:dyDescent="0.25">
      <c r="A3" s="66" t="s">
        <v>564</v>
      </c>
      <c r="B3" s="66" t="s">
        <v>399</v>
      </c>
    </row>
    <row r="4" spans="1:4" x14ac:dyDescent="0.25">
      <c r="A4" s="66" t="s">
        <v>397</v>
      </c>
      <c r="B4" t="s">
        <v>46</v>
      </c>
      <c r="C4" t="s">
        <v>38</v>
      </c>
      <c r="D4" t="s">
        <v>398</v>
      </c>
    </row>
    <row r="5" spans="1:4" x14ac:dyDescent="0.25">
      <c r="A5" s="67" t="s">
        <v>400</v>
      </c>
      <c r="B5">
        <v>8</v>
      </c>
      <c r="C5">
        <v>4</v>
      </c>
      <c r="D5">
        <v>12</v>
      </c>
    </row>
    <row r="6" spans="1:4" x14ac:dyDescent="0.25">
      <c r="A6" s="67" t="s">
        <v>401</v>
      </c>
      <c r="B6">
        <v>3</v>
      </c>
      <c r="C6">
        <v>9</v>
      </c>
      <c r="D6">
        <v>12</v>
      </c>
    </row>
    <row r="7" spans="1:4" x14ac:dyDescent="0.25">
      <c r="A7" s="67" t="s">
        <v>402</v>
      </c>
      <c r="B7">
        <v>3</v>
      </c>
      <c r="C7">
        <v>7</v>
      </c>
      <c r="D7">
        <v>10</v>
      </c>
    </row>
    <row r="8" spans="1:4" x14ac:dyDescent="0.25">
      <c r="A8" s="67" t="s">
        <v>403</v>
      </c>
      <c r="B8">
        <v>5</v>
      </c>
      <c r="C8">
        <v>2</v>
      </c>
      <c r="D8">
        <v>7</v>
      </c>
    </row>
    <row r="9" spans="1:4" x14ac:dyDescent="0.25">
      <c r="A9" s="67" t="s">
        <v>404</v>
      </c>
      <c r="B9">
        <v>7</v>
      </c>
      <c r="C9">
        <v>6</v>
      </c>
      <c r="D9">
        <v>13</v>
      </c>
    </row>
    <row r="10" spans="1:4" x14ac:dyDescent="0.25">
      <c r="A10" s="67" t="s">
        <v>562</v>
      </c>
      <c r="B10">
        <v>2</v>
      </c>
      <c r="D10">
        <v>2</v>
      </c>
    </row>
    <row r="11" spans="1:4" x14ac:dyDescent="0.25">
      <c r="A11" s="67" t="s">
        <v>563</v>
      </c>
      <c r="B11">
        <v>5</v>
      </c>
      <c r="C11">
        <v>4</v>
      </c>
      <c r="D11">
        <v>9</v>
      </c>
    </row>
    <row r="12" spans="1:4" x14ac:dyDescent="0.25">
      <c r="A12" s="67" t="s">
        <v>722</v>
      </c>
      <c r="B12">
        <v>1</v>
      </c>
      <c r="C12">
        <v>1</v>
      </c>
      <c r="D12">
        <v>2</v>
      </c>
    </row>
    <row r="13" spans="1:4" x14ac:dyDescent="0.25">
      <c r="A13" s="67" t="s">
        <v>398</v>
      </c>
      <c r="B13">
        <v>34</v>
      </c>
      <c r="C13">
        <v>33</v>
      </c>
      <c r="D13">
        <v>67</v>
      </c>
    </row>
    <row r="21" spans="1:4" x14ac:dyDescent="0.25">
      <c r="A21" s="66" t="s">
        <v>405</v>
      </c>
      <c r="B21" s="66" t="s">
        <v>399</v>
      </c>
    </row>
    <row r="22" spans="1:4" x14ac:dyDescent="0.25">
      <c r="A22" s="66" t="s">
        <v>397</v>
      </c>
      <c r="B22" t="s">
        <v>410</v>
      </c>
      <c r="C22" t="s">
        <v>411</v>
      </c>
      <c r="D22" t="s">
        <v>398</v>
      </c>
    </row>
    <row r="23" spans="1:4" x14ac:dyDescent="0.25">
      <c r="A23" s="67" t="s">
        <v>44</v>
      </c>
      <c r="B23">
        <v>50</v>
      </c>
      <c r="C23">
        <v>4</v>
      </c>
      <c r="D23">
        <v>54</v>
      </c>
    </row>
    <row r="24" spans="1:4" x14ac:dyDescent="0.25">
      <c r="A24" s="68" t="s">
        <v>400</v>
      </c>
      <c r="B24">
        <v>10</v>
      </c>
      <c r="D24">
        <v>10</v>
      </c>
    </row>
    <row r="25" spans="1:4" x14ac:dyDescent="0.25">
      <c r="A25" s="68" t="s">
        <v>401</v>
      </c>
      <c r="B25">
        <v>7</v>
      </c>
      <c r="C25">
        <v>1</v>
      </c>
      <c r="D25">
        <v>8</v>
      </c>
    </row>
    <row r="26" spans="1:4" x14ac:dyDescent="0.25">
      <c r="A26" s="68" t="s">
        <v>402</v>
      </c>
      <c r="B26">
        <v>7</v>
      </c>
      <c r="D26">
        <v>7</v>
      </c>
    </row>
    <row r="27" spans="1:4" x14ac:dyDescent="0.25">
      <c r="A27" s="68" t="s">
        <v>403</v>
      </c>
      <c r="B27">
        <v>4</v>
      </c>
      <c r="C27">
        <v>2</v>
      </c>
      <c r="D27">
        <v>6</v>
      </c>
    </row>
    <row r="28" spans="1:4" x14ac:dyDescent="0.25">
      <c r="A28" s="68" t="s">
        <v>404</v>
      </c>
      <c r="B28">
        <v>10</v>
      </c>
      <c r="C28">
        <v>1</v>
      </c>
      <c r="D28">
        <v>11</v>
      </c>
    </row>
    <row r="29" spans="1:4" x14ac:dyDescent="0.25">
      <c r="A29" s="68" t="s">
        <v>562</v>
      </c>
      <c r="B29">
        <v>2</v>
      </c>
      <c r="D29">
        <v>2</v>
      </c>
    </row>
    <row r="30" spans="1:4" x14ac:dyDescent="0.25">
      <c r="A30" s="68" t="s">
        <v>563</v>
      </c>
      <c r="B30">
        <v>8</v>
      </c>
      <c r="D30">
        <v>8</v>
      </c>
    </row>
    <row r="31" spans="1:4" x14ac:dyDescent="0.25">
      <c r="A31" s="68" t="s">
        <v>722</v>
      </c>
      <c r="B31">
        <v>2</v>
      </c>
      <c r="D31">
        <v>2</v>
      </c>
    </row>
    <row r="32" spans="1:4" x14ac:dyDescent="0.25">
      <c r="A32" s="67" t="s">
        <v>398</v>
      </c>
      <c r="B32">
        <v>50</v>
      </c>
      <c r="C32">
        <v>4</v>
      </c>
      <c r="D32">
        <v>54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96AE3-55D9-4D80-8123-6974255A81CA}">
  <sheetPr codeName="Planilha4"/>
  <dimension ref="A3:E19"/>
  <sheetViews>
    <sheetView showGridLines="0" topLeftCell="A4" workbookViewId="0">
      <selection activeCell="B4" sqref="B4"/>
    </sheetView>
  </sheetViews>
  <sheetFormatPr defaultRowHeight="15" x14ac:dyDescent="0.25"/>
  <cols>
    <col min="1" max="1" width="24" bestFit="1" customWidth="1"/>
    <col min="2" max="2" width="20.140625" bestFit="1" customWidth="1"/>
    <col min="3" max="3" width="5.42578125" bestFit="1" customWidth="1"/>
    <col min="4" max="4" width="6.7109375" bestFit="1" customWidth="1"/>
    <col min="5" max="5" width="10.7109375" bestFit="1" customWidth="1"/>
    <col min="6" max="6" width="26.42578125" bestFit="1" customWidth="1"/>
    <col min="7" max="7" width="24.85546875" bestFit="1" customWidth="1"/>
    <col min="8" max="8" width="28.5703125" bestFit="1" customWidth="1"/>
    <col min="9" max="9" width="23.28515625" bestFit="1" customWidth="1"/>
    <col min="10" max="10" width="33.5703125" bestFit="1" customWidth="1"/>
    <col min="11" max="11" width="28.28515625" bestFit="1" customWidth="1"/>
  </cols>
  <sheetData>
    <row r="3" spans="1:4" x14ac:dyDescent="0.25">
      <c r="A3" s="66" t="s">
        <v>564</v>
      </c>
      <c r="B3" s="66" t="s">
        <v>399</v>
      </c>
    </row>
    <row r="4" spans="1:4" x14ac:dyDescent="0.25">
      <c r="A4" s="66" t="s">
        <v>397</v>
      </c>
      <c r="B4" t="s">
        <v>46</v>
      </c>
      <c r="C4" t="s">
        <v>38</v>
      </c>
      <c r="D4" t="s">
        <v>398</v>
      </c>
    </row>
    <row r="5" spans="1:4" x14ac:dyDescent="0.25">
      <c r="A5" s="67" t="s">
        <v>403</v>
      </c>
      <c r="B5">
        <v>4</v>
      </c>
      <c r="C5">
        <v>1</v>
      </c>
      <c r="D5">
        <v>5</v>
      </c>
    </row>
    <row r="6" spans="1:4" x14ac:dyDescent="0.25">
      <c r="A6" s="67" t="s">
        <v>404</v>
      </c>
      <c r="B6">
        <v>2</v>
      </c>
      <c r="C6">
        <v>3</v>
      </c>
      <c r="D6">
        <v>5</v>
      </c>
    </row>
    <row r="7" spans="1:4" x14ac:dyDescent="0.25">
      <c r="A7" s="67" t="s">
        <v>562</v>
      </c>
      <c r="B7">
        <v>1</v>
      </c>
      <c r="C7">
        <v>2</v>
      </c>
      <c r="D7">
        <v>3</v>
      </c>
    </row>
    <row r="8" spans="1:4" x14ac:dyDescent="0.25">
      <c r="A8" s="67" t="s">
        <v>563</v>
      </c>
      <c r="C8">
        <v>1</v>
      </c>
      <c r="D8">
        <v>1</v>
      </c>
    </row>
    <row r="9" spans="1:4" x14ac:dyDescent="0.25">
      <c r="A9" s="67" t="s">
        <v>722</v>
      </c>
      <c r="B9">
        <v>3</v>
      </c>
      <c r="C9">
        <v>1</v>
      </c>
      <c r="D9">
        <v>4</v>
      </c>
    </row>
    <row r="10" spans="1:4" x14ac:dyDescent="0.25">
      <c r="A10" s="67" t="s">
        <v>809</v>
      </c>
      <c r="C10">
        <v>1</v>
      </c>
      <c r="D10">
        <v>1</v>
      </c>
    </row>
    <row r="11" spans="1:4" x14ac:dyDescent="0.25">
      <c r="A11" s="67" t="s">
        <v>398</v>
      </c>
      <c r="B11">
        <v>10</v>
      </c>
      <c r="C11">
        <v>9</v>
      </c>
      <c r="D11">
        <v>19</v>
      </c>
    </row>
    <row r="12" spans="1:4" x14ac:dyDescent="0.25">
      <c r="A12" s="67"/>
    </row>
    <row r="13" spans="1:4" x14ac:dyDescent="0.25">
      <c r="A13" s="67"/>
    </row>
    <row r="14" spans="1:4" x14ac:dyDescent="0.25">
      <c r="A14" s="67"/>
    </row>
    <row r="16" spans="1:4" x14ac:dyDescent="0.25">
      <c r="A16" s="66" t="s">
        <v>405</v>
      </c>
      <c r="B16" s="66" t="s">
        <v>399</v>
      </c>
    </row>
    <row r="17" spans="1:5" x14ac:dyDescent="0.25">
      <c r="A17" s="66" t="s">
        <v>397</v>
      </c>
      <c r="B17" t="s">
        <v>46</v>
      </c>
      <c r="C17" t="s">
        <v>56</v>
      </c>
      <c r="D17" t="s">
        <v>38</v>
      </c>
      <c r="E17" t="s">
        <v>398</v>
      </c>
    </row>
    <row r="18" spans="1:5" x14ac:dyDescent="0.25">
      <c r="A18" s="67" t="s">
        <v>44</v>
      </c>
      <c r="B18">
        <v>5</v>
      </c>
      <c r="C18">
        <v>1</v>
      </c>
      <c r="D18">
        <v>4</v>
      </c>
      <c r="E18">
        <v>10</v>
      </c>
    </row>
    <row r="19" spans="1:5" x14ac:dyDescent="0.25">
      <c r="A19" s="67" t="s">
        <v>398</v>
      </c>
      <c r="B19">
        <v>5</v>
      </c>
      <c r="C19">
        <v>1</v>
      </c>
      <c r="D19">
        <v>4</v>
      </c>
      <c r="E19">
        <v>10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D6D3-D913-485C-A88E-A81CC18A638D}">
  <sheetPr codeName="Planilha5"/>
  <dimension ref="A15:D18"/>
  <sheetViews>
    <sheetView workbookViewId="0">
      <selection activeCell="M27" sqref="M27"/>
    </sheetView>
  </sheetViews>
  <sheetFormatPr defaultRowHeight="15" x14ac:dyDescent="0.25"/>
  <cols>
    <col min="1" max="1" width="21.85546875" bestFit="1" customWidth="1"/>
    <col min="2" max="2" width="18.140625" bestFit="1" customWidth="1"/>
    <col min="3" max="3" width="6.42578125" bestFit="1" customWidth="1"/>
    <col min="4" max="4" width="10" bestFit="1" customWidth="1"/>
    <col min="5" max="5" width="6.7109375" bestFit="1" customWidth="1"/>
    <col min="6" max="6" width="10" bestFit="1" customWidth="1"/>
  </cols>
  <sheetData>
    <row r="15" spans="1:4" x14ac:dyDescent="0.25">
      <c r="A15" s="75" t="s">
        <v>397</v>
      </c>
      <c r="B15" s="75" t="s">
        <v>46</v>
      </c>
      <c r="C15" s="75" t="s">
        <v>38</v>
      </c>
      <c r="D15" s="75" t="s">
        <v>398</v>
      </c>
    </row>
    <row r="16" spans="1:4" x14ac:dyDescent="0.25">
      <c r="A16" s="67" t="s">
        <v>403</v>
      </c>
      <c r="B16">
        <v>4</v>
      </c>
      <c r="C16">
        <v>1</v>
      </c>
      <c r="D16">
        <v>5</v>
      </c>
    </row>
    <row r="17" spans="1:4" x14ac:dyDescent="0.25">
      <c r="A17" s="67" t="s">
        <v>404</v>
      </c>
      <c r="B17">
        <v>2</v>
      </c>
      <c r="C17">
        <v>3</v>
      </c>
      <c r="D17">
        <v>5</v>
      </c>
    </row>
    <row r="18" spans="1:4" x14ac:dyDescent="0.25">
      <c r="A18" s="76" t="s">
        <v>398</v>
      </c>
      <c r="B18" s="77"/>
      <c r="C18" s="77"/>
      <c r="D18" s="77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0A55-9160-469D-BFE9-67F7B884570E}">
  <sheetPr codeName="Planilha6"/>
  <dimension ref="B2:J11"/>
  <sheetViews>
    <sheetView zoomScale="160" zoomScaleNormal="160" workbookViewId="0">
      <selection activeCell="H14" sqref="H14"/>
    </sheetView>
  </sheetViews>
  <sheetFormatPr defaultRowHeight="15" x14ac:dyDescent="0.25"/>
  <cols>
    <col min="2" max="2" width="9.140625" bestFit="1" customWidth="1"/>
    <col min="3" max="3" width="6.28515625" bestFit="1" customWidth="1"/>
    <col min="4" max="4" width="9.5703125" bestFit="1" customWidth="1"/>
    <col min="5" max="5" width="7.7109375" bestFit="1" customWidth="1"/>
    <col min="6" max="6" width="15.7109375" bestFit="1" customWidth="1"/>
    <col min="7" max="7" width="12.85546875" bestFit="1" customWidth="1"/>
    <col min="8" max="8" width="14.7109375" bestFit="1" customWidth="1"/>
    <col min="9" max="9" width="13" bestFit="1" customWidth="1"/>
    <col min="10" max="10" width="16.7109375" customWidth="1"/>
  </cols>
  <sheetData>
    <row r="2" spans="2:10" ht="24" x14ac:dyDescent="0.25">
      <c r="B2" s="45" t="s">
        <v>0</v>
      </c>
      <c r="C2" s="46" t="s">
        <v>1</v>
      </c>
      <c r="D2" s="46" t="s">
        <v>2</v>
      </c>
      <c r="E2" s="46" t="s">
        <v>3</v>
      </c>
      <c r="F2" s="46" t="s">
        <v>4</v>
      </c>
      <c r="G2" s="46" t="s">
        <v>8</v>
      </c>
      <c r="H2" s="46" t="s">
        <v>194</v>
      </c>
      <c r="I2" s="47" t="s">
        <v>19</v>
      </c>
      <c r="J2" s="56" t="s">
        <v>20</v>
      </c>
    </row>
    <row r="3" spans="2:10" ht="24.75" x14ac:dyDescent="0.25">
      <c r="B3" s="48" t="s">
        <v>212</v>
      </c>
      <c r="C3" s="49" t="s">
        <v>59</v>
      </c>
      <c r="D3" s="50">
        <v>20250038</v>
      </c>
      <c r="E3" s="49" t="s">
        <v>38</v>
      </c>
      <c r="F3" s="49" t="s">
        <v>44</v>
      </c>
      <c r="G3" s="49">
        <v>9968360</v>
      </c>
      <c r="H3" s="49" t="s">
        <v>312</v>
      </c>
      <c r="I3" s="54">
        <v>45777</v>
      </c>
      <c r="J3" s="57">
        <f>I3+13</f>
        <v>45790</v>
      </c>
    </row>
    <row r="4" spans="2:10" ht="24.75" x14ac:dyDescent="0.25">
      <c r="B4" s="51" t="s">
        <v>212</v>
      </c>
      <c r="C4" s="52" t="s">
        <v>59</v>
      </c>
      <c r="D4" s="53">
        <v>20250039</v>
      </c>
      <c r="E4" s="52" t="s">
        <v>38</v>
      </c>
      <c r="F4" s="52" t="s">
        <v>44</v>
      </c>
      <c r="G4" s="52">
        <v>9937555</v>
      </c>
      <c r="H4" s="52" t="s">
        <v>315</v>
      </c>
      <c r="I4" s="55">
        <v>45778</v>
      </c>
      <c r="J4" s="58">
        <f t="shared" ref="J4:J5" si="0">I4+13</f>
        <v>45791</v>
      </c>
    </row>
    <row r="5" spans="2:10" ht="24.75" x14ac:dyDescent="0.25">
      <c r="B5" s="48" t="s">
        <v>212</v>
      </c>
      <c r="C5" s="49" t="s">
        <v>129</v>
      </c>
      <c r="D5" s="50">
        <v>20250040</v>
      </c>
      <c r="E5" s="49" t="s">
        <v>46</v>
      </c>
      <c r="F5" s="49" t="s">
        <v>44</v>
      </c>
      <c r="G5" s="49">
        <v>9817133</v>
      </c>
      <c r="H5" s="49" t="s">
        <v>343</v>
      </c>
      <c r="I5" s="54">
        <v>45782</v>
      </c>
      <c r="J5" s="57">
        <f t="shared" si="0"/>
        <v>45795</v>
      </c>
    </row>
    <row r="8" spans="2:10" x14ac:dyDescent="0.25">
      <c r="B8" s="59" t="s">
        <v>0</v>
      </c>
      <c r="C8" s="60" t="s">
        <v>1</v>
      </c>
      <c r="D8" s="60" t="s">
        <v>2</v>
      </c>
      <c r="E8" s="60" t="s">
        <v>3</v>
      </c>
      <c r="F8" s="60" t="s">
        <v>251</v>
      </c>
      <c r="G8" s="61" t="s">
        <v>19</v>
      </c>
      <c r="H8" s="62" t="s">
        <v>20</v>
      </c>
    </row>
    <row r="9" spans="2:10" x14ac:dyDescent="0.25">
      <c r="B9" s="63" t="s">
        <v>212</v>
      </c>
      <c r="C9" s="49" t="s">
        <v>284</v>
      </c>
      <c r="D9" s="50" t="s">
        <v>285</v>
      </c>
      <c r="E9" s="49" t="s">
        <v>46</v>
      </c>
      <c r="F9" s="49" t="s">
        <v>294</v>
      </c>
      <c r="G9" s="54">
        <v>45771</v>
      </c>
      <c r="H9" s="54">
        <f>G9+13</f>
        <v>45784</v>
      </c>
    </row>
    <row r="10" spans="2:10" x14ac:dyDescent="0.25">
      <c r="B10" s="64" t="s">
        <v>212</v>
      </c>
      <c r="C10" s="52" t="s">
        <v>284</v>
      </c>
      <c r="D10" s="53" t="s">
        <v>351</v>
      </c>
      <c r="E10" s="52" t="s">
        <v>38</v>
      </c>
      <c r="F10" s="52" t="s">
        <v>325</v>
      </c>
      <c r="G10" s="55">
        <v>45778</v>
      </c>
      <c r="H10" s="55">
        <f t="shared" ref="H10:H11" si="1">G10+13</f>
        <v>45791</v>
      </c>
    </row>
    <row r="11" spans="2:10" x14ac:dyDescent="0.25">
      <c r="B11" s="63" t="s">
        <v>212</v>
      </c>
      <c r="C11" s="49" t="s">
        <v>284</v>
      </c>
      <c r="D11" s="50" t="s">
        <v>330</v>
      </c>
      <c r="E11" s="49" t="s">
        <v>38</v>
      </c>
      <c r="F11" s="49" t="s">
        <v>332</v>
      </c>
      <c r="G11" s="54">
        <v>45782</v>
      </c>
      <c r="H11" s="54">
        <f t="shared" si="1"/>
        <v>45795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40694d6-36dc-473b-a73f-02bfd66901a2" xsi:nil="true"/>
    <lcf76f155ced4ddcb4097134ff3c332f xmlns="0cb38cef-5804-4077-91c4-b6757b8fb22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42194B4842DB46931DF34DF1ED1EA8" ma:contentTypeVersion="69" ma:contentTypeDescription="Crie um novo documento." ma:contentTypeScope="" ma:versionID="e130264e904b818951dac18a1e49d552">
  <xsd:schema xmlns:xsd="http://www.w3.org/2001/XMLSchema" xmlns:xs="http://www.w3.org/2001/XMLSchema" xmlns:p="http://schemas.microsoft.com/office/2006/metadata/properties" xmlns:ns2="e531cf53-797b-4879-a4df-6e835b0251b2" xmlns:ns3="0cb38cef-5804-4077-91c4-b6757b8fb227" xmlns:ns4="ed433df3-8506-434a-b879-7e9a808a2987" xmlns:ns5="540694d6-36dc-473b-a73f-02bfd66901a2" targetNamespace="http://schemas.microsoft.com/office/2006/metadata/properties" ma:root="true" ma:fieldsID="a877247a48f2761ca3dc031fc231cae6" ns2:_="" ns3:_="" ns4:_="" ns5:_="">
    <xsd:import namespace="e531cf53-797b-4879-a4df-6e835b0251b2"/>
    <xsd:import namespace="0cb38cef-5804-4077-91c4-b6757b8fb227"/>
    <xsd:import namespace="ed433df3-8506-434a-b879-7e9a808a2987"/>
    <xsd:import namespace="540694d6-36dc-473b-a73f-02bfd66901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  <xsd:element ref="ns5:TaxCatchAll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1cf53-797b-4879-a4df-6e835b025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b38cef-5804-4077-91c4-b6757b8fb22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3b975c7e-719d-4eb1-a280-6d6b2a75da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33df3-8506-434a-b879-7e9a808a298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694d6-36dc-473b-a73f-02bfd66901a2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ab4033d-f6fe-4ebd-b053-30e983efd930}" ma:internalName="TaxCatchAll" ma:showField="CatchAllData" ma:web="540694d6-36dc-473b-a73f-02bfd66901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5C1E1C-E81E-46FB-BD66-8B56FA85F990}">
  <ds:schemaRefs>
    <ds:schemaRef ds:uri="http://schemas.microsoft.com/office/2006/metadata/properties"/>
    <ds:schemaRef ds:uri="540694d6-36dc-473b-a73f-02bfd66901a2"/>
    <ds:schemaRef ds:uri="http://purl.org/dc/elements/1.1/"/>
    <ds:schemaRef ds:uri="http://purl.org/dc/dcmitype/"/>
    <ds:schemaRef ds:uri="0cb38cef-5804-4077-91c4-b6757b8fb227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ed433df3-8506-434a-b879-7e9a808a2987"/>
    <ds:schemaRef ds:uri="e531cf53-797b-4879-a4df-6e835b0251b2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6120D10-9718-4635-BC05-2886E3F0F0AB}"/>
</file>

<file path=customXml/itemProps3.xml><?xml version="1.0" encoding="utf-8"?>
<ds:datastoreItem xmlns:ds="http://schemas.openxmlformats.org/officeDocument/2006/customXml" ds:itemID="{F15F64F2-4F60-4395-8B2E-34B274E1F8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Bunker - AM</vt:lpstr>
      <vt:lpstr>Bunker - PA</vt:lpstr>
      <vt:lpstr>KPI AM</vt:lpstr>
      <vt:lpstr>KPI PA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Paula Cavalcante da Silva</dc:creator>
  <cp:keywords/>
  <dc:description/>
  <cp:lastModifiedBy>Elton Miguel do Vale</cp:lastModifiedBy>
  <cp:revision/>
  <cp:lastPrinted>2025-10-14T15:18:29Z</cp:lastPrinted>
  <dcterms:created xsi:type="dcterms:W3CDTF">2023-08-29T18:48:57Z</dcterms:created>
  <dcterms:modified xsi:type="dcterms:W3CDTF">2025-10-28T12:23:26Z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2023-08-29T18:55:51Z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a4dc38b2-1e6b-4391-b469-abd0b6e20cb8</vt:lpwstr>
  </property>
  <property fmtid="{D5CDD505-2E9C-101B-9397-08002B2CF9AE}" pid="7" name="MSIP_Label_defa4170-0d19-0005-0004-bc88714345d2_ActionId">
    <vt:lpwstr>2371b2ee-efe9-4129-8d50-f337a5d6c83c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0x010100E142194B4842DB46931DF34DF1ED1EA8</vt:lpwstr>
  </property>
  <property fmtid="{D5CDD505-2E9C-101B-9397-08002B2CF9AE}" pid="10" name="MediaServiceImageTags">
    <vt:lpwstr/>
  </property>
</Properties>
</file>