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248b10fd228d43/Summer2023/UTBootcamp/ExcelChallenge/Starter_Code/"/>
    </mc:Choice>
  </mc:AlternateContent>
  <xr:revisionPtr revIDLastSave="315" documentId="13_ncr:40009_{11C9D2FE-BDF6-5C46-B9DE-A4DF0C4A6734}" xr6:coauthVersionLast="47" xr6:coauthVersionMax="47" xr10:uidLastSave="{58C053C4-FB2E-495D-8417-B91C877E61F4}"/>
  <bookViews>
    <workbookView xWindow="7810" yWindow="0" windowWidth="11480" windowHeight="11370" firstSheet="3" activeTab="5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Crowdfunding Goal Analysis" sheetId="5" r:id="rId5"/>
    <sheet name="Statistical Analysis" sheetId="6" r:id="rId6"/>
  </sheets>
  <calcPr calcId="191029"/>
  <pivotCaches>
    <pivotCache cacheId="6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/>
  <c r="B11" i="6"/>
  <c r="B3" i="6"/>
  <c r="B4" i="6"/>
  <c r="B5" i="6"/>
  <c r="B6" i="6"/>
  <c r="B7" i="6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E10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E13" i="5" s="1"/>
  <c r="B12" i="5"/>
  <c r="E12" i="5" s="1"/>
  <c r="B11" i="5"/>
  <c r="E11" i="5" s="1"/>
  <c r="B10" i="5"/>
  <c r="B8" i="5"/>
  <c r="E8" i="5" s="1"/>
  <c r="B9" i="5"/>
  <c r="E9" i="5" s="1"/>
  <c r="B7" i="5"/>
  <c r="E7" i="5" s="1"/>
  <c r="B6" i="5"/>
  <c r="E6" i="5" s="1"/>
  <c r="B5" i="5"/>
  <c r="E5" i="5" s="1"/>
  <c r="B4" i="5"/>
  <c r="E4" i="5" s="1"/>
  <c r="B3" i="5"/>
  <c r="E3" i="5" s="1"/>
  <c r="B2" i="5"/>
  <c r="E2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T2" i="1"/>
  <c r="S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5" i="1"/>
  <c r="Q6" i="1"/>
  <c r="Q7" i="1"/>
  <c r="Q8" i="1"/>
  <c r="Q9" i="1"/>
  <c r="Q10" i="1"/>
  <c r="Q11" i="1"/>
  <c r="Q12" i="1"/>
  <c r="Q13" i="1"/>
  <c r="Q4" i="1"/>
  <c r="Q3" i="1"/>
  <c r="Q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5" i="1"/>
  <c r="P6" i="1"/>
  <c r="P7" i="1"/>
  <c r="P8" i="1"/>
  <c r="P9" i="1"/>
  <c r="P10" i="1"/>
  <c r="P11" i="1"/>
  <c r="P12" i="1"/>
  <c r="P3" i="1"/>
  <c r="P4" i="1"/>
  <c r="P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<sst xmlns="http://schemas.openxmlformats.org/spreadsheetml/2006/main" count="6127" uniqueCount="2107">
  <si>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</si>
  <si>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</si>
  <si>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</si>
  <si>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</si>
  <si>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</si>
  <si>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</si>
  <si>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</si>
  <si>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</si>
  <si>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</si>
  <si>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</si>
  <si>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</si>
  <si>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</si>
  <si>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</si>
  <si>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</si>
  <si>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</si>
  <si>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</si>
  <si>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</si>
  <si>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</si>
  <si>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</si>
  <si>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</si>
  <si>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</si>
  <si>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</si>
  <si>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</si>
  <si>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</si>
  <si>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</si>
  <si>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</si>
  <si>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</si>
  <si>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</si>
  <si>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</si>
  <si>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</si>
  <si>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</si>
  <si>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</si>
  <si>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</si>
  <si>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</si>
  <si>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</si>
  <si>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</si>
  <si>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</si>
  <si>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</si>
  <si>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</si>
  <si>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</si>
  <si>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</si>
  <si>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</si>
  <si>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</si>
  <si>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</si>
  <si>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</si>
  <si>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</si>
  <si>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</si>
  <si>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</si>
  <si>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</si>
  <si>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</si>
  <si>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</si>
  <si>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</si>
  <si>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</si>
  <si>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</si>
  <si>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</si>
  <si>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</si>
  <si>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</si>
  <si>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</si>
  <si>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</si>
  <si>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</si>
  <si>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</si>
  <si>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</si>
  <si>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</si>
  <si>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</si>
  <si>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</si>
  <si>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</si>
  <si>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</si>
  <si>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</si>
  <si>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</si>
  <si>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</si>
  <si>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</si>
  <si>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</si>
  <si>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</si>
  <si>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</si>
  <si>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</si>
  <si>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</si>
  <si>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</si>
  <si>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</si>
  <si>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</si>
  <si>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</si>
  <si>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</si>
  <si>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</si>
  <si>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</si>
  <si>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</si>
  <si>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</si>
  <si>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</si>
  <si>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</si>
  <si>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</si>
  <si>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</si>
  <si>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</si>
  <si>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</si>
  <si>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</si>
  <si>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</si>
  <si>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</si>
  <si>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</si>
  <si>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</si>
  <si>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</si>
  <si>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</si>
  <si>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</si>
  <si>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</si>
  <si>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</si>
  <si>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</si>
  <si>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</si>
  <si>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</si>
  <si>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</si>
  <si>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</si>
  <si>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</si>
  <si>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</si>
  <si>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</si>
  <si>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</si>
  <si>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</si>
  <si>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</si>
  <si>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</si>
  <si>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</si>
  <si>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</si>
  <si>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</si>
  <si>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</si>
  <si>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</si>
  <si>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</si>
  <si>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</si>
  <si>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</si>
  <si>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</si>
  <si>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</si>
  <si>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</si>
  <si>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</si>
  <si>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</si>
  <si>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</si>
  <si>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</si>
  <si>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</si>
  <si>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</si>
  <si>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</si>
  <si>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</si>
  <si>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</si>
  <si>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</si>
  <si>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</si>
  <si>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</si>
  <si>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</si>
  <si>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</si>
  <si>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</si>
  <si>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</si>
  <si>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</si>
  <si>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</si>
  <si>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</si>
  <si>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</si>
  <si>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</si>
  <si>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</si>
  <si>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</si>
  <si>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</si>
  <si>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</si>
  <si>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</si>
  <si>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</si>
  <si>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</si>
  <si>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</si>
  <si>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</si>
  <si>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</si>
  <si>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</si>
  <si>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</si>
  <si>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</si>
  <si>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</si>
  <si>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</si>
  <si>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</si>
  <si>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</si>
  <si>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</si>
  <si>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</si>
  <si>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</si>
  <si>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</si>
  <si>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</si>
  <si>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</si>
  <si>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</si>
  <si>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</si>
  <si>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</si>
  <si>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</si>
  <si>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</si>
  <si>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</si>
  <si>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</si>
  <si>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</si>
  <si>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</si>
  <si>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</si>
  <si>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</si>
  <si>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</si>
  <si>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</si>
  <si>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</si>
  <si>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</si>
  <si>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</si>
  <si>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</si>
  <si>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</si>
  <si>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</si>
  <si>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</si>
  <si>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</si>
  <si>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</si>
  <si>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</si>
  <si>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</si>
  <si>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</si>
  <si>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</si>
  <si>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</si>
  <si>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</si>
  <si>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</si>
  <si>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</si>
  <si>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</si>
  <si>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</si>
  <si>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</si>
  <si>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</si>
  <si>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</si>
  <si>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</si>
  <si>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</si>
  <si>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</si>
  <si>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</si>
  <si>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</si>
  <si>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</si>
  <si>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</si>
  <si>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</si>
  <si>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</si>
  <si>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</si>
  <si>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</si>
  <si>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</si>
  <si>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</si>
  <si>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</si>
  <si>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</si>
  <si>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</si>
  <si>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</si>
  <si>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</si>
  <si>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</si>
  <si>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</si>
  <si>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</si>
  <si>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</si>
  <si>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</si>
  <si>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</si>
  <si>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</si>
  <si>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</si>
  <si>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</si>
  <si>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</si>
  <si>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</si>
  <si>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</si>
  <si>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</si>
  <si>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</si>
  <si>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</si>
  <si>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</si>
  <si>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</si>
  <si>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</si>
  <si>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</si>
  <si>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</si>
  <si>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</si>
  <si>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</si>
  <si>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</si>
  <si>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</si>
  <si>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</si>
  <si>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</si>
  <si>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</si>
  <si>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</si>
  <si>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</si>
  <si>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</si>
  <si>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</si>
  <si>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</si>
  <si>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</si>
  <si>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</si>
  <si>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</si>
  <si>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</si>
  <si>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</si>
  <si>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</si>
  <si>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</si>
  <si>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</si>
  <si>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</si>
  <si>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</si>
  <si>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</si>
  <si>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</si>
  <si>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</si>
  <si>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</si>
  <si>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</si>
  <si>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</si>
  <si>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</si>
  <si>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</si>
  <si>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</si>
  <si>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</si>
  <si>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</si>
  <si>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</si>
  <si>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</si>
  <si>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</si>
  <si>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</si>
  <si>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</si>
  <si>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</si>
  <si>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</si>
  <si>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</si>
  <si>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</si>
  <si>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</si>
  <si>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</si>
  <si>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</si>
  <si>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</si>
  <si>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</si>
  <si>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</si>
  <si>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</si>
  <si>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</si>
  <si>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</si>
  <si>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</si>
  <si>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</si>
  <si>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</si>
  <si>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</si>
  <si>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</si>
  <si>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</si>
  <si>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</si>
  <si>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</si>
  <si>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</si>
  <si>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</si>
  <si>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</si>
  <si>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</si>
  <si>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</si>
  <si>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</si>
  <si>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</si>
  <si>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</si>
  <si>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</si>
  <si>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</si>
  <si>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</si>
  <si>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</si>
  <si>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</si>
  <si>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</si>
  <si>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</si>
  <si>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</si>
  <si>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</si>
  <si>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</si>
  <si>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</si>
  <si>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</si>
  <si>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</si>
  <si>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</si>
  <si>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</si>
  <si>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</si>
  <si>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</si>
  <si>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</si>
  <si>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</si>
  <si>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</si>
  <si>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</si>
  <si>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</si>
  <si>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</si>
  <si>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</si>
  <si>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</si>
  <si>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</si>
  <si>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</si>
  <si>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</si>
  <si>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</si>
  <si>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</si>
  <si>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</si>
  <si>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</si>
  <si>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</si>
  <si>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</si>
  <si>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</si>
  <si>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</si>
  <si>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</si>
  <si>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</si>
  <si>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</si>
  <si>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</si>
  <si>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</si>
  <si>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</si>
  <si>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</si>
  <si>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</si>
  <si>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</si>
  <si>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</si>
  <si>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</si>
  <si>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</si>
  <si>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</si>
  <si>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</si>
  <si>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</si>
  <si>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</si>
  <si>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</si>
  <si>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</si>
  <si>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</si>
  <si>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</si>
  <si>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</si>
  <si>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</si>
  <si>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</si>
  <si>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</si>
  <si>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</si>
  <si>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</si>
  <si>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</si>
  <si>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</si>
  <si>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</si>
  <si>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</si>
  <si>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</si>
  <si>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</si>
  <si>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</si>
  <si>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</si>
  <si>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</si>
  <si>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</si>
  <si>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</si>
  <si>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</si>
  <si>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</si>
  <si>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</si>
  <si>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</si>
  <si>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</si>
  <si>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</si>
  <si>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</si>
  <si>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</si>
  <si>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</si>
  <si>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</si>
  <si>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</si>
  <si>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</si>
  <si>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</si>
  <si>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</si>
  <si>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</si>
  <si>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</si>
  <si>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</si>
  <si>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</si>
  <si>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</si>
  <si>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</si>
  <si>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</si>
  <si>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</si>
  <si>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</si>
  <si>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</si>
  <si>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</si>
  <si>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</si>
  <si>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</si>
  <si>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</si>
  <si>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</si>
  <si>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</si>
  <si>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</si>
  <si>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</si>
  <si>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</si>
  <si>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</si>
  <si>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</si>
  <si>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</si>
  <si>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</si>
  <si>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</si>
  <si>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</si>
  <si>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</si>
  <si>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</si>
  <si>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</si>
  <si>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</si>
  <si>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</si>
  <si>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</si>
  <si>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</si>
  <si>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</si>
  <si>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</si>
  <si>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</si>
  <si>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</si>
  <si>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</si>
  <si>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</si>
  <si>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</si>
  <si>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</si>
  <si>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</si>
  <si>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</si>
  <si>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</si>
  <si>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</si>
  <si>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</si>
  <si>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</si>
  <si>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</si>
  <si>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</si>
  <si>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</si>
  <si>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</si>
  <si>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</si>
  <si>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</si>
  <si>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</si>
  <si>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</si>
  <si>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</si>
  <si>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</si>
  <si>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</si>
  <si>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</si>
  <si>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</si>
  <si>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</si>
  <si>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</si>
  <si>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</si>
  <si>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</si>
  <si>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</si>
  <si>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</si>
  <si>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</si>
  <si>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</si>
  <si>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</si>
  <si>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</si>
  <si>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</si>
  <si>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</si>
  <si>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</si>
  <si>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</si>
  <si>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</si>
  <si>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</si>
  <si>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</si>
  <si>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</si>
  <si>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</si>
  <si>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</si>
  <si>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</si>
  <si>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</si>
  <si>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</si>
  <si>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</si>
  <si>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</si>
  <si>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</si>
  <si>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</si>
  <si>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</si>
  <si>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</si>
  <si>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</si>
  <si>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</si>
  <si>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</si>
  <si>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</si>
  <si>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</si>
  <si>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</si>
  <si>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</si>
  <si>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</si>
  <si>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</si>
  <si>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</si>
  <si>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</si>
  <si>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</si>
  <si>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</si>
  <si>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</si>
  <si>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</si>
  <si>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</si>
  <si>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</si>
  <si>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</si>
  <si>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</si>
  <si>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</si>
  <si>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</si>
  <si>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</si>
  <si>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</si>
  <si>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</si>
  <si>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</si>
  <si>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</si>
  <si>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</si>
  <si>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</si>
  <si>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</si>
  <si>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</si>
  <si>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</si>
  <si>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</si>
  <si>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</si>
  <si>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</si>
  <si>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</si>
  <si>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</si>
  <si>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</si>
  <si>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</si>
  <si>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</si>
  <si>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</si>
  <si>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</si>
  <si>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</si>
  <si>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</si>
  <si>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</si>
  <si>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</si>
  <si>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</si>
  <si>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</si>
  <si>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</si>
  <si>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</si>
  <si>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</si>
  <si>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</si>
  <si>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</si>
  <si>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</si>
  <si>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</si>
  <si>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</si>
  <si>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</si>
  <si>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</si>
  <si>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</si>
  <si>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</si>
  <si>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</si>
  <si>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</si>
  <si>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</si>
  <si>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</si>
  <si>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</si>
  <si>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</si>
  <si>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</si>
  <si>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</si>
  <si>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</si>
  <si>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</si>
  <si>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</si>
  <si>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</si>
  <si>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</si>
  <si>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</si>
  <si>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</si>
  <si>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</si>
  <si>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</si>
  <si>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</si>
  <si>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</si>
  <si>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</si>
  <si>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</si>
  <si>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</si>
  <si>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</si>
  <si>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</si>
  <si>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</si>
  <si>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</si>
  <si>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</si>
  <si>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</si>
  <si>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</si>
  <si>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</si>
  <si>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</si>
  <si>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</si>
  <si>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</si>
  <si>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</si>
  <si>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</si>
  <si>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</si>
  <si>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</si>
  <si>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</si>
  <si>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</si>
  <si>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</si>
  <si>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</si>
  <si>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</si>
  <si>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</si>
  <si>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</si>
  <si>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</si>
  <si>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</si>
  <si>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</si>
  <si>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</si>
  <si>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</si>
  <si>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</si>
  <si>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</si>
  <si>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</si>
  <si>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</si>
  <si>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</si>
  <si>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</si>
  <si>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</si>
  <si>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</si>
  <si>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</si>
  <si>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</si>
  <si>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</si>
  <si>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</si>
  <si>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</si>
  <si>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</si>
  <si>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</si>
  <si>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</si>
  <si>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</si>
  <si>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</si>
  <si>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</si>
  <si>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</si>
  <si>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</si>
  <si>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</si>
  <si>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</si>
  <si>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</si>
  <si>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</si>
  <si>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</si>
  <si>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</si>
  <si>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</si>
  <si>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</si>
  <si>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</si>
  <si>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</si>
  <si>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</si>
  <si>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</si>
  <si>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</si>
  <si>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</si>
  <si>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</si>
  <si>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</si>
  <si>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</si>
  <si>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</si>
  <si>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</si>
  <si>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</si>
  <si>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</si>
  <si>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</si>
  <si>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</si>
  <si>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</si>
  <si>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</si>
  <si>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</si>
  <si>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</si>
  <si>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</si>
  <si>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</si>
  <si>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</si>
  <si>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</si>
  <si>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</si>
  <si>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</si>
  <si>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</si>
  <si>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</si>
  <si>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</si>
  <si>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</si>
  <si>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</si>
  <si>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</si>
  <si>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</si>
  <si>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</si>
  <si>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</si>
  <si>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</si>
  <si>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</si>
  <si>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</si>
  <si>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</si>
  <si>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</si>
  <si>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</si>
  <si>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</si>
  <si>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</si>
  <si>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</si>
  <si>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</si>
  <si>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</si>
  <si>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</si>
  <si>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</si>
  <si>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</si>
  <si>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</si>
  <si>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</si>
  <si>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</si>
  <si>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</si>
  <si>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</si>
  <si>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</si>
  <si>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</si>
  <si>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</si>
  <si>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</si>
  <si>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</si>
  <si>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</si>
  <si>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</si>
  <si>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</si>
  <si>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</si>
  <si>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</si>
  <si>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</si>
  <si>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</si>
  <si>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</si>
  <si>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</si>
  <si>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</si>
  <si>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</si>
  <si>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</si>
  <si>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</si>
  <si>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</si>
  <si>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</si>
  <si>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</si>
  <si>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</si>
  <si>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</si>
  <si>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</si>
  <si>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</si>
  <si>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</si>
  <si>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</si>
  <si>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</si>
  <si>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</si>
  <si>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</si>
  <si>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</si>
  <si>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</si>
  <si>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</si>
  <si>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</si>
  <si>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</si>
  <si>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</si>
  <si>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</si>
  <si>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</si>
  <si>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</si>
  <si>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</si>
  <si>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</si>
  <si>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</si>
  <si>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</si>
  <si>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</si>
  <si>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</si>
  <si>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</si>
  <si>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</si>
  <si>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</si>
  <si>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</si>
  <si>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</si>
  <si>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</si>
  <si>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</si>
  <si>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</si>
  <si>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</si>
  <si>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</si>
  <si>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</si>
  <si>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</si>
  <si>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</si>
  <si>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</si>
  <si>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</si>
  <si>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</si>
  <si>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</si>
  <si>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</si>
  <si>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</si>
  <si>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</si>
  <si>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</si>
  <si>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</si>
  <si>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</si>
  <si>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</si>
  <si>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</si>
  <si>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</si>
  <si>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</si>
  <si>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</si>
  <si>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</si>
  <si>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</si>
  <si>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</si>
  <si>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</si>
  <si>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</si>
  <si>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</si>
  <si>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</si>
  <si>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</si>
  <si>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</si>
  <si>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</si>
  <si>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</si>
  <si>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</si>
  <si>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</si>
  <si>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</si>
  <si>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</si>
  <si>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</si>
  <si>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</si>
  <si>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</si>
  <si>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</si>
  <si>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</si>
  <si>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</si>
  <si>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</si>
  <si>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</si>
  <si>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</si>
  <si>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</si>
  <si>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</si>
  <si>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</si>
  <si>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</si>
  <si>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</si>
  <si>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</si>
  <si>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</si>
  <si>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</si>
  <si>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</si>
  <si>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</si>
  <si>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</si>
  <si>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</si>
  <si>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</si>
  <si>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</si>
  <si>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</si>
  <si>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</si>
  <si>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</si>
  <si>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</si>
  <si>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</si>
  <si>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</si>
  <si>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</si>
  <si>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</si>
  <si>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</si>
  <si>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</si>
  <si>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</si>
  <si>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</si>
  <si>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</si>
  <si>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</si>
  <si>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</si>
  <si>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</si>
  <si>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</si>
  <si>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</si>
  <si>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</si>
  <si>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</si>
  <si>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</si>
  <si>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</si>
  <si>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</si>
  <si>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</si>
  <si>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</si>
  <si>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</si>
  <si>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</si>
  <si>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</si>
  <si>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</si>
  <si>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</si>
  <si>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</si>
  <si>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</si>
  <si>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</si>
  <si>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</si>
  <si>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</si>
  <si>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</si>
  <si>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</si>
  <si>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</si>
  <si>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</si>
  <si>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</si>
  <si>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</si>
  <si>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</si>
  <si>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</si>
  <si>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</si>
  <si>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</si>
  <si>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</si>
  <si>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</si>
  <si>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</si>
  <si>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</si>
  <si>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</si>
  <si>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</si>
  <si>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</si>
  <si>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</si>
  <si>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</si>
  <si>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</si>
  <si>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</si>
  <si>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</si>
  <si>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</si>
  <si>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</si>
  <si>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</si>
  <si>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</si>
  <si>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</si>
  <si>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</si>
  <si>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</si>
  <si>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</si>
  <si>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</si>
  <si>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</si>
  <si>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</si>
  <si>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</si>
  <si>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</si>
  <si>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</si>
  <si>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</si>
  <si>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</si>
  <si>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</si>
  <si>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</si>
  <si>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</si>
  <si>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</si>
  <si>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</si>
  <si>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</si>
  <si>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</si>
  <si>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</si>
  <si>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</si>
  <si>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</si>
  <si>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</si>
  <si>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</si>
  <si>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</si>
  <si>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</si>
  <si>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</si>
  <si>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</si>
  <si>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</si>
  <si>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</si>
  <si>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</si>
  <si>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</si>
  <si>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</si>
  <si>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</si>
  <si>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</si>
  <si>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</si>
  <si>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</si>
  <si>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</si>
  <si>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</si>
  <si>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</si>
  <si>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</si>
  <si>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</si>
  <si>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</si>
  <si>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</si>
  <si>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</si>
  <si>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</si>
  <si>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</si>
  <si>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</si>
  <si>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</si>
  <si>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</si>
  <si>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</si>
  <si>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</si>
  <si>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</si>
  <si>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</si>
  <si>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</si>
  <si>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</si>
  <si>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</si>
  <si>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</si>
  <si>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</si>
  <si>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</si>
  <si>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</si>
  <si>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</si>
  <si>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</si>
  <si>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</si>
  <si>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</si>
  <si>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</si>
  <si>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</si>
  <si>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</si>
  <si>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</si>
  <si>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</si>
  <si>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</si>
  <si>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</si>
  <si>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</si>
  <si>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</si>
  <si>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</si>
  <si>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</si>
  <si>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</si>
  <si>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</si>
  <si>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</si>
  <si>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</si>
  <si>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</si>
  <si>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</si>
  <si>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</si>
  <si>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</si>
  <si>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</si>
  <si>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</si>
  <si>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</si>
  <si>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</si>
  <si>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</si>
  <si>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</si>
  <si>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</si>
  <si>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</si>
  <si>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</si>
  <si>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</si>
  <si>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</si>
  <si>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</si>
  <si>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</si>
  <si>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</si>
  <si>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</si>
  <si>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</si>
  <si>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</si>
  <si>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</si>
  <si>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</si>
  <si>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</si>
  <si>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</si>
  <si>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</si>
  <si>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</si>
  <si>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</si>
  <si>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</si>
  <si>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</si>
  <si>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</si>
  <si>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</si>
  <si>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</si>
  <si>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</si>
  <si>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</si>
  <si>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</si>
  <si>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</si>
  <si>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</si>
  <si>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</si>
  <si>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</si>
  <si>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</si>
  <si>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</si>
  <si>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</si>
  <si>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</si>
  <si>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</si>
  <si>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</si>
  <si>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</si>
  <si>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</si>
  <si>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</si>
  <si>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</si>
  <si>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</si>
  <si>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</si>
  <si>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</si>
  <si>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</si>
  <si>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</si>
  <si>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</si>
  <si>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</si>
  <si>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</si>
  <si>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</si>
  <si>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</si>
  <si>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</si>
  <si>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</si>
  <si>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</si>
  <si>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</si>
  <si>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</si>
  <si>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</si>
  <si>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</si>
  <si>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</si>
  <si>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</si>
  <si>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</si>
  <si>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</si>
  <si>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</si>
  <si>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</si>
  <si>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</si>
  <si>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</si>
  <si>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</si>
  <si>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</si>
  <si>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</si>
  <si>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</si>
  <si>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</si>
  <si>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</si>
  <si>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</si>
  <si>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</si>
  <si>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</si>
  <si>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</si>
  <si>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</si>
  <si>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</si>
  <si>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</si>
  <si>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</si>
  <si>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</si>
  <si>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</si>
  <si>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</si>
  <si>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</si>
  <si>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</si>
  <si>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</si>
  <si>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</si>
  <si>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</si>
  <si>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</si>
  <si>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</si>
  <si>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</si>
  <si>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</si>
  <si>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</si>
  <si>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</si>
  <si>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</si>
  <si>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</si>
  <si>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</si>
  <si>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</si>
  <si>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</si>
  <si>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</si>
  <si>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</si>
  <si>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</si>
  <si>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</si>
  <si>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</si>
  <si>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</si>
  <si>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</si>
  <si>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</si>
  <si>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</si>
  <si>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</si>
  <si>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</si>
  <si>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</si>
  <si>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</si>
  <si>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</si>
  <si>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</si>
  <si>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</si>
  <si>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</si>
  <si>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</si>
  <si>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</si>
  <si>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</si>
  <si>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</si>
  <si>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</si>
  <si>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</si>
  <si>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</si>
  <si>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</si>
  <si>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</si>
  <si>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</si>
  <si>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</si>
  <si>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</si>
  <si>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</si>
  <si>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</si>
  <si>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</si>
  <si>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</si>
  <si>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</si>
  <si>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</si>
  <si>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</si>
  <si>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</si>
  <si>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</si>
  <si>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</si>
  <si>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</si>
  <si>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</si>
  <si>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</si>
  <si>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</si>
  <si>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</si>
  <si>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</si>
  <si>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</si>
  <si>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</si>
  <si>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</si>
  <si>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</si>
  <si>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</si>
  <si>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</si>
  <si>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</si>
  <si>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</si>
  <si>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</si>
  <si>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</si>
  <si>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</si>
  <si>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</si>
  <si>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</si>
  <si>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</si>
  <si>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</si>
  <si>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</si>
  <si>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</si>
  <si>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</si>
  <si>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</si>
  <si>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</si>
  <si>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</si>
  <si>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</si>
  <si>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</si>
  <si>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</si>
  <si>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</si>
  <si>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</si>
  <si>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</si>
  <si>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</si>
  <si>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</si>
  <si>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</si>
  <si>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</si>
  <si>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</si>
  <si>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</si>
  <si>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</si>
  <si>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</si>
  <si>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</si>
  <si>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</si>
  <si>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</si>
  <si>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</si>
  <si>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</si>
  <si>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</si>
  <si>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</si>
  <si>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</si>
  <si>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</si>
  <si>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</si>
  <si>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</si>
  <si>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</si>
  <si>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</si>
  <si>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</si>
  <si>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</si>
  <si>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</si>
  <si>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</si>
  <si>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</si>
  <si>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</si>
  <si>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</si>
  <si>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</si>
  <si>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</si>
  <si>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</si>
  <si>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</si>
  <si>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</si>
  <si>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</si>
  <si>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</si>
  <si>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</si>
  <si>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</si>
  <si>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</si>
  <si>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</si>
  <si>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</si>
  <si>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</si>
  <si>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</si>
  <si>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</si>
  <si>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</si>
  <si>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</si>
  <si>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</si>
  <si>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</si>
  <si>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</si>
  <si>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</si>
  <si>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</si>
  <si>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</si>
  <si>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</si>
  <si>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</si>
  <si>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</si>
  <si>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</si>
  <si>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</si>
  <si>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</si>
  <si>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</si>
  <si>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</si>
  <si>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</si>
  <si>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</si>
  <si>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</si>
  <si>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</si>
  <si>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</si>
  <si>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</si>
  <si>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</si>
  <si>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</si>
  <si>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</si>
  <si>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</si>
  <si>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</si>
  <si>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</si>
  <si>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</si>
  <si>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</si>
  <si>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</si>
  <si>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</si>
  <si>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</si>
  <si>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</si>
  <si>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</si>
  <si>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</si>
  <si>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</si>
  <si>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</si>
  <si>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</si>
  <si>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</si>
  <si>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</si>
  <si>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</si>
  <si>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</si>
  <si>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</si>
  <si>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</si>
  <si>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</si>
  <si>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</si>
  <si>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</si>
  <si>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</si>
  <si>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</si>
  <si>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</si>
  <si>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</si>
  <si>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</si>
  <si>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</si>
  <si>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</si>
  <si>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</si>
  <si>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</si>
  <si>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</si>
  <si>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</si>
  <si>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</si>
  <si>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</si>
  <si>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</si>
  <si>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</si>
  <si>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</si>
  <si>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</si>
  <si>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</si>
  <si>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</si>
  <si>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</si>
  <si>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</si>
  <si>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</si>
  <si>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</si>
  <si>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</si>
  <si>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</si>
  <si>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</si>
  <si>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</si>
  <si>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</si>
  <si>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</si>
  <si>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</si>
  <si>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</si>
  <si>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</si>
  <si>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</si>
  <si>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</si>
  <si>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</si>
  <si>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</si>
  <si>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</si>
  <si>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</si>
  <si>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</si>
  <si>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</si>
  <si>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</si>
  <si>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</si>
  <si>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</si>
  <si>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</si>
  <si>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</si>
  <si>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</si>
  <si>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</si>
  <si>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</si>
  <si>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</si>
  <si>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</si>
  <si>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</si>
  <si>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</si>
  <si>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</si>
  <si>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</si>
  <si>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</si>
  <si>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</si>
  <si>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</si>
  <si>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</si>
  <si>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</si>
  <si>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</si>
  <si>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</si>
  <si>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</si>
  <si>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</si>
  <si>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</si>
  <si>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</si>
  <si>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</si>
  <si>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</si>
  <si>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</si>
  <si>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</si>
  <si>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</si>
  <si>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</si>
  <si>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</si>
  <si>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</si>
  <si>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</si>
  <si>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</si>
  <si>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</si>
  <si>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</si>
  <si>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</si>
  <si>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</si>
  <si>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</si>
  <si>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</si>
  <si>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</si>
  <si>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</si>
  <si>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</si>
  <si>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</si>
  <si>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</si>
  <si>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</si>
  <si>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</si>
  <si>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</si>
  <si>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</si>
  <si>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</si>
  <si>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</si>
  <si>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</si>
  <si>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</si>
  <si>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</si>
  <si>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</si>
  <si>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</si>
  <si>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</si>
  <si>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</si>
  <si>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</si>
  <si>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</si>
  <si>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</si>
  <si>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</si>
  <si>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</si>
  <si>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</si>
  <si>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</si>
  <si>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</si>
  <si>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</si>
  <si>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</si>
  <si>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</si>
  <si>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</si>
  <si>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</si>
  <si>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</si>
  <si>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</si>
  <si>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</si>
  <si>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</si>
  <si>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</si>
  <si>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</si>
  <si>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</si>
  <si>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</si>
  <si>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</si>
  <si>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</si>
  <si>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</si>
  <si>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</si>
  <si>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</si>
  <si>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</si>
  <si>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</si>
  <si>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</si>
  <si>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</si>
  <si>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</si>
  <si>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</si>
  <si>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</si>
  <si>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</si>
  <si>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</si>
  <si>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</si>
  <si>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</si>
  <si>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</si>
  <si>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</si>
  <si>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</si>
  <si>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</si>
  <si>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</si>
  <si>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</si>
  <si>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</si>
  <si>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</si>
  <si>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</si>
  <si>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</si>
  <si>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</si>
  <si>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</si>
  <si>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</si>
  <si>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</si>
  <si>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</si>
  <si>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</si>
  <si>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</si>
  <si>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</si>
  <si>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</si>
  <si>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</si>
  <si>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</si>
  <si>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</si>
  <si>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</si>
  <si>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</si>
  <si>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</si>
  <si>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</si>
  <si>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</si>
  <si>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</si>
  <si>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</si>
  <si>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</si>
  <si>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</si>
  <si>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</si>
  <si>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</si>
  <si>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</si>
  <si>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</si>
  <si>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</si>
  <si>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</si>
  <si>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</si>
  <si>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</si>
  <si>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</si>
  <si>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</si>
  <si>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</si>
  <si>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</si>
  <si>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</si>
  <si>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</si>
  <si>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</si>
  <si>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</si>
  <si>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</si>
  <si>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</si>
  <si>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</si>
  <si>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</si>
  <si>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</si>
  <si>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</si>
  <si>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</si>
  <si>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</si>
  <si>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</si>
  <si>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</si>
  <si>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</si>
  <si>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</si>
  <si>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</si>
  <si>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</si>
  <si>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</si>
  <si>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</si>
  <si>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</si>
  <si>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</si>
  <si>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</si>
  <si>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</si>
  <si>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</si>
  <si>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</si>
  <si>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</si>
  <si>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</si>
  <si>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</si>
  <si>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</si>
  <si>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</si>
  <si>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</si>
  <si>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</si>
  <si>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</si>
  <si>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</si>
  <si>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</si>
  <si>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</si>
  <si>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</si>
  <si>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</si>
  <si>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</si>
  <si>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</si>
  <si>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</si>
  <si>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</si>
  <si>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</si>
  <si>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</si>
  <si>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</si>
  <si>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</si>
  <si>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</si>
  <si>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</si>
  <si>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</si>
  <si>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</si>
  <si>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</si>
  <si>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</si>
  <si>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</si>
  <si>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</si>
  <si>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</si>
  <si>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</si>
  <si>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</si>
  <si>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</si>
  <si>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</si>
  <si>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</si>
  <si>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</si>
  <si>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</si>
  <si>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</si>
  <si>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</si>
  <si>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</si>
  <si>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</si>
  <si>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</si>
  <si>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</si>
  <si>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</si>
  <si>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</si>
  <si>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</si>
  <si>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</si>
  <si>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</si>
  <si>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</si>
  <si>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</si>
  <si>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</si>
  <si>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</si>
  <si>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</si>
  <si>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</si>
  <si>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</si>
  <si>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</si>
  <si>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</si>
  <si>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</si>
  <si>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</si>
  <si>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</si>
  <si>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</si>
  <si>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</si>
  <si>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</si>
  <si>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</si>
  <si>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</si>
  <si>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</si>
  <si>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</si>
  <si>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</si>
  <si>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</si>
  <si>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</si>
  <si>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</si>
  <si>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</si>
  <si>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</si>
  <si>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</si>
  <si>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</si>
  <si>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</si>
  <si>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</si>
  <si>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</si>
  <si>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</si>
  <si>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</si>
  <si>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</si>
  <si>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</si>
  <si>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</si>
  <si>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</si>
  <si>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</si>
  <si>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</si>
  <si>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</si>
  <si>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</si>
  <si>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</si>
  <si>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</si>
  <si>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</si>
  <si>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</si>
  <si>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</si>
  <si>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</si>
  <si>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</si>
  <si>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</si>
  <si>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</si>
  <si>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</si>
  <si>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</si>
  <si>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</si>
  <si>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</si>
  <si>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</si>
  <si>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</si>
  <si>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</si>
  <si>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</si>
  <si>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</si>
  <si>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</si>
  <si>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</si>
  <si>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</si>
  <si>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</si>
  <si>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</si>
  <si>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</si>
  <si>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</si>
  <si>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</si>
  <si>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</si>
  <si>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</si>
  <si>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</si>
  <si>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</si>
  <si>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</si>
  <si>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</si>
  <si>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</si>
  <si>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</si>
  <si>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</si>
  <si>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</si>
  <si>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</si>
  <si>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</si>
  <si>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</si>
  <si>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</si>
  <si>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</si>
  <si>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</si>
  <si>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</si>
  <si>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</si>
  <si>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</si>
  <si>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</si>
  <si>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</si>
  <si>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</si>
  <si>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</si>
  <si>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</si>
  <si>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</si>
  <si>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</si>
  <si>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</si>
  <si>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</si>
  <si>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</si>
  <si>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</si>
  <si>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</si>
  <si>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</si>
  <si>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</si>
  <si>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</si>
  <si>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</si>
  <si>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</si>
  <si>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</si>
  <si>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</si>
  <si>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</si>
  <si>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</si>
  <si>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</si>
  <si>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</si>
  <si>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</si>
  <si>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</si>
  <si>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</si>
  <si>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</si>
  <si>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</si>
  <si>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</si>
  <si>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</si>
  <si>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</si>
  <si>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</si>
  <si>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</si>
  <si>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</si>
  <si>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</si>
  <si>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</si>
  <si>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</si>
  <si>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</si>
  <si>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</si>
  <si>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</si>
  <si>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</si>
  <si>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</si>
  <si>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</si>
  <si>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</si>
  <si>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</si>
  <si>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</si>
  <si>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</si>
  <si>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</si>
  <si>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</si>
  <si>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</si>
  <si>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</si>
  <si>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</si>
  <si>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</si>
  <si>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</si>
  <si>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</si>
  <si>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</si>
  <si>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</si>
  <si>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</si>
  <si>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</si>
  <si>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</si>
  <si>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</si>
  <si>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</si>
  <si>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</si>
  <si>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</si>
  <si>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</si>
  <si>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</si>
  <si>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</si>
  <si>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</si>
  <si>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</si>
  <si>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</si>
  <si>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</si>
  <si>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</si>
  <si>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</si>
  <si>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</si>
  <si>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</si>
  <si>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</si>
  <si>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</si>
  <si>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</si>
  <si>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</si>
  <si>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</si>
  <si>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</si>
  <si>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</si>
  <si>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</si>
  <si>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</si>
  <si>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</si>
  <si>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</si>
  <si>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</si>
  <si>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</si>
  <si>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</si>
  <si>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</si>
  <si>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</si>
  <si>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</si>
  <si>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</si>
  <si>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</si>
  <si>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</si>
  <si>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</si>
  <si>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</si>
  <si>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</si>
  <si>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</si>
  <si>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</si>
  <si>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</si>
  <si>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</si>
  <si>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</si>
  <si>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</si>
  <si>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</si>
  <si>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</si>
  <si>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</si>
  <si>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</si>
  <si>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</si>
  <si>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</si>
  <si>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</si>
  <si>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</si>
  <si>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</si>
  <si>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</si>
  <si>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</si>
  <si>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</si>
  <si>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</si>
  <si>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</si>
  <si>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</si>
  <si>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</si>
  <si>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</si>
  <si>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</si>
  <si>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</si>
  <si>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</si>
  <si>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</si>
  <si>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</si>
  <si>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</si>
  <si>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</si>
  <si>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</si>
  <si>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</si>
  <si>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</si>
  <si>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</si>
  <si>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</si>
  <si>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</si>
  <si>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</si>
  <si>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</si>
  <si>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</si>
  <si>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</si>
  <si>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</si>
  <si>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</si>
  <si>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</si>
  <si>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</si>
  <si>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</si>
  <si>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</si>
  <si>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</si>
  <si>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</si>
  <si>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</si>
  <si>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</si>
  <si>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</si>
  <si>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</si>
  <si>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</si>
  <si>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</si>
  <si>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</si>
  <si>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</si>
  <si>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</si>
  <si>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</si>
  <si>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</si>
  <si>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</si>
  <si>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</si>
  <si>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</si>
  <si>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</si>
  <si>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</si>
  <si>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</si>
  <si>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</si>
  <si>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</si>
  <si>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</si>
  <si>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</si>
  <si>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</si>
  <si>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</si>
  <si>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</si>
  <si>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</si>
  <si>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</si>
  <si>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</si>
  <si>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</si>
  <si>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</si>
  <si>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</si>
  <si>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</si>
  <si>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</si>
  <si>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</si>
  <si>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</si>
  <si>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</si>
  <si>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</si>
  <si>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</si>
  <si>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</si>
  <si>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</si>
  <si>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</si>
  <si>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</si>
  <si>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</si>
  <si>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</si>
  <si>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</si>
  <si>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</si>
  <si>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</si>
  <si>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</si>
  <si>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</si>
  <si>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</si>
  <si>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</si>
  <si>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</si>
  <si>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</si>
  <si>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</si>
  <si>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</si>
  <si>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</si>
  <si>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</si>
  <si>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</si>
  <si>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</si>
  <si>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</si>
  <si>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</si>
  <si>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</si>
  <si>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</si>
  <si>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</si>
  <si>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</si>
  <si>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</si>
  <si>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</si>
  <si>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</si>
  <si>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</si>
  <si>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</si>
  <si>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</si>
  <si>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</si>
  <si>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</si>
  <si>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</si>
  <si>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</si>
  <si>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</si>
  <si>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</si>
  <si>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</si>
  <si>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</si>
  <si>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</si>
  <si>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</si>
  <si>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</si>
  <si>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</si>
  <si>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</si>
  <si>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</si>
  <si>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</si>
  <si>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</si>
  <si>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</si>
  <si>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</si>
  <si>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</si>
  <si>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</si>
  <si>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</si>
  <si>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</si>
  <si>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</si>
  <si>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</si>
  <si>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</si>
  <si>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</si>
  <si>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</si>
  <si>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</si>
  <si>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</si>
  <si>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</si>
  <si>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</si>
  <si>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</si>
  <si>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</si>
  <si>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</si>
  <si>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</si>
  <si>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</si>
  <si>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</si>
  <si>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</si>
  <si>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</si>
  <si>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</si>
  <si>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</si>
  <si>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</si>
  <si>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</si>
  <si>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</si>
  <si>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</si>
  <si>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</si>
  <si>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</si>
  <si>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</si>
  <si>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</si>
  <si>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</si>
  <si>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</si>
  <si>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</si>
  <si>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</si>
  <si>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</si>
  <si>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</si>
  <si>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</si>
  <si>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</si>
  <si>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</si>
  <si>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</si>
  <si>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</si>
  <si>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</si>
  <si>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</si>
  <si>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</si>
  <si>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</si>
  <si>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</si>
  <si>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</si>
  <si>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</si>
  <si>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</si>
  <si>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</si>
  <si>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</si>
  <si>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</si>
  <si>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</si>
  <si>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</si>
  <si>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</si>
  <si>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</si>
  <si>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</si>
  <si>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</si>
  <si>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</si>
  <si>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</si>
  <si>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</si>
  <si>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</si>
  <si>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</si>
  <si>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</si>
  <si>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</si>
  <si>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</si>
  <si>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</si>
  <si>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</si>
  <si>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</si>
  <si>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</si>
  <si>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</si>
  <si>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</si>
  <si>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</si>
  <si>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</si>
  <si>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</si>
  <si>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</si>
  <si>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</si>
  <si>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</si>
  <si>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</si>
  <si>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</si>
  <si>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</si>
  <si>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</si>
  <si>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</si>
  <si>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</si>
  <si>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</si>
  <si>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</si>
  <si>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</si>
  <si>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</si>
  <si>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</si>
  <si>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</si>
  <si>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</si>
  <si>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</si>
  <si>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</si>
  <si>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</si>
  <si>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</si>
  <si>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</si>
  <si>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</si>
  <si>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</si>
  <si>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</si>
  <si>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</si>
  <si>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</si>
  <si>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</si>
  <si>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</si>
  <si>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</si>
  <si>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</si>
  <si>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</si>
  <si>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</si>
  <si>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</si>
  <si>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</si>
  <si>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</si>
  <si>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</si>
  <si>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</si>
  <si>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</si>
  <si>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</si>
  <si>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</si>
  <si>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</si>
  <si>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</si>
  <si>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</si>
  <si>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</si>
  <si>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</si>
  <si>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</si>
  <si>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</si>
  <si>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</si>
  <si>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</si>
  <si>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</si>
  <si>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</si>
  <si>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</si>
  <si>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</si>
  <si>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</si>
  <si>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</si>
  <si>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</si>
  <si>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</si>
  <si>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</si>
  <si>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</si>
  <si>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</si>
  <si>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</si>
  <si>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</si>
  <si>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</si>
  <si>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</si>
  <si>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</si>
  <si>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</si>
  <si>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</si>
  <si>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</si>
  <si>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</si>
  <si>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</si>
  <si>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</si>
  <si>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</si>
  <si>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</si>
  <si>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</si>
  <si>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</si>
  <si>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</si>
  <si>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</si>
  <si>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</si>
  <si>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</si>
  <si>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</si>
  <si>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</si>
  <si>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</si>
  <si>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</si>
  <si>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</si>
  <si>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</si>
  <si>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</si>
  <si>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</si>
  <si>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</si>
  <si>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</si>
  <si>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</si>
  <si>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</si>
  <si>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</si>
  <si>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</si>
  <si>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</si>
  <si>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</si>
  <si>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</si>
  <si>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</si>
  <si>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</si>
  <si>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</si>
  <si>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</si>
  <si>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</si>
  <si>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</si>
  <si>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</si>
  <si>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</si>
  <si>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</si>
  <si>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</si>
  <si>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</si>
  <si>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</si>
  <si>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</si>
  <si>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</si>
  <si>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</si>
  <si>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</si>
  <si>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</si>
  <si>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</si>
  <si>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</si>
  <si>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</si>
  <si>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</si>
  <si>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</si>
  <si>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</si>
  <si>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</si>
  <si>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</si>
  <si>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</si>
  <si>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</si>
  <si>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</si>
  <si>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</si>
  <si>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</si>
  <si>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</si>
  <si>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</si>
  <si>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</si>
  <si>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</si>
  <si>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</si>
  <si>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</si>
  <si>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</si>
  <si>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</si>
  <si>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</si>
  <si>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</si>
  <si>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</si>
  <si>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</si>
  <si>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</si>
  <si>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</si>
  <si>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</si>
  <si>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</si>
  <si>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</si>
  <si>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</si>
  <si>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</si>
  <si>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</si>
  <si>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</si>
  <si>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</si>
  <si>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</si>
  <si>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</si>
  <si>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</si>
  <si>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</si>
  <si>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</si>
  <si>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</si>
  <si>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</si>
  <si>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</si>
  <si>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</si>
  <si>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</si>
  <si>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</si>
  <si>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</si>
  <si>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</si>
  <si>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</si>
  <si>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</si>
  <si>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</si>
  <si>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</si>
  <si>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</si>
  <si>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</si>
  <si>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</si>
  <si>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</si>
  <si>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</si>
  <si>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</si>
  <si>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</si>
  <si>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</si>
  <si>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</si>
  <si>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</si>
  <si>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</si>
  <si>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</si>
  <si>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</si>
  <si>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</si>
  <si>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</si>
  <si>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</si>
  <si>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</si>
  <si>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</si>
  <si>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</si>
  <si>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</si>
  <si>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</si>
  <si>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</si>
  <si>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</si>
  <si>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</si>
  <si>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</si>
  <si>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</si>
  <si>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</si>
  <si>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</si>
  <si>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</si>
  <si>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</si>
  <si>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</si>
  <si>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</si>
  <si>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</si>
  <si>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</si>
  <si>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</si>
  <si>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</si>
  <si>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</si>
  <si>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</si>
  <si>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</si>
  <si>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</si>
  <si>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</si>
  <si>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</si>
  <si>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</si>
  <si>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</si>
  <si>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</si>
  <si>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</si>
  <si>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</si>
  <si>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</si>
  <si>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</si>
  <si>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</si>
  <si>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</si>
  <si>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</si>
  <si>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</si>
  <si>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</si>
  <si>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</si>
  <si>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</si>
  <si>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</si>
  <si>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</si>
  <si>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</si>
  <si>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</si>
  <si>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</si>
  <si>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</si>
  <si>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</si>
  <si>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</si>
  <si>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</si>
  <si>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</si>
  <si>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</si>
  <si>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</si>
  <si>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</si>
  <si>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</si>
  <si>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</si>
  <si>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</si>
  <si>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</si>
  <si>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</si>
  <si>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</si>
  <si>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</si>
  <si>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</si>
  <si>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</si>
  <si>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</si>
  <si>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</si>
  <si>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</si>
  <si>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</si>
  <si>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</si>
  <si>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</si>
  <si>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</si>
  <si>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</si>
  <si>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</si>
  <si>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</si>
  <si>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</si>
  <si>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</si>
  <si>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</si>
  <si>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</si>
  <si>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</si>
  <si>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</si>
  <si>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</si>
  <si>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</si>
  <si>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</si>
  <si>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IF(Crowdfunding!F2, "successful", Crowdfunding!G2, "&gt;0")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</si>
</sst>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5-4138-85B6-F681BEFEFE6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5-4138-85B6-F681BEFEFE6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5-4138-85B6-F681BEFEFE6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5-4138-85B6-F681BEFEF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864656"/>
        <c:axId val="1967864176"/>
      </c:barChart>
      <c:catAx>
        <c:axId val="19678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4176"/>
        <c:crosses val="autoZero"/>
        <c:auto val="1"/>
        <c:lblAlgn val="ctr"/>
        <c:lblOffset val="100"/>
        <c:noMultiLvlLbl val="0"/>
      </c:catAx>
      <c:valAx>
        <c:axId val="1967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2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5-4F8D-988C-A92F0E3014D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5-4F8D-988C-A92F0E3014D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5-4F8D-988C-A92F0E3014D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5-4F8D-988C-A92F0E30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624912"/>
        <c:axId val="688625872"/>
      </c:barChart>
      <c:catAx>
        <c:axId val="688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25872"/>
        <c:crosses val="autoZero"/>
        <c:auto val="1"/>
        <c:lblAlgn val="ctr"/>
        <c:lblOffset val="100"/>
        <c:noMultiLvlLbl val="0"/>
      </c:catAx>
      <c:valAx>
        <c:axId val="6886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5-4033-BBA7-22C8DD57CF6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5-4033-BBA7-22C8DD57CF6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5-4033-BBA7-22C8DD57CF6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5-4033-BBA7-22C8DD57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605712"/>
        <c:axId val="688609072"/>
      </c:lineChart>
      <c:catAx>
        <c:axId val="6886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09072"/>
        <c:crosses val="autoZero"/>
        <c:auto val="1"/>
        <c:lblAlgn val="ctr"/>
        <c:lblOffset val="100"/>
        <c:noMultiLvlLbl val="0"/>
      </c:catAx>
      <c:valAx>
        <c:axId val="6886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General</c:formatCode>
                <c:ptCount val="12"/>
                <c:pt idx="0">
                  <c:v>58.82</c:v>
                </c:pt>
                <c:pt idx="1">
                  <c:v>60.25</c:v>
                </c:pt>
                <c:pt idx="2">
                  <c:v>52.06</c:v>
                </c:pt>
                <c:pt idx="3">
                  <c:v>44.44</c:v>
                </c:pt>
                <c:pt idx="4">
                  <c:v>100</c:v>
                </c:pt>
                <c:pt idx="5">
                  <c:v>100</c:v>
                </c:pt>
                <c:pt idx="6">
                  <c:v>78.569999999999993</c:v>
                </c:pt>
                <c:pt idx="7">
                  <c:v>100</c:v>
                </c:pt>
                <c:pt idx="8">
                  <c:v>66.67</c:v>
                </c:pt>
                <c:pt idx="9">
                  <c:v>78.569999999999993</c:v>
                </c:pt>
                <c:pt idx="10">
                  <c:v>72.73</c:v>
                </c:pt>
                <c:pt idx="11">
                  <c:v>37.380000000000003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0-4BCA-A7DB-3DAC32AD64D8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General</c:formatCode>
                <c:ptCount val="12"/>
                <c:pt idx="0">
                  <c:v>39.22</c:v>
                </c:pt>
                <c:pt idx="1">
                  <c:v>39.75</c:v>
                </c:pt>
                <c:pt idx="2">
                  <c:v>40</c:v>
                </c:pt>
                <c:pt idx="3">
                  <c:v>55.56</c:v>
                </c:pt>
                <c:pt idx="4">
                  <c:v>0</c:v>
                </c:pt>
                <c:pt idx="5">
                  <c:v>0</c:v>
                </c:pt>
                <c:pt idx="6">
                  <c:v>21.43</c:v>
                </c:pt>
                <c:pt idx="7">
                  <c:v>0</c:v>
                </c:pt>
                <c:pt idx="8">
                  <c:v>25</c:v>
                </c:pt>
                <c:pt idx="9">
                  <c:v>21.43</c:v>
                </c:pt>
                <c:pt idx="10">
                  <c:v>27.27</c:v>
                </c:pt>
                <c:pt idx="11">
                  <c:v>53.44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0-4BCA-A7DB-3DAC32AD64D8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General</c:formatCode>
                <c:ptCount val="12"/>
                <c:pt idx="0">
                  <c:v>1.96</c:v>
                </c:pt>
                <c:pt idx="1">
                  <c:v>0</c:v>
                </c:pt>
                <c:pt idx="2">
                  <c:v>7.94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</c:v>
                </c:pt>
                <c:pt idx="9">
                  <c:v>0</c:v>
                </c:pt>
                <c:pt idx="10">
                  <c:v>0</c:v>
                </c:pt>
                <c:pt idx="11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0-4BCA-A7DB-3DAC32AD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16848"/>
        <c:axId val="93859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F0-4BCA-A7DB-3DAC32AD64D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F0-4BCA-A7DB-3DAC32AD64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0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F0-4BCA-A7DB-3DAC32AD64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317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F0-4BCA-A7DB-3DAC32AD64D8}"/>
                  </c:ext>
                </c:extLst>
              </c15:ser>
            </c15:filteredLineSeries>
          </c:ext>
        </c:extLst>
      </c:lineChart>
      <c:catAx>
        <c:axId val="9386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99568"/>
        <c:crosses val="autoZero"/>
        <c:auto val="1"/>
        <c:lblAlgn val="ctr"/>
        <c:lblOffset val="100"/>
        <c:noMultiLvlLbl val="0"/>
      </c:catAx>
      <c:valAx>
        <c:axId val="938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</xdr:row>
      <xdr:rowOff>184150</xdr:rowOff>
    </xdr:from>
    <xdr:to>
      <xdr:col>13</xdr:col>
      <xdr:colOff>260350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6FC6-B2AD-CFE9-E892-F568125E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</xdr:row>
      <xdr:rowOff>120650</xdr:rowOff>
    </xdr:from>
    <xdr:to>
      <xdr:col>15</xdr:col>
      <xdr:colOff>152400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B77A-8234-E783-903D-E74E11044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120650</xdr:rowOff>
    </xdr:from>
    <xdr:to>
      <xdr:col>12</xdr:col>
      <xdr:colOff>517525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3C889-64EA-6AA8-7B1D-61E0BBFC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331857</xdr:colOff>
      <xdr:row>0</xdr:row>
      <xdr:rowOff>173935</xdr:rowOff>
    </xdr:from>
    <xdr:to>
      <xdr:col>15</xdr:col>
      <xdr:colOff>270842</xdr:colOff>
      <xdr:row>14</xdr:row>
      <xdr:rowOff>161235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41149-83FD-DF37-1DEB-9A3E334B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" refreshedDate="45053.910281828707" createdVersion="8" refreshedVersion="8" minRefreshableVersion="3" recordCount="1000" xr:uid="{98A8D017-D6E2-4BD8-B15D-577FA4A2AB1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" refreshedDate="45053.93026666667" createdVersion="8" refreshedVersion="8" minRefreshableVersion="3" recordCount="1001" xr:uid="{9F667638-56DD-42E1-9B3B-01EFA4F2932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999999999999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8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8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2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1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2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7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1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8999999999999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3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4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2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00000000000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1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00000000000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9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9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8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7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3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4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7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3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7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7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8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5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999999999999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3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3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8000000000001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1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5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9999999999994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00000000000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4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000000000003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7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4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9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8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5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9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8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3999999999999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3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9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7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6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6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4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5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4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7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1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000000000000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7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6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99999999999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4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9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99999999999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9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7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7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6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4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7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000000000000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4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6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7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4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4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8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7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8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1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2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999999999998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2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6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3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0000000000003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89999999999998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4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6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1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5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000000000000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9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30000000000007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5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3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3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99999999999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1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9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7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999999999999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8999999999999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8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2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2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2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3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2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2999999999997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2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4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7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99999999999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000000000003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9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8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1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2999999999999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1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3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5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3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9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2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0999999999998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1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999999999999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8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0000000000006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29999999999998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3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2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0999999999998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80000000000007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3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0000000000003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9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6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4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9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6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3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6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9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7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9999999999997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1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6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6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4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2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000000000001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7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6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9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3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6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1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999999999999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8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000000000001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6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2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5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4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2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0000000000003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3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7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6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4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9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3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4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7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000000000005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9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8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39999999999995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8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00000000001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4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1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2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5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4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3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500000000000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8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6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1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29999999999997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5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3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999999999996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999999999999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399999999999999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99999999999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3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6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5000000000002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8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5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50000000000006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1999999999996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3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8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6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3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30000000000007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9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2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2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8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4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5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4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0000000000003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4999999999999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2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8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4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7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700000000000003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0000000000006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99999999999998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99999999999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000000000003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0999999999998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8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7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2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4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4999999999998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30000000000007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0000000000001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2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39999999999998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1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80000000000001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10000000000005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3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1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3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6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4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3000000000000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000000000003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6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5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2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7999999999999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1999999999999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3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9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999999999998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6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2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4000000000000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2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9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6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4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6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6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8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9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8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9999999999995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9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7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9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4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5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6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6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8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7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1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9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999999999999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6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5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8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6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7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00000000001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3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3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5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2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6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999999999999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00000000001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3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7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0000000000003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899999999999997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1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1000000000003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6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4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2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1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9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9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899999999999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4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7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1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5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8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6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1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30000000000007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6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8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7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5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6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6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3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000000000000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3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1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4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99999999999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4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7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29999999999997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10000000000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1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1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5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9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3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099999999999994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3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1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9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2999999999999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2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8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9999999999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9000000000002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9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4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8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8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1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4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6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2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4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5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7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9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999999999995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8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7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8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000000000002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4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80000000000007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000000000006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79999999999997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50000000000003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40000000000006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8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5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9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9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6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1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8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1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8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3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3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9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7999999999999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9999999999999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5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4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3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9999999999997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7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7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3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5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2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1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9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2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5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4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1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2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6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4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9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6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6000000000001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4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1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8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4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3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999999999997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1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4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1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3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6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3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2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8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999999999999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4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3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1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2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8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5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5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4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7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999999999999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8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8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2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1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2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1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899999999999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3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4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2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00000000000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1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00000000000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9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9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8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7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4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7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3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7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7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8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5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7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999999999999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3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7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3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800000000000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1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5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9999999999994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00000000000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4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000000000003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7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4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9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2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8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5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9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8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3999999999999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3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9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7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6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3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8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6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5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4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7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7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1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0000000000003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7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6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999999999997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4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9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99999999999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9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7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7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6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7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0000000000007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4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6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7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4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4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8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7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8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1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2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99999999999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2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6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3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0000000000003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89999999999998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4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6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8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1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5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0000000000003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9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3000000000000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5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3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3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99999999999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1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9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7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9999999999994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8999999999999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8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2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3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2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2999999999997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2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4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7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999999999999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00000000000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9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8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1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2999999999999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1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3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9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5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3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9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2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0999999999998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1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999999999999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8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0000000000006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29999999999998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3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2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0999999999998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8000000000000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3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0000000000003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9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6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4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9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6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3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6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9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2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7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9999999999997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8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1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6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6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4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1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2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000000000001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7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6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9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8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3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6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7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1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999999999999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8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000000000001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6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2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5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4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2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0000000000003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3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6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7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6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4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9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3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4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7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000000000005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9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8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39999999999995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8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00000000001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4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1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2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5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4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8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3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500000000000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8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6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1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29999999999997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5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3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999999999996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9999999999994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399999999999999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99999999999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3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6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5000000000002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8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5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50000000000006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1999999999996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3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8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6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3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30000000000007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2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2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8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4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8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5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4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0000000000003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4999999999999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2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8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4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7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700000000000003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0000000000006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1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99999999999998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999999999998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000000000003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0999999999998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8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7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2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4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4999999999998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5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30000000000007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0000000000001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2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39999999999998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1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80000000000001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10000000000005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3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1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3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6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4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3000000000000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000000000003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6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5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2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79999999999995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1999999999999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3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9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999999999998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6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2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4000000000000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2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9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6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4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6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6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9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8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3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9999999999995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9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7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9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4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5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6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6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8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7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1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9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999999999999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6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5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8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6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7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00000000001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3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3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5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2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6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999999999999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00000000001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3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7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0000000000003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899999999999997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1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1000000000003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6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4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2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1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9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9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899999999999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4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7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6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1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5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8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6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1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30000000000007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6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8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7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5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6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6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3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000000000000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3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1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4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99999999999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4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2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7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2999999999999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100000000001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1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1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5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9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099999999999994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3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1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9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2999999999999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2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8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99999999999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9000000000002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9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4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8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8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1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4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4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1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6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2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4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5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7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9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999999999995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8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7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8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3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9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4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000000000002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4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80000000000007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000000000006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7999999999999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50000000000003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40000000000006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5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9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9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1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8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1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8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3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3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9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7999999999999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9999999999999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5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4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3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9999999999997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7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7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3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5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2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1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9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2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5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4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1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2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6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4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9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6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600000000000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4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1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3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8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4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3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999999999997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1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4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1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3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6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3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8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999999999999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4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3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1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5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5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4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7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"/>
    <n v="55.99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3C02F-3A85-4B84-8E98-345910370FA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752F6-55EF-4A5B-8A11-3D0B8FB045D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63320-D64B-40A2-AC2F-8098863AFC3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0CAE-590D-4A59-9E6D-D95632DBD3C8}">
  <dimension ref="A1:F14"/>
  <sheetViews>
    <sheetView workbookViewId="0">
      <selection activeCell="C8" sqref="C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6</v>
      </c>
      <c r="B1" t="s">
        <v>2046</v>
      </c>
    </row>
    <row r="3" spans="1:6" x14ac:dyDescent="0.35">
      <c r="A3" s="4" t="s">
        <v>2045</v>
      </c>
      <c r="B3" s="4" t="s">
        <v>2044</v>
      </c>
    </row>
    <row r="4" spans="1:6" x14ac:dyDescent="0.3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5" t="s">
        <v>2034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5">
      <c r="A6" s="5" t="s">
        <v>2035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5">
      <c r="A7" s="5" t="s">
        <v>2036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5">
      <c r="A8" s="5" t="s">
        <v>2037</v>
      </c>
      <c r="B8" s="6"/>
      <c r="C8" s="6"/>
      <c r="D8" s="6"/>
      <c r="E8" s="6">
        <v>4</v>
      </c>
      <c r="F8" s="6">
        <v>4</v>
      </c>
    </row>
    <row r="9" spans="1:6" x14ac:dyDescent="0.35">
      <c r="A9" s="5" t="s">
        <v>2038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5">
      <c r="A10" s="5" t="s">
        <v>2039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5">
      <c r="A11" s="5" t="s">
        <v>2040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5">
      <c r="A12" s="5" t="s">
        <v>2041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5">
      <c r="A13" s="5" t="s">
        <v>2042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5">
      <c r="A14" s="5" t="s">
        <v>2043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37EC-D3DE-4DA8-BB14-12F2DEB50EA2}">
  <dimension ref="A1:F30"/>
  <sheetViews>
    <sheetView topLeftCell="A3" workbookViewId="0">
      <selection activeCell="B7" sqref="B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4" t="s">
        <v>2031</v>
      </c>
      <c r="B1" t="s">
        <v>2046</v>
      </c>
    </row>
    <row r="2" spans="1:6" x14ac:dyDescent="0.35">
      <c r="A2" s="4" t="s">
        <v>6</v>
      </c>
      <c r="B2" t="s">
        <v>2046</v>
      </c>
    </row>
    <row r="4" spans="1:6" x14ac:dyDescent="0.35">
      <c r="A4" s="4" t="s">
        <v>2045</v>
      </c>
      <c r="B4" s="4" t="s">
        <v>2044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3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35">
      <c r="A30" s="5" t="s">
        <v>2043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0FD2-8C78-4E81-9BA6-BD1FCA191048}">
  <dimension ref="A1:F18"/>
  <sheetViews>
    <sheetView workbookViewId="0">
      <selection activeCell="J2" sqref="J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4" t="s">
        <v>2031</v>
      </c>
      <c r="B1" t="s">
        <v>2046</v>
      </c>
    </row>
    <row r="2" spans="1:6" x14ac:dyDescent="0.35">
      <c r="A2" s="4" t="s">
        <v>2085</v>
      </c>
      <c r="B2" t="s">
        <v>2046</v>
      </c>
    </row>
    <row r="4" spans="1:6" x14ac:dyDescent="0.35">
      <c r="A4" s="4" t="s">
        <v>2045</v>
      </c>
      <c r="B4" s="4" t="s">
        <v>2044</v>
      </c>
    </row>
    <row r="5" spans="1:6" x14ac:dyDescent="0.3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5" t="s">
        <v>2073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35">
      <c r="A7" s="5" t="s">
        <v>2074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35">
      <c r="A8" s="5" t="s">
        <v>2075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35">
      <c r="A9" s="5" t="s">
        <v>2076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35">
      <c r="A10" s="5" t="s">
        <v>2077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35">
      <c r="A11" s="5" t="s">
        <v>2078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35">
      <c r="A12" s="5" t="s">
        <v>2079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35">
      <c r="A13" s="5" t="s">
        <v>2080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35">
      <c r="A14" s="5" t="s">
        <v>2081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35">
      <c r="A15" s="5" t="s">
        <v>2082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35">
      <c r="A16" s="5" t="s">
        <v>2083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35">
      <c r="A17" s="5" t="s">
        <v>2084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35">
      <c r="A18" s="5" t="s">
        <v>2043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S4" sqref="S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4140625" customWidth="1"/>
    <col min="16" max="16" width="17.58203125" customWidth="1"/>
    <col min="17" max="17" width="14.83203125" customWidth="1"/>
    <col min="18" max="18" width="15" customWidth="1"/>
    <col min="19" max="19" width="23.83203125" customWidth="1"/>
    <col min="20" max="20" width="20.9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ROUND((E2/D2)*100, 2)</f>
        <v>0</v>
      </c>
      <c r="P2">
        <f>ROUND(IF(G2 &lt;&gt; 0, AVERAGE(E2/G2), 0),  2)</f>
        <v>0</v>
      </c>
      <c r="Q2" t="str">
        <f>LEFT(N2, FIND("/", N2)-1)</f>
        <v>food</v>
      </c>
      <c r="R2" t="str">
        <f>RIGHT(N2, LEN(N2)-FIND("/", N2))</f>
        <v>food trucks</v>
      </c>
      <c r="S2" s="7">
        <f>(((J2/60)/60)/24)+DATE(1970, 1, 1)</f>
        <v>42336.25</v>
      </c>
      <c r="T2" s="7">
        <f>(((K2/60)/60)/24)+DATE(1970, 1, 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ROUND((E3/D3)*100, 2)</f>
        <v>1040</v>
      </c>
      <c r="P3">
        <f t="shared" ref="P3:P66" si="1">ROUND(IF(G3 &lt;&gt; 0, AVERAGE(E3/G3), 0),  2)</f>
        <v>92.15</v>
      </c>
      <c r="Q3" t="str">
        <f t="shared" ref="Q3:Q66" si="2">LEFT(N3, FIND("/", N3)-1)</f>
        <v>music</v>
      </c>
      <c r="R3" t="str">
        <f t="shared" ref="R3:R66" si="3">RIGHT(N3, LEN(N3)-FIND("/", N3))</f>
        <v>rock</v>
      </c>
      <c r="S3" s="7">
        <f t="shared" ref="S3:S66" si="4">(((J3/60)/60)/24)+DATE(1970, 1, 1)</f>
        <v>41870.208333333336</v>
      </c>
      <c r="T3" s="7">
        <f t="shared" ref="T3:T66" si="5">(((K3/60)/60)/24)+DATE(1970, 1, 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131.47999999999999</v>
      </c>
      <c r="P4">
        <f t="shared" si="1"/>
        <v>100.02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58.98</v>
      </c>
      <c r="P5">
        <f t="shared" si="1"/>
        <v>103.21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69.28</v>
      </c>
      <c r="P6">
        <f t="shared" si="1"/>
        <v>99.34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173.62</v>
      </c>
      <c r="P7">
        <f t="shared" si="1"/>
        <v>75.83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</v>
      </c>
      <c r="P8">
        <f t="shared" si="1"/>
        <v>60.56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327.58</v>
      </c>
      <c r="P9">
        <f t="shared" si="1"/>
        <v>64.94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</v>
      </c>
      <c r="P11">
        <f t="shared" si="1"/>
        <v>72.91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48.1</v>
      </c>
      <c r="P13">
        <f t="shared" si="1"/>
        <v>112.22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89.35</v>
      </c>
      <c r="P14">
        <f t="shared" si="1"/>
        <v>102.35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245.12</v>
      </c>
      <c r="P15">
        <f t="shared" si="1"/>
        <v>105.05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66.77</v>
      </c>
      <c r="P16">
        <f t="shared" si="1"/>
        <v>94.15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47.31</v>
      </c>
      <c r="P17">
        <f t="shared" si="1"/>
        <v>84.99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159.38999999999999</v>
      </c>
      <c r="P19">
        <f t="shared" si="1"/>
        <v>107.96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</v>
      </c>
      <c r="P20">
        <f t="shared" si="1"/>
        <v>45.1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48.53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</v>
      </c>
      <c r="P22">
        <f t="shared" si="1"/>
        <v>105.97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</v>
      </c>
      <c r="P23">
        <f t="shared" si="1"/>
        <v>69.06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</v>
      </c>
      <c r="P24">
        <f t="shared" si="1"/>
        <v>85.04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</v>
      </c>
      <c r="P25">
        <f t="shared" si="1"/>
        <v>105.23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216.44</v>
      </c>
      <c r="P27">
        <f t="shared" si="1"/>
        <v>73.03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48.2</v>
      </c>
      <c r="P28">
        <f t="shared" si="1"/>
        <v>35.01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105.23</v>
      </c>
      <c r="P30">
        <f t="shared" si="1"/>
        <v>62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328.9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160.61000000000001</v>
      </c>
      <c r="P32">
        <f t="shared" si="1"/>
        <v>112.05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48.01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86.81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</v>
      </c>
      <c r="P35">
        <f t="shared" si="1"/>
        <v>35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150.81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150.30000000000001</v>
      </c>
      <c r="P37">
        <f t="shared" si="1"/>
        <v>95.99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157.29</v>
      </c>
      <c r="P38">
        <f t="shared" si="1"/>
        <v>68.81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139.99</v>
      </c>
      <c r="P39">
        <f t="shared" si="1"/>
        <v>105.97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</v>
      </c>
      <c r="P40">
        <f t="shared" si="1"/>
        <v>75.260000000000005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50.78</v>
      </c>
      <c r="P41">
        <f t="shared" si="1"/>
        <v>57.13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169.07</v>
      </c>
      <c r="P42">
        <f t="shared" si="1"/>
        <v>75.14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212.93</v>
      </c>
      <c r="P43">
        <f t="shared" si="1"/>
        <v>107.42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185.94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</v>
      </c>
      <c r="P46">
        <f t="shared" si="1"/>
        <v>107.56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</v>
      </c>
      <c r="P47">
        <f t="shared" si="1"/>
        <v>94.38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</v>
      </c>
      <c r="P48">
        <f t="shared" si="1"/>
        <v>46.16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475.27</v>
      </c>
      <c r="P49">
        <f t="shared" si="1"/>
        <v>47.85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</v>
      </c>
      <c r="P50">
        <f t="shared" si="1"/>
        <v>53.01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189.63</v>
      </c>
      <c r="P51">
        <f t="shared" si="1"/>
        <v>45.06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91.87</v>
      </c>
      <c r="P53">
        <f t="shared" si="1"/>
        <v>99.01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</v>
      </c>
      <c r="P54">
        <f t="shared" si="1"/>
        <v>32.79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140.41</v>
      </c>
      <c r="P55">
        <f t="shared" si="1"/>
        <v>59.12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89.87</v>
      </c>
      <c r="P56">
        <f t="shared" si="1"/>
        <v>44.93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177.97</v>
      </c>
      <c r="P57">
        <f t="shared" si="1"/>
        <v>89.66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</v>
      </c>
      <c r="P58">
        <f t="shared" si="1"/>
        <v>70.08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215.28</v>
      </c>
      <c r="P59">
        <f t="shared" si="1"/>
        <v>31.06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</v>
      </c>
      <c r="P60">
        <f t="shared" si="1"/>
        <v>29.06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</v>
      </c>
      <c r="P61">
        <f t="shared" si="1"/>
        <v>30.09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</v>
      </c>
      <c r="P62">
        <f t="shared" si="1"/>
        <v>85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92.75</v>
      </c>
      <c r="P63">
        <f t="shared" si="1"/>
        <v>82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1"/>
        <v>58.04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</v>
      </c>
      <c r="P66">
        <f t="shared" si="1"/>
        <v>71.95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ROUND((E67/D67)*100, 2)</f>
        <v>236.15</v>
      </c>
      <c r="P67">
        <f t="shared" ref="P67:P130" si="7">ROUND(IF(G67 &lt;&gt; 0, AVERAGE(E67/G67), 0),  2)</f>
        <v>61.04</v>
      </c>
      <c r="Q67" t="str">
        <f t="shared" ref="Q67:Q130" si="8">LEFT(N67, FIND("/", N67)-1)</f>
        <v>theater</v>
      </c>
      <c r="R67" t="str">
        <f t="shared" ref="R67:R130" si="9">RIGHT(N67, LEN(N67)-FIND("/", N67))</f>
        <v>plays</v>
      </c>
      <c r="S67" s="7">
        <f t="shared" ref="S67:S130" si="10">(((J67/60)/60)/24)+DATE(1970, 1, 1)</f>
        <v>40570.25</v>
      </c>
      <c r="T67" s="7">
        <f t="shared" ref="T67:T130" si="11">(((K67/60)/60)/24)+DATE(1970, 1, 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45.07</v>
      </c>
      <c r="P68">
        <f t="shared" si="7"/>
        <v>108.92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162.38999999999999</v>
      </c>
      <c r="P69">
        <f t="shared" si="7"/>
        <v>29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254.53</v>
      </c>
      <c r="P70">
        <f t="shared" si="7"/>
        <v>58.98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</v>
      </c>
      <c r="P71">
        <f t="shared" si="7"/>
        <v>111.82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</v>
      </c>
      <c r="P72">
        <f t="shared" si="7"/>
        <v>64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108.07</v>
      </c>
      <c r="P73">
        <f t="shared" si="7"/>
        <v>85.32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</v>
      </c>
      <c r="P74">
        <f t="shared" si="7"/>
        <v>74.48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660.93</v>
      </c>
      <c r="P75">
        <f t="shared" si="7"/>
        <v>105.15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</v>
      </c>
      <c r="P76">
        <f t="shared" si="7"/>
        <v>56.19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150.58000000000001</v>
      </c>
      <c r="P77">
        <f t="shared" si="7"/>
        <v>85.92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78.11</v>
      </c>
      <c r="P78">
        <f t="shared" si="7"/>
        <v>57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46.95</v>
      </c>
      <c r="P79">
        <f t="shared" si="7"/>
        <v>79.64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7"/>
        <v>41.02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69.599999999999994</v>
      </c>
      <c r="P81">
        <f t="shared" si="7"/>
        <v>48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637.45000000000005</v>
      </c>
      <c r="P82">
        <f t="shared" si="7"/>
        <v>55.21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225.34</v>
      </c>
      <c r="P83">
        <f t="shared" si="7"/>
        <v>92.11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</v>
      </c>
      <c r="P84">
        <f t="shared" si="7"/>
        <v>83.18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37.590000000000003</v>
      </c>
      <c r="P85">
        <f t="shared" si="7"/>
        <v>40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132.37</v>
      </c>
      <c r="P86">
        <f t="shared" si="7"/>
        <v>111.13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</v>
      </c>
      <c r="P87">
        <f t="shared" si="7"/>
        <v>90.56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167.64</v>
      </c>
      <c r="P88">
        <f t="shared" si="7"/>
        <v>61.11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</v>
      </c>
      <c r="P89">
        <f t="shared" si="7"/>
        <v>83.02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7"/>
        <v>110.76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252.59</v>
      </c>
      <c r="P91">
        <f t="shared" si="7"/>
        <v>89.46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78.62</v>
      </c>
      <c r="P92">
        <f t="shared" si="7"/>
        <v>57.85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</v>
      </c>
      <c r="P93">
        <f t="shared" si="7"/>
        <v>110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258.88</v>
      </c>
      <c r="P94">
        <f t="shared" si="7"/>
        <v>103.97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60.55</v>
      </c>
      <c r="P95">
        <f t="shared" si="7"/>
        <v>108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303.69</v>
      </c>
      <c r="P96">
        <f t="shared" si="7"/>
        <v>48.93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113</v>
      </c>
      <c r="P97">
        <f t="shared" si="7"/>
        <v>37.67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217.38</v>
      </c>
      <c r="P98">
        <f t="shared" si="7"/>
        <v>65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</v>
      </c>
      <c r="P99">
        <f t="shared" si="7"/>
        <v>106.61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</v>
      </c>
      <c r="P100">
        <f t="shared" si="7"/>
        <v>27.01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</v>
      </c>
      <c r="P101">
        <f t="shared" si="7"/>
        <v>91.16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</v>
      </c>
      <c r="P103">
        <f t="shared" si="7"/>
        <v>56.05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281.68</v>
      </c>
      <c r="P104">
        <f t="shared" si="7"/>
        <v>31.02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</v>
      </c>
      <c r="P105">
        <f t="shared" si="7"/>
        <v>66.510000000000005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143.13999999999999</v>
      </c>
      <c r="P106">
        <f t="shared" si="7"/>
        <v>89.01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</v>
      </c>
      <c r="P107">
        <f t="shared" si="7"/>
        <v>103.46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359.13</v>
      </c>
      <c r="P108">
        <f t="shared" si="7"/>
        <v>95.28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186.49</v>
      </c>
      <c r="P109">
        <f t="shared" si="7"/>
        <v>75.900000000000006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595.27</v>
      </c>
      <c r="P110">
        <f t="shared" si="7"/>
        <v>107.58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</v>
      </c>
      <c r="P111">
        <f t="shared" si="7"/>
        <v>51.32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</v>
      </c>
      <c r="P112">
        <f t="shared" si="7"/>
        <v>71.98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119.96</v>
      </c>
      <c r="P113">
        <f t="shared" si="7"/>
        <v>108.95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268.83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376.88</v>
      </c>
      <c r="P115">
        <f t="shared" si="7"/>
        <v>94.94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727.16</v>
      </c>
      <c r="P116">
        <f t="shared" si="7"/>
        <v>109.65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</v>
      </c>
      <c r="P117">
        <f t="shared" si="7"/>
        <v>44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7"/>
        <v>86.79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173.94</v>
      </c>
      <c r="P119">
        <f t="shared" si="7"/>
        <v>30.99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</v>
      </c>
      <c r="P120">
        <f t="shared" si="7"/>
        <v>94.79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7"/>
        <v>69.790000000000006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149.5</v>
      </c>
      <c r="P122">
        <f t="shared" si="7"/>
        <v>63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219.34</v>
      </c>
      <c r="P123">
        <f t="shared" si="7"/>
        <v>110.03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64.37</v>
      </c>
      <c r="P124">
        <f t="shared" si="7"/>
        <v>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</v>
      </c>
      <c r="P125">
        <f t="shared" si="7"/>
        <v>49.99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367.77</v>
      </c>
      <c r="P126">
        <f t="shared" si="7"/>
        <v>101.72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159.91</v>
      </c>
      <c r="P127">
        <f t="shared" si="7"/>
        <v>47.08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38.630000000000003</v>
      </c>
      <c r="P128">
        <f t="shared" si="7"/>
        <v>89.94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</v>
      </c>
      <c r="P129">
        <f t="shared" si="7"/>
        <v>78.97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</v>
      </c>
      <c r="P130">
        <f t="shared" si="7"/>
        <v>80.069999999999993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ROUND((E131/D131)*100, 2)</f>
        <v>3.2</v>
      </c>
      <c r="P131">
        <f t="shared" ref="P131:P194" si="13">ROUND(IF(G131 &lt;&gt; 0, AVERAGE(E131/G131), 0),  2)</f>
        <v>86.47</v>
      </c>
      <c r="Q131" t="str">
        <f t="shared" ref="Q131:Q194" si="14">LEFT(N131, FIND("/", N131)-1)</f>
        <v>food</v>
      </c>
      <c r="R131" t="str">
        <f t="shared" ref="R131:R194" si="15">RIGHT(N131, LEN(N131)-FIND("/", N131))</f>
        <v>food trucks</v>
      </c>
      <c r="S131" s="7">
        <f t="shared" ref="S131:S194" si="16">(((J131/60)/60)/24)+DATE(1970, 1, 1)</f>
        <v>42038.25</v>
      </c>
      <c r="T131" s="7">
        <f t="shared" ref="T131:T194" si="17">(((K131/60)/60)/24)+DATE(1970, 1, 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155.47</v>
      </c>
      <c r="P132">
        <f t="shared" si="13"/>
        <v>28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100.86</v>
      </c>
      <c r="P133">
        <f t="shared" si="13"/>
        <v>68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</v>
      </c>
      <c r="P134">
        <f t="shared" si="13"/>
        <v>43.08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310.77999999999997</v>
      </c>
      <c r="P135">
        <f t="shared" si="13"/>
        <v>87.96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89.74</v>
      </c>
      <c r="P136">
        <f t="shared" si="13"/>
        <v>94.99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</v>
      </c>
      <c r="P137">
        <f t="shared" si="13"/>
        <v>46.91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3.29</v>
      </c>
      <c r="P138">
        <f t="shared" si="13"/>
        <v>46.91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261.77999999999997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>
        <f t="shared" si="13"/>
        <v>80.14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20.9</v>
      </c>
      <c r="P141">
        <f t="shared" si="13"/>
        <v>59.04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</v>
      </c>
      <c r="P142">
        <f t="shared" si="13"/>
        <v>65.989999999999995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</v>
      </c>
      <c r="P143">
        <f t="shared" si="13"/>
        <v>60.99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230.04</v>
      </c>
      <c r="P144">
        <f t="shared" si="13"/>
        <v>98.31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>
        <f t="shared" si="13"/>
        <v>86.07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</v>
      </c>
      <c r="P147">
        <f t="shared" si="13"/>
        <v>76.989999999999995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>
        <f t="shared" si="13"/>
        <v>29.76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</v>
      </c>
      <c r="P149">
        <f t="shared" si="13"/>
        <v>46.92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</v>
      </c>
      <c r="P150">
        <f t="shared" si="13"/>
        <v>105.19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</v>
      </c>
      <c r="P151">
        <f t="shared" si="13"/>
        <v>69.91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64.17</v>
      </c>
      <c r="P153">
        <f t="shared" si="13"/>
        <v>60.01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423.07</v>
      </c>
      <c r="P154">
        <f t="shared" si="13"/>
        <v>52.01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</v>
      </c>
      <c r="P155">
        <f t="shared" si="13"/>
        <v>31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58.76</v>
      </c>
      <c r="P156">
        <f t="shared" si="13"/>
        <v>95.04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</v>
      </c>
      <c r="P157">
        <f t="shared" si="13"/>
        <v>75.97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73.94</v>
      </c>
      <c r="P158">
        <f t="shared" si="13"/>
        <v>71.010000000000005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52.67</v>
      </c>
      <c r="P159">
        <f t="shared" si="13"/>
        <v>73.73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</v>
      </c>
      <c r="P160">
        <f t="shared" si="13"/>
        <v>113.17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</v>
      </c>
      <c r="P161">
        <f t="shared" si="13"/>
        <v>105.01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</v>
      </c>
      <c r="P162">
        <f t="shared" si="13"/>
        <v>79.180000000000007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78.180000000000007</v>
      </c>
      <c r="P163">
        <f t="shared" si="13"/>
        <v>57.33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149.74</v>
      </c>
      <c r="P164">
        <f t="shared" si="13"/>
        <v>58.18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253.26</v>
      </c>
      <c r="P165">
        <f t="shared" si="13"/>
        <v>36.03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100.17</v>
      </c>
      <c r="P166">
        <f t="shared" si="13"/>
        <v>107.99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</v>
      </c>
      <c r="P167">
        <f t="shared" si="13"/>
        <v>44.01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</v>
      </c>
      <c r="P168">
        <f t="shared" si="13"/>
        <v>55.08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415.54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31.31</v>
      </c>
      <c r="P170">
        <f t="shared" si="13"/>
        <v>42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</v>
      </c>
      <c r="P171">
        <f t="shared" si="13"/>
        <v>77.989999999999995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2.94</v>
      </c>
      <c r="P172">
        <f t="shared" si="13"/>
        <v>82.51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82.88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</v>
      </c>
      <c r="P175">
        <f t="shared" si="13"/>
        <v>100.98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894.67</v>
      </c>
      <c r="P176">
        <f t="shared" si="13"/>
        <v>111.83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</v>
      </c>
      <c r="P177">
        <f t="shared" si="13"/>
        <v>42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</v>
      </c>
      <c r="P178">
        <f t="shared" si="13"/>
        <v>110.05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416.48</v>
      </c>
      <c r="P179">
        <f t="shared" si="13"/>
        <v>59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96.21</v>
      </c>
      <c r="P180">
        <f t="shared" si="13"/>
        <v>32.99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357.72</v>
      </c>
      <c r="P181">
        <f t="shared" si="13"/>
        <v>45.01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308.45999999999998</v>
      </c>
      <c r="P182">
        <f t="shared" si="13"/>
        <v>81.98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</v>
      </c>
      <c r="P183">
        <f t="shared" si="13"/>
        <v>39.08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</v>
      </c>
      <c r="P184">
        <f t="shared" si="13"/>
        <v>59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69.12</v>
      </c>
      <c r="P185">
        <f t="shared" si="13"/>
        <v>40.99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293.06</v>
      </c>
      <c r="P186">
        <f t="shared" si="13"/>
        <v>31.03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>
        <f t="shared" si="13"/>
        <v>37.79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</v>
      </c>
      <c r="P188">
        <f t="shared" si="13"/>
        <v>32.01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</v>
      </c>
      <c r="P189">
        <f t="shared" si="13"/>
        <v>95.97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23.53</v>
      </c>
      <c r="P191">
        <f t="shared" si="13"/>
        <v>102.05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37.950000000000003</v>
      </c>
      <c r="P193">
        <f t="shared" si="13"/>
        <v>37.07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19.989999999999998</v>
      </c>
      <c r="P194">
        <f t="shared" si="13"/>
        <v>35.049999999999997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ROUND((E195/D195)*100, 2)</f>
        <v>45.64</v>
      </c>
      <c r="P195">
        <f t="shared" ref="P195:P258" si="19">ROUND(IF(G195 &lt;&gt; 0, AVERAGE(E195/G195), 0),  2)</f>
        <v>46.34</v>
      </c>
      <c r="Q195" t="str">
        <f t="shared" ref="Q195:Q258" si="20">LEFT(N195, FIND("/", N195)-1)</f>
        <v>music</v>
      </c>
      <c r="R195" t="str">
        <f t="shared" ref="R195:R258" si="21">RIGHT(N195, LEN(N195)-FIND("/", N195))</f>
        <v>indie rock</v>
      </c>
      <c r="S195" s="7">
        <f t="shared" ref="S195:S258" si="22">(((J195/60)/60)/24)+DATE(1970, 1, 1)</f>
        <v>43198.208333333328</v>
      </c>
      <c r="T195" s="7">
        <f t="shared" ref="T195:T258" si="23">(((K195/60)/60)/24)+DATE(1970, 1, 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</v>
      </c>
      <c r="P196">
        <f t="shared" si="19"/>
        <v>69.17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</v>
      </c>
      <c r="P197">
        <f t="shared" si="19"/>
        <v>109.08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</v>
      </c>
      <c r="P199">
        <f t="shared" si="19"/>
        <v>82.01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9.56</v>
      </c>
      <c r="P200">
        <f t="shared" si="19"/>
        <v>35.96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53.78</v>
      </c>
      <c r="P201">
        <f t="shared" si="19"/>
        <v>74.459999999999994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</v>
      </c>
      <c r="P203">
        <f t="shared" si="19"/>
        <v>91.11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</v>
      </c>
      <c r="P204">
        <f t="shared" si="19"/>
        <v>79.790000000000006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134.41</v>
      </c>
      <c r="P205">
        <f t="shared" si="19"/>
        <v>43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</v>
      </c>
      <c r="P206">
        <f t="shared" si="19"/>
        <v>63.23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431.85</v>
      </c>
      <c r="P207">
        <f t="shared" si="19"/>
        <v>70.180000000000007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38.840000000000003</v>
      </c>
      <c r="P208">
        <f t="shared" si="19"/>
        <v>61.33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</v>
      </c>
      <c r="P210">
        <f t="shared" si="19"/>
        <v>96.98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21.19</v>
      </c>
      <c r="P211">
        <f t="shared" si="19"/>
        <v>51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67.430000000000007</v>
      </c>
      <c r="P212">
        <f t="shared" si="19"/>
        <v>28.04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</v>
      </c>
      <c r="P213">
        <f t="shared" si="19"/>
        <v>60.98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</v>
      </c>
      <c r="P214">
        <f t="shared" si="19"/>
        <v>73.209999999999994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</v>
      </c>
      <c r="P215">
        <f t="shared" si="19"/>
        <v>40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</v>
      </c>
      <c r="P216">
        <f t="shared" si="19"/>
        <v>86.81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</v>
      </c>
      <c r="P217">
        <f t="shared" si="19"/>
        <v>42.13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</v>
      </c>
      <c r="P218">
        <f t="shared" si="19"/>
        <v>103.98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</v>
      </c>
      <c r="P219">
        <f t="shared" si="19"/>
        <v>62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215.95</v>
      </c>
      <c r="P220">
        <f t="shared" si="19"/>
        <v>31.01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332.13</v>
      </c>
      <c r="P221">
        <f t="shared" si="19"/>
        <v>89.99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</v>
      </c>
      <c r="P222">
        <f t="shared" si="19"/>
        <v>39.24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98.63</v>
      </c>
      <c r="P223">
        <f t="shared" si="19"/>
        <v>54.99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137.97999999999999</v>
      </c>
      <c r="P224">
        <f t="shared" si="19"/>
        <v>47.99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</v>
      </c>
      <c r="P225">
        <f t="shared" si="19"/>
        <v>87.97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403.64</v>
      </c>
      <c r="P226">
        <f t="shared" si="19"/>
        <v>52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</v>
      </c>
      <c r="P227">
        <f t="shared" si="19"/>
        <v>30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</v>
      </c>
      <c r="P228">
        <f t="shared" si="19"/>
        <v>98.21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</v>
      </c>
      <c r="P229">
        <f t="shared" si="19"/>
        <v>108.96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119.91</v>
      </c>
      <c r="P230">
        <f t="shared" si="19"/>
        <v>67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193.69</v>
      </c>
      <c r="P231">
        <f t="shared" si="19"/>
        <v>64.989999999999995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420.17</v>
      </c>
      <c r="P232">
        <f t="shared" si="19"/>
        <v>99.84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76.709999999999994</v>
      </c>
      <c r="P233">
        <f t="shared" si="19"/>
        <v>82.43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</v>
      </c>
      <c r="P234">
        <f t="shared" si="19"/>
        <v>63.29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157.88999999999999</v>
      </c>
      <c r="P235">
        <f t="shared" si="19"/>
        <v>96.77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>
        <f t="shared" si="19"/>
        <v>54.91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</v>
      </c>
      <c r="P237">
        <f t="shared" si="19"/>
        <v>39.01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</v>
      </c>
      <c r="P238">
        <f t="shared" si="19"/>
        <v>75.84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159.38</v>
      </c>
      <c r="P239">
        <f t="shared" si="19"/>
        <v>45.05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422.42</v>
      </c>
      <c r="P240">
        <f t="shared" si="19"/>
        <v>104.52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97.72</v>
      </c>
      <c r="P241">
        <f t="shared" si="19"/>
        <v>76.27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418.79</v>
      </c>
      <c r="P242">
        <f t="shared" si="19"/>
        <v>69.02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101.92</v>
      </c>
      <c r="P243">
        <f t="shared" si="19"/>
        <v>101.98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127.73</v>
      </c>
      <c r="P244">
        <f t="shared" si="19"/>
        <v>42.92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445.22</v>
      </c>
      <c r="P245">
        <f t="shared" si="19"/>
        <v>43.03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</v>
      </c>
      <c r="P246">
        <f t="shared" si="19"/>
        <v>75.25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</v>
      </c>
      <c r="P247">
        <f t="shared" si="19"/>
        <v>69.02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325.52999999999997</v>
      </c>
      <c r="P248">
        <f t="shared" si="19"/>
        <v>65.989999999999995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932.62</v>
      </c>
      <c r="P249">
        <f t="shared" si="19"/>
        <v>98.01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211.34</v>
      </c>
      <c r="P250">
        <f t="shared" si="19"/>
        <v>60.11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273.33</v>
      </c>
      <c r="P251">
        <f t="shared" si="19"/>
        <v>26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</v>
      </c>
      <c r="P253">
        <f t="shared" si="19"/>
        <v>38.020000000000003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>
        <f t="shared" si="19"/>
        <v>106.15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</v>
      </c>
      <c r="P255">
        <f t="shared" si="19"/>
        <v>81.02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</v>
      </c>
      <c r="P256">
        <f t="shared" si="19"/>
        <v>96.65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120.17</v>
      </c>
      <c r="P257">
        <f t="shared" si="19"/>
        <v>57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</v>
      </c>
      <c r="P258">
        <f t="shared" si="19"/>
        <v>63.93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ROUND((E259/D259)*100, 2)</f>
        <v>146</v>
      </c>
      <c r="P259">
        <f t="shared" ref="P259:P322" si="25">ROUND(IF(G259 &lt;&gt; 0, AVERAGE(E259/G259), 0),  2)</f>
        <v>90.46</v>
      </c>
      <c r="Q259" t="str">
        <f t="shared" ref="Q259:Q322" si="26">LEFT(N259, FIND("/", N259)-1)</f>
        <v>theater</v>
      </c>
      <c r="R259" t="str">
        <f t="shared" ref="R259:R322" si="27">RIGHT(N259, LEN(N259)-FIND("/", N259))</f>
        <v>plays</v>
      </c>
      <c r="S259" s="7">
        <f t="shared" ref="S259:S322" si="28">(((J259/60)/60)/24)+DATE(1970, 1, 1)</f>
        <v>41338.25</v>
      </c>
      <c r="T259" s="7">
        <f t="shared" ref="T259:T322" si="29">(((K259/60)/60)/24)+DATE(1970, 1, 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>
        <f t="shared" si="25"/>
        <v>72.17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>
        <f t="shared" si="25"/>
        <v>77.930000000000007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157.69999999999999</v>
      </c>
      <c r="P262">
        <f t="shared" si="25"/>
        <v>38.07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</v>
      </c>
      <c r="P263">
        <f t="shared" si="25"/>
        <v>57.94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313.41000000000003</v>
      </c>
      <c r="P264">
        <f t="shared" si="25"/>
        <v>49.79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370.9</v>
      </c>
      <c r="P265">
        <f t="shared" si="25"/>
        <v>54.05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</v>
      </c>
      <c r="P266">
        <f t="shared" si="25"/>
        <v>30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</v>
      </c>
      <c r="P267">
        <f t="shared" si="25"/>
        <v>70.13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76.77</v>
      </c>
      <c r="P268">
        <f t="shared" si="25"/>
        <v>27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</v>
      </c>
      <c r="P269">
        <f t="shared" si="25"/>
        <v>51.99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</v>
      </c>
      <c r="P270">
        <f t="shared" si="25"/>
        <v>56.42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252.63</v>
      </c>
      <c r="P271">
        <f t="shared" si="25"/>
        <v>101.63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27.18</v>
      </c>
      <c r="P272">
        <f t="shared" si="25"/>
        <v>25.01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</v>
      </c>
      <c r="P273">
        <f t="shared" si="25"/>
        <v>32.020000000000003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304.01</v>
      </c>
      <c r="P274">
        <f t="shared" si="25"/>
        <v>82.02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137.22999999999999</v>
      </c>
      <c r="P275">
        <f t="shared" si="25"/>
        <v>37.96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32.21</v>
      </c>
      <c r="P276">
        <f t="shared" si="25"/>
        <v>51.53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</v>
      </c>
      <c r="P277">
        <f t="shared" si="25"/>
        <v>81.2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>
        <f t="shared" si="25"/>
        <v>40.03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1066.43</v>
      </c>
      <c r="P279">
        <f t="shared" si="25"/>
        <v>89.94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325.89</v>
      </c>
      <c r="P280">
        <f t="shared" si="25"/>
        <v>96.69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</v>
      </c>
      <c r="P281">
        <f t="shared" si="25"/>
        <v>25.01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>
        <f t="shared" si="25"/>
        <v>36.99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</v>
      </c>
      <c r="P283">
        <f t="shared" si="25"/>
        <v>73.010000000000005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108.05</v>
      </c>
      <c r="P284">
        <f t="shared" si="25"/>
        <v>68.239999999999995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18.73</v>
      </c>
      <c r="P285">
        <f t="shared" si="25"/>
        <v>52.31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</v>
      </c>
      <c r="P286">
        <f t="shared" si="25"/>
        <v>61.77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</v>
      </c>
      <c r="P287">
        <f t="shared" si="25"/>
        <v>25.03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17.45</v>
      </c>
      <c r="P288">
        <f t="shared" si="25"/>
        <v>106.29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</v>
      </c>
      <c r="P289">
        <f t="shared" si="25"/>
        <v>75.069999999999993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97.79</v>
      </c>
      <c r="P290">
        <f t="shared" si="25"/>
        <v>39.97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>
        <f t="shared" si="25"/>
        <v>39.979999999999997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</v>
      </c>
      <c r="P292">
        <f t="shared" si="25"/>
        <v>101.02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</v>
      </c>
      <c r="P293">
        <f t="shared" si="25"/>
        <v>76.81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</v>
      </c>
      <c r="P295">
        <f t="shared" si="25"/>
        <v>33.28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1339.67</v>
      </c>
      <c r="P296">
        <f t="shared" si="25"/>
        <v>43.92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</v>
      </c>
      <c r="P297">
        <f t="shared" si="25"/>
        <v>36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</v>
      </c>
      <c r="P298">
        <f t="shared" si="25"/>
        <v>88.21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94.24</v>
      </c>
      <c r="P299">
        <f t="shared" si="25"/>
        <v>65.239999999999995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</v>
      </c>
      <c r="P300">
        <f t="shared" si="25"/>
        <v>69.959999999999994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</v>
      </c>
      <c r="P301">
        <f t="shared" si="25"/>
        <v>39.880000000000003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1344.67</v>
      </c>
      <c r="P303">
        <f t="shared" si="25"/>
        <v>41.02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</v>
      </c>
      <c r="P304">
        <f t="shared" si="25"/>
        <v>98.91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82.62</v>
      </c>
      <c r="P305">
        <f t="shared" si="25"/>
        <v>87.78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</v>
      </c>
      <c r="P306">
        <f t="shared" si="25"/>
        <v>80.77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286.20999999999998</v>
      </c>
      <c r="P307">
        <f t="shared" si="25"/>
        <v>94.28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7.91</v>
      </c>
      <c r="P308">
        <f t="shared" si="25"/>
        <v>73.430000000000007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132.13999999999999</v>
      </c>
      <c r="P309">
        <f t="shared" si="25"/>
        <v>65.97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74.08</v>
      </c>
      <c r="P310">
        <f t="shared" si="25"/>
        <v>109.04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75.290000000000006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20.329999999999998</v>
      </c>
      <c r="P312">
        <f t="shared" si="25"/>
        <v>99.13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203.37</v>
      </c>
      <c r="P313">
        <f t="shared" si="25"/>
        <v>105.88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310.23</v>
      </c>
      <c r="P314">
        <f t="shared" si="25"/>
        <v>49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395.32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294.70999999999998</v>
      </c>
      <c r="P316">
        <f t="shared" si="25"/>
        <v>31.02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</v>
      </c>
      <c r="P317">
        <f t="shared" si="25"/>
        <v>103.87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66.680000000000007</v>
      </c>
      <c r="P318">
        <f t="shared" si="25"/>
        <v>59.27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19.23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</v>
      </c>
      <c r="P320">
        <f t="shared" si="25"/>
        <v>53.12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38.700000000000003</v>
      </c>
      <c r="P321">
        <f t="shared" si="25"/>
        <v>50.8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9.59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ROUND((E323/D323)*100, 2)</f>
        <v>94.14</v>
      </c>
      <c r="P323">
        <f t="shared" ref="P323:P386" si="31">ROUND(IF(G323 &lt;&gt; 0, AVERAGE(E323/G323), 0),  2)</f>
        <v>65</v>
      </c>
      <c r="Q323" t="str">
        <f t="shared" ref="Q323:Q386" si="32">LEFT(N323, FIND("/", N323)-1)</f>
        <v>film &amp; video</v>
      </c>
      <c r="R323" t="str">
        <f t="shared" ref="R323:R386" si="33">RIGHT(N323, LEN(N323)-FIND("/", N323))</f>
        <v>shorts</v>
      </c>
      <c r="S323" s="7">
        <f t="shared" ref="S323:S386" si="34">(((J323/60)/60)/24)+DATE(1970, 1, 1)</f>
        <v>40634.208333333336</v>
      </c>
      <c r="T323" s="7">
        <f t="shared" ref="T323:T386" si="35">(((K323/60)/60)/24)+DATE(1970, 1, 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</v>
      </c>
      <c r="P324">
        <f t="shared" si="31"/>
        <v>38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</v>
      </c>
      <c r="P325">
        <f t="shared" si="31"/>
        <v>82.62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164.06</v>
      </c>
      <c r="P326">
        <f t="shared" si="31"/>
        <v>37.94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</v>
      </c>
      <c r="P327">
        <f t="shared" si="31"/>
        <v>80.78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</v>
      </c>
      <c r="P328">
        <f t="shared" si="31"/>
        <v>25.98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38.54</v>
      </c>
      <c r="P329">
        <f t="shared" si="31"/>
        <v>30.36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</v>
      </c>
      <c r="P330">
        <f t="shared" si="31"/>
        <v>54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22.9</v>
      </c>
      <c r="P331">
        <f t="shared" si="31"/>
        <v>101.79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184.96</v>
      </c>
      <c r="P332">
        <f t="shared" si="31"/>
        <v>45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443.73</v>
      </c>
      <c r="P333">
        <f t="shared" si="31"/>
        <v>77.069999999999993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</v>
      </c>
      <c r="P334">
        <f t="shared" si="31"/>
        <v>88.08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123.96</v>
      </c>
      <c r="P335">
        <f t="shared" si="31"/>
        <v>47.04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</v>
      </c>
      <c r="P336">
        <f t="shared" si="31"/>
        <v>111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114.29</v>
      </c>
      <c r="P337">
        <f t="shared" si="31"/>
        <v>87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</v>
      </c>
      <c r="P338">
        <f t="shared" si="31"/>
        <v>63.99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122.82</v>
      </c>
      <c r="P339">
        <f t="shared" si="31"/>
        <v>105.99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</v>
      </c>
      <c r="P340">
        <f t="shared" si="31"/>
        <v>73.989999999999995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</v>
      </c>
      <c r="P341">
        <f t="shared" si="31"/>
        <v>84.02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</v>
      </c>
      <c r="P342">
        <f t="shared" si="31"/>
        <v>88.97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84.67</v>
      </c>
      <c r="P343">
        <f t="shared" si="31"/>
        <v>76.989999999999995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</v>
      </c>
      <c r="P344">
        <f t="shared" si="31"/>
        <v>97.15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</v>
      </c>
      <c r="P345">
        <f t="shared" si="31"/>
        <v>33.01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</v>
      </c>
      <c r="P346">
        <f t="shared" si="31"/>
        <v>99.95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</v>
      </c>
      <c r="P347">
        <f t="shared" si="31"/>
        <v>69.97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34.479999999999997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1400.78</v>
      </c>
      <c r="P349">
        <f t="shared" si="31"/>
        <v>66.010000000000005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</v>
      </c>
      <c r="P350">
        <f t="shared" si="31"/>
        <v>41.01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</v>
      </c>
      <c r="P351">
        <f t="shared" si="31"/>
        <v>103.96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127.71</v>
      </c>
      <c r="P353">
        <f t="shared" si="31"/>
        <v>47.01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</v>
      </c>
      <c r="P354">
        <f t="shared" si="31"/>
        <v>29.61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410.6</v>
      </c>
      <c r="P355">
        <f t="shared" si="31"/>
        <v>81.010000000000005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123.74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</v>
      </c>
      <c r="P357">
        <f t="shared" si="31"/>
        <v>26.06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</v>
      </c>
      <c r="P358">
        <f t="shared" si="31"/>
        <v>85.78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</v>
      </c>
      <c r="P359">
        <f t="shared" si="31"/>
        <v>103.73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</v>
      </c>
      <c r="P360">
        <f t="shared" si="31"/>
        <v>49.83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>
        <f t="shared" si="31"/>
        <v>63.89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</v>
      </c>
      <c r="P362">
        <f t="shared" si="31"/>
        <v>47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</v>
      </c>
      <c r="P363">
        <f t="shared" si="31"/>
        <v>108.48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371.76</v>
      </c>
      <c r="P364">
        <f t="shared" si="31"/>
        <v>72.02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</v>
      </c>
      <c r="P365">
        <f t="shared" si="31"/>
        <v>59.93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</v>
      </c>
      <c r="P366">
        <f t="shared" si="31"/>
        <v>78.209999999999994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733.44</v>
      </c>
      <c r="P367">
        <f t="shared" si="31"/>
        <v>104.78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</v>
      </c>
      <c r="P368">
        <f t="shared" si="31"/>
        <v>105.52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18.89</v>
      </c>
      <c r="P369">
        <f t="shared" si="31"/>
        <v>24.93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276.81</v>
      </c>
      <c r="P370">
        <f t="shared" si="31"/>
        <v>69.87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273.02</v>
      </c>
      <c r="P371">
        <f t="shared" si="31"/>
        <v>95.73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159.36000000000001</v>
      </c>
      <c r="P372">
        <f t="shared" si="31"/>
        <v>30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67.87</v>
      </c>
      <c r="P373">
        <f t="shared" si="31"/>
        <v>59.01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1591.56</v>
      </c>
      <c r="P374">
        <f t="shared" si="31"/>
        <v>84.76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</v>
      </c>
      <c r="P375">
        <f t="shared" si="31"/>
        <v>78.010000000000005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13.19</v>
      </c>
      <c r="P376">
        <f t="shared" si="31"/>
        <v>50.05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54.78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361.03</v>
      </c>
      <c r="P378">
        <f t="shared" si="31"/>
        <v>93.7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10.26</v>
      </c>
      <c r="P379">
        <f t="shared" si="31"/>
        <v>40.14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</v>
      </c>
      <c r="P380">
        <f t="shared" si="31"/>
        <v>70.09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</v>
      </c>
      <c r="P381">
        <f t="shared" si="31"/>
        <v>66.180000000000007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>
        <f t="shared" si="31"/>
        <v>47.71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</v>
      </c>
      <c r="P383">
        <f t="shared" si="31"/>
        <v>62.9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63.77</v>
      </c>
      <c r="P384">
        <f t="shared" si="31"/>
        <v>86.61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</v>
      </c>
      <c r="P385">
        <f t="shared" si="31"/>
        <v>75.13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172.01</v>
      </c>
      <c r="P386">
        <f t="shared" si="31"/>
        <v>41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ROUND((E387/D387)*100, 2)</f>
        <v>146.16999999999999</v>
      </c>
      <c r="P387">
        <f t="shared" ref="P387:P450" si="37">ROUND(IF(G387 &lt;&gt; 0, AVERAGE(E387/G387), 0),  2)</f>
        <v>50.01</v>
      </c>
      <c r="Q387" t="str">
        <f t="shared" ref="Q387:Q450" si="38">LEFT(N387, FIND("/", N387)-1)</f>
        <v>publishing</v>
      </c>
      <c r="R387" t="str">
        <f t="shared" ref="R387:R450" si="39">RIGHT(N387, LEN(N387)-FIND("/", N387))</f>
        <v>nonfiction</v>
      </c>
      <c r="S387" s="7">
        <f t="shared" ref="S387:S450" si="40">(((J387/60)/60)/24)+DATE(1970, 1, 1)</f>
        <v>43553.208333333328</v>
      </c>
      <c r="T387" s="7">
        <f t="shared" ref="T387:T450" si="41">(((K387/60)/60)/24)+DATE(1970, 1, 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</v>
      </c>
      <c r="P388">
        <f t="shared" si="37"/>
        <v>96.96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</v>
      </c>
      <c r="P389">
        <f t="shared" si="37"/>
        <v>100.93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</v>
      </c>
      <c r="P390">
        <f t="shared" si="37"/>
        <v>89.23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</v>
      </c>
      <c r="P391">
        <f t="shared" si="37"/>
        <v>87.98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</v>
      </c>
      <c r="P393">
        <f t="shared" si="37"/>
        <v>29.09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</v>
      </c>
      <c r="P394">
        <f t="shared" si="37"/>
        <v>42.01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</v>
      </c>
      <c r="P395">
        <f t="shared" si="37"/>
        <v>47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469.38</v>
      </c>
      <c r="P396">
        <f t="shared" si="37"/>
        <v>110.44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130.11000000000001</v>
      </c>
      <c r="P397">
        <f t="shared" si="37"/>
        <v>41.99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</v>
      </c>
      <c r="P398">
        <f t="shared" si="37"/>
        <v>48.01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</v>
      </c>
      <c r="P399">
        <f t="shared" si="37"/>
        <v>31.02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</v>
      </c>
      <c r="P400">
        <f t="shared" si="37"/>
        <v>99.2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</v>
      </c>
      <c r="P401">
        <f t="shared" si="37"/>
        <v>66.02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</v>
      </c>
      <c r="P403">
        <f t="shared" si="37"/>
        <v>46.06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40.36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</v>
      </c>
      <c r="P405">
        <f t="shared" si="37"/>
        <v>55.99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</v>
      </c>
      <c r="P406">
        <f t="shared" si="37"/>
        <v>68.989999999999995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89.62</v>
      </c>
      <c r="P407">
        <f t="shared" si="37"/>
        <v>60.98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182.15</v>
      </c>
      <c r="P408">
        <f t="shared" si="37"/>
        <v>110.98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131.84</v>
      </c>
      <c r="P410">
        <f t="shared" si="37"/>
        <v>78.760000000000005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46.32</v>
      </c>
      <c r="P411">
        <f t="shared" si="37"/>
        <v>87.96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36.130000000000003</v>
      </c>
      <c r="P412">
        <f t="shared" si="37"/>
        <v>49.99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104.63</v>
      </c>
      <c r="P413">
        <f t="shared" si="37"/>
        <v>99.52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668.86</v>
      </c>
      <c r="P414">
        <f t="shared" si="37"/>
        <v>104.82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</v>
      </c>
      <c r="P415">
        <f t="shared" si="37"/>
        <v>108.01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84.7</v>
      </c>
      <c r="P416">
        <f t="shared" si="37"/>
        <v>29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11.06</v>
      </c>
      <c r="P417">
        <f t="shared" si="37"/>
        <v>30.03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43.84</v>
      </c>
      <c r="P418">
        <f t="shared" si="37"/>
        <v>41.01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</v>
      </c>
      <c r="P419">
        <f t="shared" si="37"/>
        <v>62.87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57.4</v>
      </c>
      <c r="P420">
        <f t="shared" si="37"/>
        <v>47.01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</v>
      </c>
      <c r="P421">
        <f t="shared" si="37"/>
        <v>27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>
        <f t="shared" si="37"/>
        <v>68.33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63.99</v>
      </c>
      <c r="P423">
        <f t="shared" si="37"/>
        <v>50.97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127.3</v>
      </c>
      <c r="P424">
        <f t="shared" si="37"/>
        <v>54.02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10.64</v>
      </c>
      <c r="P425">
        <f t="shared" si="37"/>
        <v>97.06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</v>
      </c>
      <c r="P426">
        <f t="shared" si="37"/>
        <v>24.87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287.67</v>
      </c>
      <c r="P427">
        <f t="shared" si="37"/>
        <v>84.42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572.94000000000005</v>
      </c>
      <c r="P428">
        <f t="shared" si="37"/>
        <v>47.09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</v>
      </c>
      <c r="P429">
        <f t="shared" si="37"/>
        <v>78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46.39</v>
      </c>
      <c r="P430">
        <f t="shared" si="37"/>
        <v>62.97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90.68</v>
      </c>
      <c r="P431">
        <f t="shared" si="37"/>
        <v>81.010000000000005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67.739999999999995</v>
      </c>
      <c r="P432">
        <f t="shared" si="37"/>
        <v>65.319999999999993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</v>
      </c>
      <c r="P433">
        <f t="shared" si="37"/>
        <v>104.44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</v>
      </c>
      <c r="P434">
        <f t="shared" si="37"/>
        <v>69.989999999999995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</v>
      </c>
      <c r="P435">
        <f t="shared" si="37"/>
        <v>83.02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116.88</v>
      </c>
      <c r="P437">
        <f t="shared" si="37"/>
        <v>103.98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1052.1500000000001</v>
      </c>
      <c r="P438">
        <f t="shared" si="37"/>
        <v>54.93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</v>
      </c>
      <c r="P439">
        <f t="shared" si="37"/>
        <v>51.92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178.64</v>
      </c>
      <c r="P440">
        <f t="shared" si="37"/>
        <v>60.03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</v>
      </c>
      <c r="P441">
        <f t="shared" si="37"/>
        <v>44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161.91</v>
      </c>
      <c r="P442">
        <f t="shared" si="37"/>
        <v>53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</v>
      </c>
      <c r="P444">
        <f t="shared" si="37"/>
        <v>75.040000000000006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</v>
      </c>
      <c r="P445">
        <f t="shared" si="37"/>
        <v>35.909999999999997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176.42</v>
      </c>
      <c r="P446">
        <f t="shared" si="37"/>
        <v>36.950000000000003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</v>
      </c>
      <c r="P447">
        <f t="shared" si="37"/>
        <v>63.17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</v>
      </c>
      <c r="P448">
        <f t="shared" si="37"/>
        <v>29.99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24.33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</v>
      </c>
      <c r="P450">
        <f t="shared" si="37"/>
        <v>75.010000000000005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ROUND((E451/D451)*100, 2)</f>
        <v>967</v>
      </c>
      <c r="P451">
        <f t="shared" ref="P451:P514" si="43">ROUND(IF(G451 &lt;&gt; 0, AVERAGE(E451/G451), 0),  2)</f>
        <v>101.2</v>
      </c>
      <c r="Q451" t="str">
        <f t="shared" ref="Q451:Q514" si="44">LEFT(N451, FIND("/", N451)-1)</f>
        <v>games</v>
      </c>
      <c r="R451" t="str">
        <f t="shared" ref="R451:R514" si="45">RIGHT(N451, LEN(N451)-FIND("/", N451))</f>
        <v>video games</v>
      </c>
      <c r="S451" s="7">
        <f t="shared" ref="S451:S514" si="46">(((J451/60)/60)/24)+DATE(1970, 1, 1)</f>
        <v>43530.25</v>
      </c>
      <c r="T451" s="7">
        <f t="shared" ref="T451:T514" si="47">(((K451/60)/60)/24)+DATE(1970, 1, 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122.85</v>
      </c>
      <c r="P453">
        <f t="shared" si="43"/>
        <v>29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63.44</v>
      </c>
      <c r="P454">
        <f t="shared" si="43"/>
        <v>98.23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</v>
      </c>
      <c r="P455">
        <f t="shared" si="43"/>
        <v>87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44.08</v>
      </c>
      <c r="P456">
        <f t="shared" si="43"/>
        <v>45.21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</v>
      </c>
      <c r="P457">
        <f t="shared" si="43"/>
        <v>37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</v>
      </c>
      <c r="P458">
        <f t="shared" si="43"/>
        <v>94.98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</v>
      </c>
      <c r="P459">
        <f t="shared" si="43"/>
        <v>28.96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</v>
      </c>
      <c r="P460">
        <f t="shared" si="43"/>
        <v>55.99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</v>
      </c>
      <c r="P461">
        <f t="shared" si="43"/>
        <v>54.04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171.63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141.05000000000001</v>
      </c>
      <c r="P463">
        <f t="shared" si="43"/>
        <v>67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30.58</v>
      </c>
      <c r="P464">
        <f t="shared" si="43"/>
        <v>107.91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</v>
      </c>
      <c r="P465">
        <f t="shared" si="43"/>
        <v>69.010000000000005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133.46</v>
      </c>
      <c r="P466">
        <f t="shared" si="43"/>
        <v>39.01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</v>
      </c>
      <c r="P467">
        <f t="shared" si="43"/>
        <v>110.36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>
        <f t="shared" si="43"/>
        <v>94.86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</v>
      </c>
      <c r="P469">
        <f t="shared" si="43"/>
        <v>57.94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184.43</v>
      </c>
      <c r="P471">
        <f t="shared" si="43"/>
        <v>64.959999999999994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285.81</v>
      </c>
      <c r="P472">
        <f t="shared" si="43"/>
        <v>27.01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>
        <f t="shared" si="43"/>
        <v>50.97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39.229999999999997</v>
      </c>
      <c r="P474">
        <f t="shared" si="43"/>
        <v>104.94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</v>
      </c>
      <c r="P475">
        <f t="shared" si="43"/>
        <v>84.03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>
        <f t="shared" si="43"/>
        <v>102.86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113.95</v>
      </c>
      <c r="P477">
        <f t="shared" si="43"/>
        <v>39.96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29.83</v>
      </c>
      <c r="P478">
        <f t="shared" si="43"/>
        <v>51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</v>
      </c>
      <c r="P479">
        <f t="shared" si="43"/>
        <v>40.82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</v>
      </c>
      <c r="P480">
        <f t="shared" si="43"/>
        <v>59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512.91999999999996</v>
      </c>
      <c r="P481">
        <f t="shared" si="43"/>
        <v>71.16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</v>
      </c>
      <c r="P482">
        <f t="shared" si="43"/>
        <v>99.49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81.349999999999994</v>
      </c>
      <c r="P483">
        <f t="shared" si="43"/>
        <v>103.99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16.399999999999999</v>
      </c>
      <c r="P484">
        <f t="shared" si="43"/>
        <v>76.56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</v>
      </c>
      <c r="P485">
        <f t="shared" si="43"/>
        <v>87.07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260.20999999999998</v>
      </c>
      <c r="P486">
        <f t="shared" si="43"/>
        <v>49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</v>
      </c>
      <c r="P487">
        <f t="shared" si="43"/>
        <v>42.97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>
        <f t="shared" si="43"/>
        <v>33.43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178.63</v>
      </c>
      <c r="P489">
        <f t="shared" si="43"/>
        <v>83.98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220.06</v>
      </c>
      <c r="P490">
        <f t="shared" si="43"/>
        <v>101.42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</v>
      </c>
      <c r="P491">
        <f t="shared" si="43"/>
        <v>109.87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>
        <f t="shared" si="43"/>
        <v>31.92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305.35000000000002</v>
      </c>
      <c r="P493">
        <f t="shared" si="43"/>
        <v>70.989999999999995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24</v>
      </c>
      <c r="P494">
        <f t="shared" si="43"/>
        <v>77.03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723.78</v>
      </c>
      <c r="P495">
        <f t="shared" si="43"/>
        <v>101.78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>
        <f t="shared" si="43"/>
        <v>51.06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414.5</v>
      </c>
      <c r="P497">
        <f t="shared" si="43"/>
        <v>68.02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0.91</v>
      </c>
      <c r="P498">
        <f t="shared" si="43"/>
        <v>30.87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</v>
      </c>
      <c r="P499">
        <f t="shared" si="43"/>
        <v>27.91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23.95</v>
      </c>
      <c r="P500">
        <f t="shared" si="43"/>
        <v>79.989999999999995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</v>
      </c>
      <c r="P501">
        <f t="shared" si="43"/>
        <v>38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70.150000000000006</v>
      </c>
      <c r="P503">
        <f t="shared" si="43"/>
        <v>59.99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529.91999999999996</v>
      </c>
      <c r="P504">
        <f t="shared" si="43"/>
        <v>37.04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180.33</v>
      </c>
      <c r="P505">
        <f t="shared" si="43"/>
        <v>99.96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</v>
      </c>
      <c r="P506">
        <f t="shared" si="43"/>
        <v>111.68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</v>
      </c>
      <c r="P507">
        <f t="shared" si="43"/>
        <v>36.01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927.08</v>
      </c>
      <c r="P508">
        <f t="shared" si="43"/>
        <v>66.010000000000005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39.86</v>
      </c>
      <c r="P509">
        <f t="shared" si="43"/>
        <v>44.05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112.23</v>
      </c>
      <c r="P510">
        <f t="shared" si="43"/>
        <v>53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70.930000000000007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119.09</v>
      </c>
      <c r="P512">
        <f t="shared" si="43"/>
        <v>70.91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24.02</v>
      </c>
      <c r="P513">
        <f t="shared" si="43"/>
        <v>98.06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139.32</v>
      </c>
      <c r="P514">
        <f t="shared" si="43"/>
        <v>53.05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ROUND((E515/D515)*100, 2)</f>
        <v>39.28</v>
      </c>
      <c r="P515">
        <f t="shared" ref="P515:P578" si="49">ROUND(IF(G515 &lt;&gt; 0, AVERAGE(E515/G515), 0),  2)</f>
        <v>93.14</v>
      </c>
      <c r="Q515" t="str">
        <f t="shared" ref="Q515:Q578" si="50">LEFT(N515, FIND("/", N515)-1)</f>
        <v>film &amp; video</v>
      </c>
      <c r="R515" t="str">
        <f t="shared" ref="R515:R578" si="51">RIGHT(N515, LEN(N515)-FIND("/", N515))</f>
        <v>television</v>
      </c>
      <c r="S515" s="7">
        <f t="shared" ref="S515:S578" si="52">(((J515/60)/60)/24)+DATE(1970, 1, 1)</f>
        <v>40430.208333333336</v>
      </c>
      <c r="T515" s="7">
        <f t="shared" ref="T515:T578" si="53">(((K515/60)/60)/24)+DATE(1970, 1, 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22.44</v>
      </c>
      <c r="P516">
        <f t="shared" si="49"/>
        <v>58.95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55.78</v>
      </c>
      <c r="P517">
        <f t="shared" si="49"/>
        <v>36.07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</v>
      </c>
      <c r="P518">
        <f t="shared" si="49"/>
        <v>63.03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</v>
      </c>
      <c r="P519">
        <f t="shared" si="49"/>
        <v>84.72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7.07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101.75</v>
      </c>
      <c r="P521">
        <f t="shared" si="49"/>
        <v>101.98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>
        <f t="shared" si="49"/>
        <v>106.44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145.54</v>
      </c>
      <c r="P523">
        <f t="shared" si="49"/>
        <v>29.98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32.450000000000003</v>
      </c>
      <c r="P524">
        <f t="shared" si="49"/>
        <v>85.81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</v>
      </c>
      <c r="P525">
        <f t="shared" si="49"/>
        <v>70.819999999999993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</v>
      </c>
      <c r="P526">
        <f t="shared" si="49"/>
        <v>41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</v>
      </c>
      <c r="P527">
        <f t="shared" si="49"/>
        <v>28.06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155.94999999999999</v>
      </c>
      <c r="P528">
        <f t="shared" si="49"/>
        <v>88.05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99.62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</v>
      </c>
      <c r="P530">
        <f t="shared" si="49"/>
        <v>90.34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</v>
      </c>
      <c r="P531">
        <f t="shared" si="49"/>
        <v>63.78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</v>
      </c>
      <c r="P532">
        <f t="shared" si="49"/>
        <v>54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</v>
      </c>
      <c r="P533">
        <f t="shared" si="49"/>
        <v>48.99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502.88</v>
      </c>
      <c r="P534">
        <f t="shared" si="49"/>
        <v>63.86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</v>
      </c>
      <c r="P535">
        <f t="shared" si="49"/>
        <v>83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</v>
      </c>
      <c r="P536">
        <f t="shared" si="49"/>
        <v>55.08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482.04</v>
      </c>
      <c r="P537">
        <f t="shared" si="49"/>
        <v>62.04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149.97</v>
      </c>
      <c r="P538">
        <f t="shared" si="49"/>
        <v>104.98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</v>
      </c>
      <c r="P539">
        <f t="shared" si="49"/>
        <v>94.04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37.700000000000003</v>
      </c>
      <c r="P540">
        <f t="shared" si="49"/>
        <v>44.01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72.650000000000006</v>
      </c>
      <c r="P541">
        <f t="shared" si="49"/>
        <v>92.47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</v>
      </c>
      <c r="P542">
        <f t="shared" si="49"/>
        <v>57.07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24.21</v>
      </c>
      <c r="P543">
        <f t="shared" si="49"/>
        <v>109.08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2.5099999999999998</v>
      </c>
      <c r="P544">
        <f t="shared" si="49"/>
        <v>39.39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16.329999999999998</v>
      </c>
      <c r="P545">
        <f t="shared" si="49"/>
        <v>77.02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>
        <f t="shared" si="49"/>
        <v>92.17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</v>
      </c>
      <c r="P547">
        <f t="shared" si="49"/>
        <v>61.01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</v>
      </c>
      <c r="P548">
        <f t="shared" si="49"/>
        <v>78.069999999999993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270.91000000000003</v>
      </c>
      <c r="P550">
        <f t="shared" si="49"/>
        <v>59.99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284.20999999999998</v>
      </c>
      <c r="P551">
        <f t="shared" si="49"/>
        <v>110.03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</v>
      </c>
      <c r="P553">
        <f t="shared" si="49"/>
        <v>38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</v>
      </c>
      <c r="P554">
        <f t="shared" si="49"/>
        <v>96.37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43.98</v>
      </c>
      <c r="P555">
        <f t="shared" si="49"/>
        <v>72.98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</v>
      </c>
      <c r="P556">
        <f t="shared" si="49"/>
        <v>26.01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</v>
      </c>
      <c r="P557">
        <f t="shared" si="49"/>
        <v>104.36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>
        <f t="shared" si="49"/>
        <v>102.19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</v>
      </c>
      <c r="P559">
        <f t="shared" si="49"/>
        <v>54.12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</v>
      </c>
      <c r="P560">
        <f t="shared" si="49"/>
        <v>63.22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100.97</v>
      </c>
      <c r="P561">
        <f t="shared" si="49"/>
        <v>104.03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>
        <f t="shared" si="49"/>
        <v>49.99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>
        <f t="shared" si="49"/>
        <v>56.02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12.82</v>
      </c>
      <c r="P564">
        <f t="shared" si="49"/>
        <v>48.81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138.03</v>
      </c>
      <c r="P565">
        <f t="shared" si="49"/>
        <v>60.08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</v>
      </c>
      <c r="P566">
        <f t="shared" si="49"/>
        <v>78.989999999999995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</v>
      </c>
      <c r="P567">
        <f t="shared" si="49"/>
        <v>53.99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</v>
      </c>
      <c r="P568">
        <f t="shared" si="49"/>
        <v>111.46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</v>
      </c>
      <c r="P569">
        <f t="shared" si="49"/>
        <v>60.92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</v>
      </c>
      <c r="P570">
        <f t="shared" si="49"/>
        <v>26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237.34</v>
      </c>
      <c r="P571">
        <f t="shared" si="49"/>
        <v>80.989999999999995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305.64999999999998</v>
      </c>
      <c r="P572">
        <f t="shared" si="49"/>
        <v>35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</v>
      </c>
      <c r="P573">
        <f t="shared" si="49"/>
        <v>94.14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</v>
      </c>
      <c r="P574">
        <f t="shared" si="49"/>
        <v>52.09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</v>
      </c>
      <c r="P575">
        <f t="shared" si="49"/>
        <v>24.99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369.15</v>
      </c>
      <c r="P576">
        <f t="shared" si="49"/>
        <v>69.22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</v>
      </c>
      <c r="P577">
        <f t="shared" si="49"/>
        <v>93.94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64.930000000000007</v>
      </c>
      <c r="P578">
        <f t="shared" si="49"/>
        <v>98.41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ROUND((E579/D579)*100, 2)</f>
        <v>18.850000000000001</v>
      </c>
      <c r="P579">
        <f t="shared" ref="P579:P642" si="55">ROUND(IF(G579 &lt;&gt; 0, AVERAGE(E579/G579), 0),  2)</f>
        <v>41.78</v>
      </c>
      <c r="Q579" t="str">
        <f t="shared" ref="Q579:Q642" si="56">LEFT(N579, FIND("/", N579)-1)</f>
        <v>music</v>
      </c>
      <c r="R579" t="str">
        <f t="shared" ref="R579:R642" si="57">RIGHT(N579, LEN(N579)-FIND("/", N579))</f>
        <v>jazz</v>
      </c>
      <c r="S579" s="7">
        <f t="shared" ref="S579:S642" si="58">(((J579/60)/60)/24)+DATE(1970, 1, 1)</f>
        <v>40613.25</v>
      </c>
      <c r="T579" s="7">
        <f t="shared" ref="T579:T642" si="59">(((K579/60)/60)/24)+DATE(1970, 1, 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</v>
      </c>
      <c r="P580">
        <f t="shared" si="55"/>
        <v>65.989999999999995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</v>
      </c>
      <c r="P581">
        <f t="shared" si="55"/>
        <v>72.06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</v>
      </c>
      <c r="P582">
        <f t="shared" si="55"/>
        <v>48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64.02</v>
      </c>
      <c r="P583">
        <f t="shared" si="55"/>
        <v>54.1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</v>
      </c>
      <c r="P584">
        <f t="shared" si="55"/>
        <v>107.88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322.39999999999998</v>
      </c>
      <c r="P585">
        <f t="shared" si="55"/>
        <v>67.03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119.51</v>
      </c>
      <c r="P586">
        <f t="shared" si="55"/>
        <v>64.010000000000005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146.80000000000001</v>
      </c>
      <c r="P587">
        <f t="shared" si="55"/>
        <v>96.07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</v>
      </c>
      <c r="P588">
        <f t="shared" si="55"/>
        <v>51.18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</v>
      </c>
      <c r="P589">
        <f t="shared" si="55"/>
        <v>43.92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79.010000000000005</v>
      </c>
      <c r="P590">
        <f t="shared" si="55"/>
        <v>91.02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</v>
      </c>
      <c r="P591">
        <f t="shared" si="55"/>
        <v>50.13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82.03</v>
      </c>
      <c r="P592">
        <f t="shared" si="55"/>
        <v>67.72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1037.67</v>
      </c>
      <c r="P593">
        <f t="shared" si="55"/>
        <v>61.04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</v>
      </c>
      <c r="P594">
        <f t="shared" si="55"/>
        <v>80.010000000000005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</v>
      </c>
      <c r="P595">
        <f t="shared" si="55"/>
        <v>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7.1</v>
      </c>
      <c r="P596">
        <f t="shared" si="55"/>
        <v>71.13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208.53</v>
      </c>
      <c r="P597">
        <f t="shared" si="55"/>
        <v>89.99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</v>
      </c>
      <c r="P598">
        <f t="shared" si="55"/>
        <v>43.03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201.6</v>
      </c>
      <c r="P599">
        <f t="shared" si="55"/>
        <v>68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</v>
      </c>
      <c r="P600">
        <f t="shared" si="55"/>
        <v>73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</v>
      </c>
      <c r="P601">
        <f t="shared" si="55"/>
        <v>62.34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</v>
      </c>
      <c r="P603">
        <f t="shared" si="55"/>
        <v>67.099999999999994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128.24</v>
      </c>
      <c r="P604">
        <f t="shared" si="55"/>
        <v>79.98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</v>
      </c>
      <c r="P605">
        <f t="shared" si="55"/>
        <v>62.18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</v>
      </c>
      <c r="P606">
        <f t="shared" si="55"/>
        <v>53.01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</v>
      </c>
      <c r="P607">
        <f t="shared" si="55"/>
        <v>57.74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</v>
      </c>
      <c r="P608">
        <f t="shared" si="55"/>
        <v>40.03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131.30000000000001</v>
      </c>
      <c r="P609">
        <f t="shared" si="55"/>
        <v>81.02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283.97000000000003</v>
      </c>
      <c r="P610">
        <f t="shared" si="55"/>
        <v>35.049999999999997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120.42</v>
      </c>
      <c r="P611">
        <f t="shared" si="55"/>
        <v>102.92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419.06</v>
      </c>
      <c r="P612">
        <f t="shared" si="55"/>
        <v>28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</v>
      </c>
      <c r="P613">
        <f t="shared" si="55"/>
        <v>75.73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139.44</v>
      </c>
      <c r="P614">
        <f t="shared" si="55"/>
        <v>45.03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>
        <f t="shared" si="55"/>
        <v>73.62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</v>
      </c>
      <c r="P616">
        <f t="shared" si="55"/>
        <v>56.99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170.45</v>
      </c>
      <c r="P617">
        <f t="shared" si="55"/>
        <v>85.22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189.52</v>
      </c>
      <c r="P618">
        <f t="shared" si="55"/>
        <v>50.96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</v>
      </c>
      <c r="P619">
        <f t="shared" si="55"/>
        <v>63.56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</v>
      </c>
      <c r="P620">
        <f t="shared" si="55"/>
        <v>81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</v>
      </c>
      <c r="P621">
        <f t="shared" si="55"/>
        <v>86.04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</v>
      </c>
      <c r="P622">
        <f t="shared" si="55"/>
        <v>90.04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619.79999999999995</v>
      </c>
      <c r="P623">
        <f t="shared" si="55"/>
        <v>74.010000000000005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</v>
      </c>
      <c r="P624">
        <f t="shared" si="55"/>
        <v>92.44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159.91999999999999</v>
      </c>
      <c r="P625">
        <f t="shared" si="55"/>
        <v>56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</v>
      </c>
      <c r="P626">
        <f t="shared" si="55"/>
        <v>32.979999999999997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</v>
      </c>
      <c r="P627">
        <f t="shared" si="55"/>
        <v>93.6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206.33</v>
      </c>
      <c r="P628">
        <f t="shared" si="55"/>
        <v>69.87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>
        <f t="shared" si="55"/>
        <v>72.13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151.79</v>
      </c>
      <c r="P630">
        <f t="shared" si="55"/>
        <v>30.04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</v>
      </c>
      <c r="P631">
        <f t="shared" si="55"/>
        <v>73.97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</v>
      </c>
      <c r="P632">
        <f t="shared" si="55"/>
        <v>68.66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310.39999999999998</v>
      </c>
      <c r="P633">
        <f t="shared" si="55"/>
        <v>59.99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42.86</v>
      </c>
      <c r="P634">
        <f t="shared" si="55"/>
        <v>111.16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83.12</v>
      </c>
      <c r="P635">
        <f t="shared" si="55"/>
        <v>53.04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</v>
      </c>
      <c r="P636">
        <f t="shared" si="55"/>
        <v>55.99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</v>
      </c>
      <c r="P637">
        <f t="shared" si="55"/>
        <v>69.989999999999995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64.540000000000006</v>
      </c>
      <c r="P638">
        <f t="shared" si="55"/>
        <v>49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</v>
      </c>
      <c r="P639">
        <f t="shared" si="55"/>
        <v>103.85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11.42</v>
      </c>
      <c r="P640">
        <f t="shared" si="55"/>
        <v>99.13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56.19</v>
      </c>
      <c r="P641">
        <f t="shared" si="55"/>
        <v>107.38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</v>
      </c>
      <c r="P642">
        <f t="shared" si="55"/>
        <v>76.92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ROUND((E643/D643)*100, 2)</f>
        <v>119.97</v>
      </c>
      <c r="P643">
        <f t="shared" ref="P643:P706" si="61">ROUND(IF(G643 &lt;&gt; 0, AVERAGE(E643/G643), 0),  2)</f>
        <v>58.13</v>
      </c>
      <c r="Q643" t="str">
        <f t="shared" ref="Q643:Q706" si="62">LEFT(N643, FIND("/", N643)-1)</f>
        <v>theater</v>
      </c>
      <c r="R643" t="str">
        <f t="shared" ref="R643:R706" si="63">RIGHT(N643, LEN(N643)-FIND("/", N643))</f>
        <v>plays</v>
      </c>
      <c r="S643" s="7">
        <f t="shared" ref="S643:S706" si="64">(((J643/60)/60)/24)+DATE(1970, 1, 1)</f>
        <v>42786.25</v>
      </c>
      <c r="T643" s="7">
        <f t="shared" ref="T643:T706" si="65">(((K643/60)/60)/24)+DATE(1970, 1, 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145.46</v>
      </c>
      <c r="P644">
        <f t="shared" si="61"/>
        <v>103.74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</v>
      </c>
      <c r="P645">
        <f t="shared" si="61"/>
        <v>87.96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48.4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</v>
      </c>
      <c r="P647">
        <f t="shared" si="61"/>
        <v>38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88.6</v>
      </c>
      <c r="P648">
        <f t="shared" si="61"/>
        <v>30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63.06</v>
      </c>
      <c r="P650">
        <f t="shared" si="61"/>
        <v>85.99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</v>
      </c>
      <c r="P651">
        <f t="shared" si="61"/>
        <v>98.01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88.48</v>
      </c>
      <c r="P653">
        <f t="shared" si="61"/>
        <v>44.99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>
        <f t="shared" si="61"/>
        <v>31.01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</v>
      </c>
      <c r="P655">
        <f t="shared" si="61"/>
        <v>59.97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508.39</v>
      </c>
      <c r="P656">
        <f t="shared" si="61"/>
        <v>59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191.48</v>
      </c>
      <c r="P657">
        <f t="shared" si="61"/>
        <v>50.05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42.13</v>
      </c>
      <c r="P658">
        <f t="shared" si="61"/>
        <v>98.97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>
        <f t="shared" si="61"/>
        <v>58.86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</v>
      </c>
      <c r="P660">
        <f t="shared" si="61"/>
        <v>81.010000000000005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</v>
      </c>
      <c r="P661">
        <f t="shared" si="61"/>
        <v>76.010000000000005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81.739999999999995</v>
      </c>
      <c r="P662">
        <f t="shared" si="61"/>
        <v>96.6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54.19</v>
      </c>
      <c r="P663">
        <f t="shared" si="61"/>
        <v>76.959999999999994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97.87</v>
      </c>
      <c r="P664">
        <f t="shared" si="61"/>
        <v>67.98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>
        <f t="shared" si="61"/>
        <v>88.78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</v>
      </c>
      <c r="P666">
        <f t="shared" si="61"/>
        <v>25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239.59</v>
      </c>
      <c r="P667">
        <f t="shared" si="61"/>
        <v>44.92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176.16</v>
      </c>
      <c r="P669">
        <f t="shared" si="61"/>
        <v>29.01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20.34</v>
      </c>
      <c r="P670">
        <f t="shared" si="61"/>
        <v>73.59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358.65</v>
      </c>
      <c r="P671">
        <f t="shared" si="61"/>
        <v>107.97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468.86</v>
      </c>
      <c r="P672">
        <f t="shared" si="61"/>
        <v>68.989999999999995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122.06</v>
      </c>
      <c r="P673">
        <f t="shared" si="61"/>
        <v>111.02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</v>
      </c>
      <c r="P674">
        <f t="shared" si="61"/>
        <v>25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</v>
      </c>
      <c r="P675">
        <f t="shared" si="61"/>
        <v>42.16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33.54</v>
      </c>
      <c r="P676">
        <f t="shared" si="61"/>
        <v>47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122.98</v>
      </c>
      <c r="P677">
        <f t="shared" si="61"/>
        <v>36.04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189.75</v>
      </c>
      <c r="P678">
        <f t="shared" si="61"/>
        <v>101.04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</v>
      </c>
      <c r="P679">
        <f t="shared" si="61"/>
        <v>39.93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17.97</v>
      </c>
      <c r="P680">
        <f t="shared" si="61"/>
        <v>83.16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>
        <f t="shared" si="61"/>
        <v>39.979999999999997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97.41</v>
      </c>
      <c r="P682">
        <f t="shared" si="61"/>
        <v>47.99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86.39</v>
      </c>
      <c r="P683">
        <f t="shared" si="61"/>
        <v>95.98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150.16999999999999</v>
      </c>
      <c r="P684">
        <f t="shared" si="61"/>
        <v>78.73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</v>
      </c>
      <c r="P685">
        <f t="shared" si="61"/>
        <v>56.08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542.86</v>
      </c>
      <c r="P686">
        <f t="shared" si="61"/>
        <v>69.09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</v>
      </c>
      <c r="P687">
        <f t="shared" si="61"/>
        <v>102.05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191.75</v>
      </c>
      <c r="P688">
        <f t="shared" si="61"/>
        <v>107.32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>
        <f t="shared" si="61"/>
        <v>51.97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429.28</v>
      </c>
      <c r="P690">
        <f t="shared" si="61"/>
        <v>71.14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100.66</v>
      </c>
      <c r="P691">
        <f t="shared" si="61"/>
        <v>106.49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</v>
      </c>
      <c r="P692">
        <f t="shared" si="61"/>
        <v>42.94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>
        <f t="shared" si="61"/>
        <v>30.04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</v>
      </c>
      <c r="P694">
        <f t="shared" si="61"/>
        <v>70.62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63.97</v>
      </c>
      <c r="P695">
        <f t="shared" si="61"/>
        <v>66.02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</v>
      </c>
      <c r="P696">
        <f t="shared" si="61"/>
        <v>96.91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</v>
      </c>
      <c r="P697">
        <f t="shared" si="61"/>
        <v>62.87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</v>
      </c>
      <c r="P698">
        <f t="shared" si="61"/>
        <v>108.99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152.80000000000001</v>
      </c>
      <c r="P699">
        <f t="shared" si="61"/>
        <v>27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</v>
      </c>
      <c r="P700">
        <f t="shared" si="61"/>
        <v>65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</v>
      </c>
      <c r="P701">
        <f t="shared" si="61"/>
        <v>111.52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175.03</v>
      </c>
      <c r="P703">
        <f t="shared" si="61"/>
        <v>110.99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54.14</v>
      </c>
      <c r="P704">
        <f t="shared" si="61"/>
        <v>56.75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</v>
      </c>
      <c r="P705">
        <f t="shared" si="61"/>
        <v>97.02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</v>
      </c>
      <c r="P706">
        <f t="shared" si="61"/>
        <v>92.09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ROUND((E707/D707)*100, 2)</f>
        <v>99.03</v>
      </c>
      <c r="P707">
        <f t="shared" ref="P707:P770" si="67">ROUND(IF(G707 &lt;&gt; 0, AVERAGE(E707/G707), 0),  2)</f>
        <v>82.99</v>
      </c>
      <c r="Q707" t="str">
        <f t="shared" ref="Q707:Q770" si="68">LEFT(N707, FIND("/", N707)-1)</f>
        <v>publishing</v>
      </c>
      <c r="R707" t="str">
        <f t="shared" ref="R707:R770" si="69">RIGHT(N707, LEN(N707)-FIND("/", N707))</f>
        <v>nonfiction</v>
      </c>
      <c r="S707" s="7">
        <f t="shared" ref="S707:S770" si="70">(((J707/60)/60)/24)+DATE(1970, 1, 1)</f>
        <v>41619.25</v>
      </c>
      <c r="T707" s="7">
        <f t="shared" ref="T707:T770" si="71">(((K707/60)/60)/24)+DATE(1970, 1, 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127.85</v>
      </c>
      <c r="P708">
        <f t="shared" si="67"/>
        <v>103.04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158.62</v>
      </c>
      <c r="P709">
        <f t="shared" si="67"/>
        <v>68.92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707.06</v>
      </c>
      <c r="P710">
        <f t="shared" si="67"/>
        <v>87.74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142.38999999999999</v>
      </c>
      <c r="P711">
        <f t="shared" si="67"/>
        <v>75.02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147.86000000000001</v>
      </c>
      <c r="P712">
        <f t="shared" si="67"/>
        <v>50.86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1840.63</v>
      </c>
      <c r="P714">
        <f t="shared" si="67"/>
        <v>72.900000000000006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</v>
      </c>
      <c r="P715">
        <f t="shared" si="67"/>
        <v>108.49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</v>
      </c>
      <c r="P716">
        <f t="shared" si="67"/>
        <v>101.98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24.47</v>
      </c>
      <c r="P717">
        <f t="shared" si="67"/>
        <v>44.01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>
        <f t="shared" si="67"/>
        <v>65.94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</v>
      </c>
      <c r="P719">
        <f t="shared" si="67"/>
        <v>24.99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</v>
      </c>
      <c r="P720">
        <f t="shared" si="67"/>
        <v>28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>
        <f t="shared" si="67"/>
        <v>85.83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37.090000000000003</v>
      </c>
      <c r="P722">
        <f t="shared" si="67"/>
        <v>84.92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4.3899999999999997</v>
      </c>
      <c r="P723">
        <f t="shared" si="67"/>
        <v>90.48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156.51</v>
      </c>
      <c r="P724">
        <f t="shared" si="67"/>
        <v>25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270.41000000000003</v>
      </c>
      <c r="P725">
        <f t="shared" si="67"/>
        <v>92.01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134.06</v>
      </c>
      <c r="P726">
        <f t="shared" si="67"/>
        <v>93.07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50.4</v>
      </c>
      <c r="P727">
        <f t="shared" si="67"/>
        <v>61.01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88.82</v>
      </c>
      <c r="P728">
        <f t="shared" si="67"/>
        <v>92.04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>
        <f t="shared" si="67"/>
        <v>81.13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</v>
      </c>
      <c r="P731">
        <f t="shared" si="67"/>
        <v>85.22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</v>
      </c>
      <c r="P732">
        <f t="shared" si="67"/>
        <v>110.97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>
        <f t="shared" si="67"/>
        <v>32.97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</v>
      </c>
      <c r="P734">
        <f t="shared" si="67"/>
        <v>96.01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527.01</v>
      </c>
      <c r="P735">
        <f t="shared" si="67"/>
        <v>84.97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</v>
      </c>
      <c r="P736">
        <f t="shared" si="67"/>
        <v>25.01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354.19</v>
      </c>
      <c r="P737">
        <f t="shared" si="67"/>
        <v>66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32.9</v>
      </c>
      <c r="P738">
        <f t="shared" si="67"/>
        <v>87.34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135.88999999999999</v>
      </c>
      <c r="P739">
        <f t="shared" si="67"/>
        <v>27.93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>
        <f t="shared" si="67"/>
        <v>31.94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30.04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1179.17</v>
      </c>
      <c r="P743">
        <f t="shared" si="67"/>
        <v>108.85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</v>
      </c>
      <c r="P744">
        <f t="shared" si="67"/>
        <v>110.76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</v>
      </c>
      <c r="P745">
        <f t="shared" si="67"/>
        <v>29.65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>
        <f t="shared" si="67"/>
        <v>101.71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212.51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228.86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34.96</v>
      </c>
      <c r="P750">
        <f t="shared" si="67"/>
        <v>110.97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</v>
      </c>
      <c r="P751">
        <f t="shared" si="67"/>
        <v>36.96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232.31</v>
      </c>
      <c r="P753">
        <f t="shared" si="67"/>
        <v>30.97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92.45</v>
      </c>
      <c r="P754">
        <f t="shared" si="67"/>
        <v>47.04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</v>
      </c>
      <c r="P755">
        <f t="shared" si="67"/>
        <v>88.07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</v>
      </c>
      <c r="P756">
        <f t="shared" si="67"/>
        <v>37.01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166.58</v>
      </c>
      <c r="P757">
        <f t="shared" si="67"/>
        <v>26.03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772.08</v>
      </c>
      <c r="P758">
        <f t="shared" si="67"/>
        <v>67.819999999999993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406.86</v>
      </c>
      <c r="P759">
        <f t="shared" si="67"/>
        <v>49.96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564.21</v>
      </c>
      <c r="P760">
        <f t="shared" si="67"/>
        <v>110.02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68.430000000000007</v>
      </c>
      <c r="P761">
        <f t="shared" si="67"/>
        <v>89.96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</v>
      </c>
      <c r="P762">
        <f t="shared" si="67"/>
        <v>79.010000000000005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</v>
      </c>
      <c r="P763">
        <f t="shared" si="67"/>
        <v>86.87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177.26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113.18</v>
      </c>
      <c r="P765">
        <f t="shared" si="67"/>
        <v>26.97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</v>
      </c>
      <c r="P766">
        <f t="shared" si="67"/>
        <v>54.12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</v>
      </c>
      <c r="P767">
        <f t="shared" si="67"/>
        <v>41.04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</v>
      </c>
      <c r="P768">
        <f t="shared" si="67"/>
        <v>55.05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56.97</v>
      </c>
      <c r="P769">
        <f t="shared" si="67"/>
        <v>107.94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ROUND((E771/D771)*100, 2)</f>
        <v>86.87</v>
      </c>
      <c r="P771">
        <f t="shared" ref="P771:P834" si="73">ROUND(IF(G771 &lt;&gt; 0, AVERAGE(E771/G771), 0),  2)</f>
        <v>32</v>
      </c>
      <c r="Q771" t="str">
        <f t="shared" ref="Q771:Q834" si="74">LEFT(N771, FIND("/", N771)-1)</f>
        <v>games</v>
      </c>
      <c r="R771" t="str">
        <f t="shared" ref="R771:R834" si="75">RIGHT(N771, LEN(N771)-FIND("/", N771))</f>
        <v>video games</v>
      </c>
      <c r="S771" s="7">
        <f t="shared" ref="S771:S834" si="76">(((J771/60)/60)/24)+DATE(1970, 1, 1)</f>
        <v>41501.208333333336</v>
      </c>
      <c r="T771" s="7">
        <f t="shared" ref="T771:T834" si="77">(((K771/60)/60)/24)+DATE(1970, 1, 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</v>
      </c>
      <c r="P772">
        <f t="shared" si="73"/>
        <v>53.9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49.45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113.36</v>
      </c>
      <c r="P774">
        <f t="shared" si="73"/>
        <v>33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190.56</v>
      </c>
      <c r="P775">
        <f t="shared" si="73"/>
        <v>43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>
        <f t="shared" si="73"/>
        <v>86.86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10.3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65.540000000000006</v>
      </c>
      <c r="P778">
        <f t="shared" si="73"/>
        <v>33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49.03</v>
      </c>
      <c r="P779">
        <f t="shared" si="73"/>
        <v>68.03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</v>
      </c>
      <c r="P780">
        <f t="shared" si="73"/>
        <v>58.87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80.31</v>
      </c>
      <c r="P781">
        <f t="shared" si="73"/>
        <v>105.05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</v>
      </c>
      <c r="P782">
        <f t="shared" si="73"/>
        <v>33.049999999999997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50.74</v>
      </c>
      <c r="P783">
        <f t="shared" si="73"/>
        <v>78.819999999999993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</v>
      </c>
      <c r="P784">
        <f t="shared" si="73"/>
        <v>68.2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141.22999999999999</v>
      </c>
      <c r="P785">
        <f t="shared" si="73"/>
        <v>75.73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115.34</v>
      </c>
      <c r="P786">
        <f t="shared" si="73"/>
        <v>31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193.12</v>
      </c>
      <c r="P787">
        <f t="shared" si="73"/>
        <v>101.88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</v>
      </c>
      <c r="P788">
        <f t="shared" si="73"/>
        <v>52.88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</v>
      </c>
      <c r="P789">
        <f t="shared" si="73"/>
        <v>71.010000000000005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88.17</v>
      </c>
      <c r="P790">
        <f t="shared" si="73"/>
        <v>102.39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37.229999999999997</v>
      </c>
      <c r="P791">
        <f t="shared" si="73"/>
        <v>74.47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</v>
      </c>
      <c r="P792">
        <f t="shared" si="73"/>
        <v>51.01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>
        <f t="shared" si="73"/>
        <v>97.14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1185.9100000000001</v>
      </c>
      <c r="P795">
        <f t="shared" si="73"/>
        <v>72.069999999999993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</v>
      </c>
      <c r="P796">
        <f t="shared" si="73"/>
        <v>75.239999999999995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</v>
      </c>
      <c r="P797">
        <f t="shared" si="73"/>
        <v>32.97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54.81</v>
      </c>
      <c r="P798">
        <f t="shared" si="73"/>
        <v>54.81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</v>
      </c>
      <c r="P799">
        <f t="shared" si="73"/>
        <v>45.04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</v>
      </c>
      <c r="P800">
        <f t="shared" si="73"/>
        <v>52.96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87.01</v>
      </c>
      <c r="P801">
        <f t="shared" si="73"/>
        <v>60.02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</v>
      </c>
      <c r="P803">
        <f t="shared" si="73"/>
        <v>44.03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</v>
      </c>
      <c r="P804">
        <f t="shared" si="73"/>
        <v>86.03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>
        <f t="shared" si="73"/>
        <v>28.01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</v>
      </c>
      <c r="P806">
        <f t="shared" si="73"/>
        <v>32.049999999999997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50.85</v>
      </c>
      <c r="P807">
        <f t="shared" si="73"/>
        <v>73.61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1180.29</v>
      </c>
      <c r="P808">
        <f t="shared" si="73"/>
        <v>108.71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>
        <f t="shared" si="73"/>
        <v>42.98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</v>
      </c>
      <c r="P810">
        <f t="shared" si="73"/>
        <v>83.32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193.13</v>
      </c>
      <c r="P812">
        <f t="shared" si="73"/>
        <v>55.93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77.099999999999994</v>
      </c>
      <c r="P813">
        <f t="shared" si="73"/>
        <v>105.04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225.53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239.41</v>
      </c>
      <c r="P815">
        <f t="shared" si="73"/>
        <v>112.66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92.19</v>
      </c>
      <c r="P816">
        <f t="shared" si="73"/>
        <v>81.94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130.22999999999999</v>
      </c>
      <c r="P817">
        <f t="shared" si="73"/>
        <v>64.05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615.22</v>
      </c>
      <c r="P818">
        <f t="shared" si="73"/>
        <v>106.39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368.8</v>
      </c>
      <c r="P819">
        <f t="shared" si="73"/>
        <v>76.010000000000005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1094.8599999999999</v>
      </c>
      <c r="P820">
        <f t="shared" si="73"/>
        <v>111.07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</v>
      </c>
      <c r="P821">
        <f t="shared" si="73"/>
        <v>95.94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>
        <f t="shared" si="73"/>
        <v>43.04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291.29000000000002</v>
      </c>
      <c r="P823">
        <f t="shared" si="73"/>
        <v>67.97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349.97</v>
      </c>
      <c r="P824">
        <f t="shared" si="73"/>
        <v>89.99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</v>
      </c>
      <c r="P825">
        <f t="shared" si="73"/>
        <v>58.1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126.49</v>
      </c>
      <c r="P826">
        <f t="shared" si="73"/>
        <v>84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>
        <f t="shared" si="73"/>
        <v>88.85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457.04</v>
      </c>
      <c r="P828">
        <f t="shared" si="73"/>
        <v>65.959999999999994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266.7</v>
      </c>
      <c r="P829">
        <f t="shared" si="73"/>
        <v>74.8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>
        <f t="shared" si="73"/>
        <v>69.989999999999995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</v>
      </c>
      <c r="P831">
        <f t="shared" si="73"/>
        <v>32.01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</v>
      </c>
      <c r="P832">
        <f t="shared" si="73"/>
        <v>64.73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108.98</v>
      </c>
      <c r="P833">
        <f t="shared" si="73"/>
        <v>25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315.18</v>
      </c>
      <c r="P834">
        <f t="shared" si="73"/>
        <v>104.98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ROUND((E835/D835)*100, 2)</f>
        <v>157.69</v>
      </c>
      <c r="P835">
        <f t="shared" ref="P835:P898" si="79">ROUND(IF(G835 &lt;&gt; 0, AVERAGE(E835/G835), 0),  2)</f>
        <v>64.989999999999995</v>
      </c>
      <c r="Q835" t="str">
        <f t="shared" ref="Q835:Q898" si="80">LEFT(N835, FIND("/", N835)-1)</f>
        <v>publishing</v>
      </c>
      <c r="R835" t="str">
        <f t="shared" ref="R835:R898" si="81">RIGHT(N835, LEN(N835)-FIND("/", N835))</f>
        <v>translations</v>
      </c>
      <c r="S835" s="7">
        <f t="shared" ref="S835:S898" si="82">(((J835/60)/60)/24)+DATE(1970, 1, 1)</f>
        <v>40588.25</v>
      </c>
      <c r="T835" s="7">
        <f t="shared" ref="T835:T898" si="83">(((K835/60)/60)/24)+DATE(1970, 1, 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153.81</v>
      </c>
      <c r="P836">
        <f t="shared" si="79"/>
        <v>94.35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89.74</v>
      </c>
      <c r="P837">
        <f t="shared" si="79"/>
        <v>44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75.14</v>
      </c>
      <c r="P838">
        <f t="shared" si="79"/>
        <v>64.739999999999995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</v>
      </c>
      <c r="P839">
        <f t="shared" si="79"/>
        <v>84.01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138.91</v>
      </c>
      <c r="P840">
        <f t="shared" si="79"/>
        <v>34.06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</v>
      </c>
      <c r="P841">
        <f t="shared" si="79"/>
        <v>93.27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</v>
      </c>
      <c r="P842">
        <f t="shared" si="79"/>
        <v>33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142.76</v>
      </c>
      <c r="P843">
        <f t="shared" si="79"/>
        <v>83.81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</v>
      </c>
      <c r="P844">
        <f t="shared" si="79"/>
        <v>63.99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30.72</v>
      </c>
      <c r="P845">
        <f t="shared" si="79"/>
        <v>81.91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99.4</v>
      </c>
      <c r="P846">
        <f t="shared" si="79"/>
        <v>93.05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197.55</v>
      </c>
      <c r="P847">
        <f t="shared" si="79"/>
        <v>101.98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>
        <f t="shared" si="79"/>
        <v>105.94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</v>
      </c>
      <c r="P849">
        <f t="shared" si="79"/>
        <v>101.58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338.47</v>
      </c>
      <c r="P850">
        <f t="shared" si="79"/>
        <v>62.97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133.09</v>
      </c>
      <c r="P851">
        <f t="shared" si="79"/>
        <v>29.05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207.8</v>
      </c>
      <c r="P853">
        <f t="shared" si="79"/>
        <v>77.930000000000007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</v>
      </c>
      <c r="P854">
        <f t="shared" si="79"/>
        <v>80.81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652.05999999999995</v>
      </c>
      <c r="P855">
        <f t="shared" si="79"/>
        <v>76.010000000000005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</v>
      </c>
      <c r="P856">
        <f t="shared" si="79"/>
        <v>72.989999999999995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102.38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</v>
      </c>
      <c r="P858">
        <f t="shared" si="79"/>
        <v>54.16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139.87</v>
      </c>
      <c r="P859">
        <f t="shared" si="79"/>
        <v>32.950000000000003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>
        <f t="shared" si="79"/>
        <v>79.37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</v>
      </c>
      <c r="P861">
        <f t="shared" si="79"/>
        <v>41.17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>
        <f t="shared" si="79"/>
        <v>77.430000000000007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105.88</v>
      </c>
      <c r="P863">
        <f t="shared" si="79"/>
        <v>57.16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187.43</v>
      </c>
      <c r="P864">
        <f t="shared" si="79"/>
        <v>77.180000000000007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386.79</v>
      </c>
      <c r="P865">
        <f t="shared" si="79"/>
        <v>24.95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</v>
      </c>
      <c r="P867">
        <f t="shared" si="79"/>
        <v>46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</v>
      </c>
      <c r="P868">
        <f t="shared" si="79"/>
        <v>88.02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162.44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</v>
      </c>
      <c r="P870">
        <f t="shared" si="79"/>
        <v>102.69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</v>
      </c>
      <c r="P871">
        <f t="shared" si="79"/>
        <v>72.959999999999994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</v>
      </c>
      <c r="P872">
        <f t="shared" si="79"/>
        <v>57.19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272.60000000000002</v>
      </c>
      <c r="P873">
        <f t="shared" si="79"/>
        <v>84.01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</v>
      </c>
      <c r="P874">
        <f t="shared" si="79"/>
        <v>98.67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188.29</v>
      </c>
      <c r="P875">
        <f t="shared" si="79"/>
        <v>42.01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346.94</v>
      </c>
      <c r="P876">
        <f t="shared" si="79"/>
        <v>32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69.180000000000007</v>
      </c>
      <c r="P877">
        <f t="shared" si="79"/>
        <v>81.569999999999993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</v>
      </c>
      <c r="P878">
        <f t="shared" si="79"/>
        <v>37.04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77.400000000000006</v>
      </c>
      <c r="P879">
        <f t="shared" si="79"/>
        <v>103.03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37.479999999999997</v>
      </c>
      <c r="P880">
        <f t="shared" si="79"/>
        <v>84.33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>
        <f t="shared" si="79"/>
        <v>102.6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</v>
      </c>
      <c r="P882">
        <f t="shared" si="79"/>
        <v>79.989999999999995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38.950000000000003</v>
      </c>
      <c r="P883">
        <f t="shared" si="79"/>
        <v>70.06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</v>
      </c>
      <c r="P885">
        <f t="shared" si="79"/>
        <v>41.91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64.040000000000006</v>
      </c>
      <c r="P886">
        <f t="shared" si="79"/>
        <v>57.99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118.28</v>
      </c>
      <c r="P887">
        <f t="shared" si="79"/>
        <v>40.94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</v>
      </c>
      <c r="P888">
        <f t="shared" si="79"/>
        <v>70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29.35</v>
      </c>
      <c r="P889">
        <f t="shared" si="79"/>
        <v>73.84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209.9</v>
      </c>
      <c r="P890">
        <f t="shared" si="79"/>
        <v>41.98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169.79</v>
      </c>
      <c r="P891">
        <f t="shared" si="79"/>
        <v>77.930000000000007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115.96</v>
      </c>
      <c r="P892">
        <f t="shared" si="79"/>
        <v>106.02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258.60000000000002</v>
      </c>
      <c r="P893">
        <f t="shared" si="79"/>
        <v>47.02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</v>
      </c>
      <c r="P894">
        <f t="shared" si="79"/>
        <v>76.02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</v>
      </c>
      <c r="P895">
        <f t="shared" si="79"/>
        <v>54.12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188.71</v>
      </c>
      <c r="P896">
        <f t="shared" si="79"/>
        <v>57.29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</v>
      </c>
      <c r="P897">
        <f t="shared" si="79"/>
        <v>103.81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</v>
      </c>
      <c r="P898">
        <f t="shared" si="79"/>
        <v>105.03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ROUND((E899/D899)*100, 2)</f>
        <v>27.69</v>
      </c>
      <c r="P899">
        <f t="shared" ref="P899:P962" si="85">ROUND(IF(G899 &lt;&gt; 0, AVERAGE(E899/G899), 0),  2)</f>
        <v>90.26</v>
      </c>
      <c r="Q899" t="str">
        <f t="shared" ref="Q899:Q962" si="86">LEFT(N899, FIND("/", N899)-1)</f>
        <v>theater</v>
      </c>
      <c r="R899" t="str">
        <f t="shared" ref="R899:R962" si="87">RIGHT(N899, LEN(N899)-FIND("/", N899))</f>
        <v>plays</v>
      </c>
      <c r="S899" s="7">
        <f t="shared" ref="S899:S962" si="88">(((J899/60)/60)/24)+DATE(1970, 1, 1)</f>
        <v>43583.208333333328</v>
      </c>
      <c r="T899" s="7">
        <f t="shared" ref="T899:T962" si="89">(((K899/60)/60)/24)+DATE(1970, 1, 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52.48</v>
      </c>
      <c r="P900">
        <f t="shared" si="85"/>
        <v>76.98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407.1</v>
      </c>
      <c r="P901">
        <f t="shared" si="85"/>
        <v>102.6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156.18</v>
      </c>
      <c r="P903">
        <f t="shared" si="85"/>
        <v>55.01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252.43</v>
      </c>
      <c r="P904">
        <f t="shared" si="85"/>
        <v>32.130000000000003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1.73</v>
      </c>
      <c r="P905">
        <f t="shared" si="85"/>
        <v>50.64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</v>
      </c>
      <c r="P906">
        <f t="shared" si="85"/>
        <v>49.69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163.99</v>
      </c>
      <c r="P907">
        <f t="shared" si="85"/>
        <v>54.89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162.97999999999999</v>
      </c>
      <c r="P908">
        <f t="shared" si="85"/>
        <v>46.93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</v>
      </c>
      <c r="P909">
        <f t="shared" si="85"/>
        <v>44.95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</v>
      </c>
      <c r="P910">
        <f t="shared" si="85"/>
        <v>31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</v>
      </c>
      <c r="P911">
        <f t="shared" si="85"/>
        <v>107.76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19.559999999999999</v>
      </c>
      <c r="P912">
        <f t="shared" si="85"/>
        <v>102.08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198.95</v>
      </c>
      <c r="P913">
        <f t="shared" si="85"/>
        <v>24.98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>
        <f t="shared" si="85"/>
        <v>79.94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</v>
      </c>
      <c r="P915">
        <f t="shared" si="85"/>
        <v>67.95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57.44</v>
      </c>
      <c r="P916">
        <f t="shared" si="85"/>
        <v>26.07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155.63</v>
      </c>
      <c r="P917">
        <f t="shared" si="85"/>
        <v>105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36.299999999999997</v>
      </c>
      <c r="P918">
        <f t="shared" si="85"/>
        <v>25.83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>
        <f t="shared" si="85"/>
        <v>77.67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</v>
      </c>
      <c r="P920">
        <f t="shared" si="85"/>
        <v>57.83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>
        <f t="shared" si="85"/>
        <v>92.96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182.57</v>
      </c>
      <c r="P922">
        <f t="shared" si="85"/>
        <v>37.950000000000003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</v>
      </c>
      <c r="P923">
        <f t="shared" si="85"/>
        <v>31.84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</v>
      </c>
      <c r="P926">
        <f t="shared" si="85"/>
        <v>84.01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224.07</v>
      </c>
      <c r="P927">
        <f t="shared" si="85"/>
        <v>103.42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18.13</v>
      </c>
      <c r="P928">
        <f t="shared" si="85"/>
        <v>105.13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45.85</v>
      </c>
      <c r="P929">
        <f t="shared" si="85"/>
        <v>89.22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117.32</v>
      </c>
      <c r="P930">
        <f t="shared" si="85"/>
        <v>52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217.31</v>
      </c>
      <c r="P931">
        <f t="shared" si="85"/>
        <v>64.959999999999994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112.29</v>
      </c>
      <c r="P932">
        <f t="shared" si="85"/>
        <v>46.24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72.52</v>
      </c>
      <c r="P933">
        <f t="shared" si="85"/>
        <v>51.15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</v>
      </c>
      <c r="P934">
        <f t="shared" si="85"/>
        <v>33.909999999999997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239.75</v>
      </c>
      <c r="P935">
        <f t="shared" si="85"/>
        <v>92.02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181.94</v>
      </c>
      <c r="P936">
        <f t="shared" si="85"/>
        <v>107.43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</v>
      </c>
      <c r="P937">
        <f t="shared" si="85"/>
        <v>75.849999999999994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1.64</v>
      </c>
      <c r="P938">
        <f t="shared" si="85"/>
        <v>80.48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</v>
      </c>
      <c r="P939">
        <f t="shared" si="85"/>
        <v>86.98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109.71</v>
      </c>
      <c r="P940">
        <f t="shared" si="85"/>
        <v>105.14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49.22</v>
      </c>
      <c r="P941">
        <f t="shared" si="85"/>
        <v>57.3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</v>
      </c>
      <c r="P942">
        <f t="shared" si="85"/>
        <v>93.35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13.06</v>
      </c>
      <c r="P943">
        <f t="shared" si="85"/>
        <v>71.989999999999995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64.64</v>
      </c>
      <c r="P944">
        <f t="shared" si="85"/>
        <v>92.61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159.59</v>
      </c>
      <c r="P945">
        <f t="shared" si="85"/>
        <v>104.99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>
        <f t="shared" si="85"/>
        <v>30.96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</v>
      </c>
      <c r="P947">
        <f t="shared" si="85"/>
        <v>33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</v>
      </c>
      <c r="P948">
        <f t="shared" si="85"/>
        <v>84.19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</v>
      </c>
      <c r="P949">
        <f t="shared" si="85"/>
        <v>73.92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62.96</v>
      </c>
      <c r="P950">
        <f t="shared" si="85"/>
        <v>36.99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161.36000000000001</v>
      </c>
      <c r="P951">
        <f t="shared" si="85"/>
        <v>46.9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1096.94</v>
      </c>
      <c r="P953">
        <f t="shared" si="85"/>
        <v>102.02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</v>
      </c>
      <c r="P954">
        <f t="shared" si="85"/>
        <v>45.01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>
        <f t="shared" si="85"/>
        <v>94.29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367.1</v>
      </c>
      <c r="P956">
        <f t="shared" si="85"/>
        <v>101.02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>
        <f t="shared" si="85"/>
        <v>97.04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19.03</v>
      </c>
      <c r="P958">
        <f t="shared" si="85"/>
        <v>43.01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126.88</v>
      </c>
      <c r="P959">
        <f t="shared" si="85"/>
        <v>94.92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734.64</v>
      </c>
      <c r="P960">
        <f t="shared" si="85"/>
        <v>72.150000000000006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</v>
      </c>
      <c r="P961">
        <f t="shared" si="85"/>
        <v>51.01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</v>
      </c>
      <c r="P962">
        <f t="shared" si="85"/>
        <v>85.05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ROUND((E963/D963)*100, 2)</f>
        <v>119.3</v>
      </c>
      <c r="P963">
        <f t="shared" ref="P963:P1001" si="91">ROUND(IF(G963 &lt;&gt; 0, AVERAGE(E963/G963), 0),  2)</f>
        <v>43.87</v>
      </c>
      <c r="Q963" t="str">
        <f t="shared" ref="Q963:Q1001" si="92">LEFT(N963, FIND("/", N963)-1)</f>
        <v>publishing</v>
      </c>
      <c r="R963" t="str">
        <f t="shared" ref="R963:R1001" si="93">RIGHT(N963, LEN(N963)-FIND("/", N963))</f>
        <v>translations</v>
      </c>
      <c r="S963" s="7">
        <f t="shared" ref="S963:S1001" si="94">(((J963/60)/60)/24)+DATE(1970, 1, 1)</f>
        <v>40591.25</v>
      </c>
      <c r="T963" s="7">
        <f t="shared" ref="T963:T1001" si="95">(((K963/60)/60)/24)+DATE(1970, 1, 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296.02999999999997</v>
      </c>
      <c r="P964">
        <f t="shared" si="91"/>
        <v>40.06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</v>
      </c>
      <c r="P965">
        <f t="shared" si="91"/>
        <v>43.83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</v>
      </c>
      <c r="P966">
        <f t="shared" si="91"/>
        <v>84.93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386.41</v>
      </c>
      <c r="P967">
        <f t="shared" si="91"/>
        <v>41.07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792.24</v>
      </c>
      <c r="P968">
        <f t="shared" si="91"/>
        <v>54.97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</v>
      </c>
      <c r="P969">
        <f t="shared" si="91"/>
        <v>77.010000000000005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338.21</v>
      </c>
      <c r="P970">
        <f t="shared" si="91"/>
        <v>71.2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108.23</v>
      </c>
      <c r="P971">
        <f t="shared" si="91"/>
        <v>91.94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60.76</v>
      </c>
      <c r="P972">
        <f t="shared" si="91"/>
        <v>97.07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27.73</v>
      </c>
      <c r="P973">
        <f t="shared" si="91"/>
        <v>58.92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</v>
      </c>
      <c r="P974">
        <f t="shared" si="91"/>
        <v>58.02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21.62</v>
      </c>
      <c r="P975">
        <f t="shared" si="91"/>
        <v>103.87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373.88</v>
      </c>
      <c r="P976">
        <f t="shared" si="91"/>
        <v>93.47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154.93</v>
      </c>
      <c r="P977">
        <f t="shared" si="91"/>
        <v>61.97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>
        <f t="shared" si="91"/>
        <v>92.04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73.959999999999994</v>
      </c>
      <c r="P979">
        <f t="shared" si="91"/>
        <v>77.27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>
        <f t="shared" si="91"/>
        <v>93.92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</v>
      </c>
      <c r="P981">
        <f t="shared" si="91"/>
        <v>84.97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</v>
      </c>
      <c r="P982">
        <f t="shared" si="91"/>
        <v>105.97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</v>
      </c>
      <c r="P983">
        <f t="shared" si="91"/>
        <v>36.97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</v>
      </c>
      <c r="P984">
        <f t="shared" si="91"/>
        <v>81.53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145.94</v>
      </c>
      <c r="P985">
        <f t="shared" si="91"/>
        <v>81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</v>
      </c>
      <c r="P986">
        <f t="shared" si="91"/>
        <v>26.01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67.13</v>
      </c>
      <c r="P987">
        <f t="shared" si="91"/>
        <v>26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40.31</v>
      </c>
      <c r="P988">
        <f t="shared" si="91"/>
        <v>34.17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</v>
      </c>
      <c r="P989">
        <f t="shared" si="91"/>
        <v>28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52.12</v>
      </c>
      <c r="P990">
        <f t="shared" si="91"/>
        <v>76.55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</v>
      </c>
      <c r="P991">
        <f t="shared" si="91"/>
        <v>53.05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87.68</v>
      </c>
      <c r="P992">
        <f t="shared" si="91"/>
        <v>106.86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</v>
      </c>
      <c r="P993">
        <f t="shared" si="91"/>
        <v>46.02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426.55</v>
      </c>
      <c r="P994">
        <f t="shared" si="91"/>
        <v>100.17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52.5</v>
      </c>
      <c r="P996">
        <f t="shared" si="91"/>
        <v>87.97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157.47</v>
      </c>
      <c r="P997">
        <f t="shared" si="91"/>
        <v>75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72.94</v>
      </c>
      <c r="P998">
        <f t="shared" si="91"/>
        <v>42.98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60.57</v>
      </c>
      <c r="P999">
        <f t="shared" si="91"/>
        <v>33.119999999999997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</v>
      </c>
      <c r="P1000">
        <f t="shared" si="91"/>
        <v>101.13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</v>
      </c>
      <c r="P1001">
        <f t="shared" si="91"/>
        <v>55.99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conditionalFormatting sqref="F1:F1048576">
    <cfRule type="containsText" dxfId="5" priority="2" operator="containsText" text="canceled">
      <formula>NOT(ISERROR(SEARCH("canceled",F1)))</formula>
    </cfRule>
    <cfRule type="containsText" dxfId="4" priority="3" operator="containsText" text="canceled">
      <formula>NOT(ISERROR(SEARCH("canceled",F1)))</formula>
    </cfRule>
    <cfRule type="containsText" dxfId="3" priority="4" operator="containsText" text="live">
      <formula>NOT(ISERROR(SEARCH("live",F1)))</formula>
    </cfRule>
    <cfRule type="containsText" dxfId="2" priority="5" operator="containsText" text="succ">
      <formula>NOT(ISERROR(SEARCH("succ",F1)))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8D44-4016-4E9B-8ECF-CC33D61B2605}">
  <dimension ref="A1:H13"/>
  <sheetViews>
    <sheetView zoomScale="66" workbookViewId="0">
      <selection activeCell="V14" sqref="V14"/>
    </sheetView>
  </sheetViews>
  <sheetFormatPr defaultRowHeight="15.5" x14ac:dyDescent="0.35"/>
  <cols>
    <col min="1" max="1" width="16.5" customWidth="1"/>
    <col min="2" max="2" width="15.25" customWidth="1"/>
    <col min="3" max="3" width="13.75" customWidth="1"/>
    <col min="4" max="4" width="15.5" customWidth="1"/>
    <col min="5" max="5" width="12.75" customWidth="1"/>
    <col min="6" max="8" width="16.0820312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COUNTIFS(Crowdfunding!$F:$F, "successful", Crowdfunding!$D:$D, "&lt;1000")</f>
        <v>30</v>
      </c>
      <c r="C2">
        <f>COUNTIFS(Crowdfunding!$F:$F, "failed", Crowdfunding!$D:$D, "&lt;1000")</f>
        <v>20</v>
      </c>
      <c r="D2">
        <f>COUNTIFS(Crowdfunding!$F:$F, "canceled", Crowdfunding!$D:$D, "&lt;1000")</f>
        <v>1</v>
      </c>
      <c r="E2">
        <f>B2+C2+D2</f>
        <v>51</v>
      </c>
      <c r="F2">
        <f>ROUND((B2/E2)*100, 2)</f>
        <v>58.82</v>
      </c>
      <c r="G2">
        <f>ROUND((C2/E2)*100, 2)</f>
        <v>39.22</v>
      </c>
      <c r="H2">
        <f>ROUND((D2/E2)*100, 2)</f>
        <v>1.96</v>
      </c>
    </row>
    <row r="3" spans="1:8" x14ac:dyDescent="0.35">
      <c r="A3" t="s">
        <v>2095</v>
      </c>
      <c r="B3">
        <f>COUNTIFS(Crowdfunding!$F:$F, "successful", Crowdfunding!$D:$D, "&gt;=1000", Crowdfunding!D:D, "&lt;5000")</f>
        <v>191</v>
      </c>
      <c r="C3">
        <f>COUNTIFS(Crowdfunding!$F:$F,  "failed", Crowdfunding!$D:$D, "&gt;=1000", Crowdfunding!E:E, "&lt;5000")</f>
        <v>126</v>
      </c>
      <c r="D3">
        <f>COUNTIFS(Crowdfunding!$F:$F, "canceled", Crowdfunding!$D:$D, "&gt;=1000", Crowdfunding!F:F, "&lt;5000")</f>
        <v>0</v>
      </c>
      <c r="E3">
        <f t="shared" ref="E3:E13" si="0">B3+C3+D3</f>
        <v>317</v>
      </c>
      <c r="F3">
        <f t="shared" ref="F3:F13" si="1">ROUND((B3/E3)*100, 2)</f>
        <v>60.25</v>
      </c>
      <c r="G3">
        <f t="shared" ref="G3:G13" si="2">ROUND((C3/E3)*100, 2)</f>
        <v>39.75</v>
      </c>
      <c r="H3">
        <f t="shared" ref="H3:H13" si="3">ROUND((D3/E3)*100, 2)</f>
        <v>0</v>
      </c>
    </row>
    <row r="4" spans="1:8" x14ac:dyDescent="0.35">
      <c r="A4" t="s">
        <v>2096</v>
      </c>
      <c r="B4">
        <f>COUNTIFS(Crowdfunding!$F:$F, "successful", Crowdfunding!$D:$D, "&gt;=5000", Crowdfunding!$D:$D, "&lt;10000")</f>
        <v>164</v>
      </c>
      <c r="C4">
        <f>COUNTIFS(Crowdfunding!$F:$F,  "failed", Crowdfunding!$D:$D, "&gt;=5000", Crowdfunding!$D:$D, "&lt;10000")</f>
        <v>126</v>
      </c>
      <c r="D4">
        <f>COUNTIFS(Crowdfunding!$F:$F, "canceled", Crowdfunding!$D:$D, "&gt;=5000", Crowdfunding!$D:$D, "&lt;10000")</f>
        <v>25</v>
      </c>
      <c r="E4">
        <f t="shared" si="0"/>
        <v>315</v>
      </c>
      <c r="F4">
        <f t="shared" si="1"/>
        <v>52.06</v>
      </c>
      <c r="G4">
        <f t="shared" si="2"/>
        <v>40</v>
      </c>
      <c r="H4">
        <f t="shared" si="3"/>
        <v>7.94</v>
      </c>
    </row>
    <row r="5" spans="1:8" x14ac:dyDescent="0.35">
      <c r="A5" t="s">
        <v>2097</v>
      </c>
      <c r="B5">
        <f>COUNTIFS(Crowdfunding!$F:$F, "successful", Crowdfunding!$D:$D, "&gt;=10000", Crowdfunding!$D:$D, "&lt;15000")</f>
        <v>4</v>
      </c>
      <c r="C5">
        <f>COUNTIFS(Crowdfunding!$F:$F,  "failed", Crowdfunding!$D:$D, "&gt;=10000", Crowdfunding!$D:$D, "&lt;15000")</f>
        <v>5</v>
      </c>
      <c r="D5">
        <f>COUNTIFS(Crowdfunding!$F:$F, "canceled", Crowdfunding!$D:$D, "&gt;=10000", Crowdfunding!$D:$D, "&lt;15000")</f>
        <v>0</v>
      </c>
      <c r="E5">
        <f t="shared" si="0"/>
        <v>9</v>
      </c>
      <c r="F5">
        <f t="shared" si="1"/>
        <v>44.44</v>
      </c>
      <c r="G5">
        <f t="shared" si="2"/>
        <v>55.56</v>
      </c>
      <c r="H5">
        <f t="shared" si="3"/>
        <v>0</v>
      </c>
    </row>
    <row r="6" spans="1:8" x14ac:dyDescent="0.35">
      <c r="A6" t="s">
        <v>2098</v>
      </c>
      <c r="B6">
        <f>COUNTIFS(Crowdfunding!$F:$F, "successful", Crowdfunding!$D:$D, "&gt;=15000", Crowdfunding!$D:$D, "&lt;20000")</f>
        <v>10</v>
      </c>
      <c r="C6">
        <f>COUNTIFS(Crowdfunding!$F:$F,  "failed", Crowdfunding!$D:$D, "&gt;=15000", Crowdfunding!$D:$D, "&lt;20000")</f>
        <v>0</v>
      </c>
      <c r="D6">
        <f>COUNTIFS(Crowdfunding!$F:$F, "canceled", Crowdfunding!$D:$D, "&gt;=15000", Crowdfunding!$D:$D, "&lt;20000")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5">
      <c r="A7" t="s">
        <v>2099</v>
      </c>
      <c r="B7">
        <f>COUNTIFS(Crowdfunding!$F:$F, "successful", Crowdfunding!$D:$D, "&gt;=20000", Crowdfunding!$D:$D, "&lt;25000")</f>
        <v>7</v>
      </c>
      <c r="C7">
        <f>COUNTIFS(Crowdfunding!$F:$F,  "failed", Crowdfunding!$D:$D, "&gt;=20000", Crowdfunding!$D:$D, "&lt;25000")</f>
        <v>0</v>
      </c>
      <c r="D7">
        <f>COUNTIFS(Crowdfunding!$F:$F, "canceled", Crowdfunding!$D:$D, "&gt;=20000", Crowdfunding!$D:$D, "&lt;25000")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5">
      <c r="A8" t="s">
        <v>2100</v>
      </c>
      <c r="B8">
        <f>COUNTIFS(Crowdfunding!$F:$F, "successful", Crowdfunding!$D:$D, "&gt;=25000", Crowdfunding!$D:$D, "&lt;30000")</f>
        <v>11</v>
      </c>
      <c r="C8">
        <f>COUNTIFS(Crowdfunding!$F:$F,  "failed", Crowdfunding!$D:$D, "&gt;=25000", Crowdfunding!$D:$D, "&lt;30000")</f>
        <v>3</v>
      </c>
      <c r="D8">
        <f>COUNTIFS(Crowdfunding!$F:$F, "canceled", Crowdfunding!$D:$D, "&gt;=25000", Crowdfunding!$D:$D, "&lt;30000")</f>
        <v>0</v>
      </c>
      <c r="E8">
        <f t="shared" si="0"/>
        <v>14</v>
      </c>
      <c r="F8">
        <f t="shared" si="1"/>
        <v>78.569999999999993</v>
      </c>
      <c r="G8">
        <f t="shared" si="2"/>
        <v>21.43</v>
      </c>
      <c r="H8">
        <f t="shared" si="3"/>
        <v>0</v>
      </c>
    </row>
    <row r="9" spans="1:8" x14ac:dyDescent="0.35">
      <c r="A9" t="s">
        <v>2101</v>
      </c>
      <c r="B9">
        <f>COUNTIFS(Crowdfunding!$F:$F, "successful", Crowdfunding!$D:$D, "&gt;=30000", Crowdfunding!$D:$D, "&lt;35000")</f>
        <v>7</v>
      </c>
      <c r="C9">
        <f>COUNTIFS(Crowdfunding!$F:$F,  "failed", Crowdfunding!$D:$D, "&gt;=30000", Crowdfunding!$D:$D, "&lt;35000")</f>
        <v>0</v>
      </c>
      <c r="D9">
        <f>COUNTIFS(Crowdfunding!$F:$F, "canceled", Crowdfunding!$D:$D, "&gt;=30000", Crowdfunding!$D:$D, "&lt;35000")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5">
      <c r="A10" t="s">
        <v>2102</v>
      </c>
      <c r="B10">
        <f>COUNTIFS(Crowdfunding!$F:$F, "successful", Crowdfunding!$D:$D, "&gt;=35000", Crowdfunding!$D:$D, "&lt;40000")</f>
        <v>8</v>
      </c>
      <c r="C10">
        <f>COUNTIFS(Crowdfunding!$F:$F,  "failed", Crowdfunding!$D:$D, "&gt;=35000", Crowdfunding!$D:$D, "&lt;40000")</f>
        <v>3</v>
      </c>
      <c r="D10">
        <f>COUNTIFS(Crowdfunding!$F:$F, "canceled", Crowdfunding!$D:$D, "&gt;=35000", Crowdfunding!$D:$D, "&lt;40000")</f>
        <v>1</v>
      </c>
      <c r="E10">
        <f t="shared" si="0"/>
        <v>12</v>
      </c>
      <c r="F10">
        <f t="shared" si="1"/>
        <v>66.67</v>
      </c>
      <c r="G10">
        <f t="shared" si="2"/>
        <v>25</v>
      </c>
      <c r="H10">
        <f t="shared" si="3"/>
        <v>8.33</v>
      </c>
    </row>
    <row r="11" spans="1:8" x14ac:dyDescent="0.35">
      <c r="A11" t="s">
        <v>2103</v>
      </c>
      <c r="B11">
        <f>COUNTIFS(Crowdfunding!$F:$F, "successful", Crowdfunding!$D:$D, "&gt;=40000", Crowdfunding!$D:$D, "&lt;45000")</f>
        <v>11</v>
      </c>
      <c r="C11">
        <f>COUNTIFS(Crowdfunding!$F:$F,  "failed", Crowdfunding!$D:$D, "&gt;=40000", Crowdfunding!$D:$D, "&lt;45000")</f>
        <v>3</v>
      </c>
      <c r="D11">
        <f>COUNTIFS(Crowdfunding!$F:$F, "canceled", Crowdfunding!$D:$D, "&gt;=40000", Crowdfunding!$D:$D, "&lt;45000")</f>
        <v>0</v>
      </c>
      <c r="E11">
        <f t="shared" si="0"/>
        <v>14</v>
      </c>
      <c r="F11">
        <f t="shared" si="1"/>
        <v>78.569999999999993</v>
      </c>
      <c r="G11">
        <f t="shared" si="2"/>
        <v>21.43</v>
      </c>
      <c r="H11">
        <f t="shared" si="3"/>
        <v>0</v>
      </c>
    </row>
    <row r="12" spans="1:8" x14ac:dyDescent="0.35">
      <c r="A12" t="s">
        <v>2104</v>
      </c>
      <c r="B12">
        <f>COUNTIFS(Crowdfunding!$F:$F, "successful", Crowdfunding!$D:$D, "&gt;=45000", Crowdfunding!$D:$D, "&lt;50000")</f>
        <v>8</v>
      </c>
      <c r="C12">
        <f>COUNTIFS(Crowdfunding!$F:$F,  "failed", Crowdfunding!$D:$D, "&gt;=45000", Crowdfunding!$D:$D, "&lt;50000")</f>
        <v>3</v>
      </c>
      <c r="D12">
        <f>COUNTIFS(Crowdfunding!$F:$F, "canceled", Crowdfunding!$D:$D, "&gt;=45000", Crowdfunding!$D:$D, "&lt;50000")</f>
        <v>0</v>
      </c>
      <c r="E12">
        <f t="shared" si="0"/>
        <v>11</v>
      </c>
      <c r="F12">
        <f t="shared" si="1"/>
        <v>72.73</v>
      </c>
      <c r="G12">
        <f t="shared" si="2"/>
        <v>27.27</v>
      </c>
      <c r="H12">
        <f t="shared" si="3"/>
        <v>0</v>
      </c>
    </row>
    <row r="13" spans="1:8" x14ac:dyDescent="0.35">
      <c r="A13" t="s">
        <v>2105</v>
      </c>
      <c r="B13">
        <f>COUNTIFS(Crowdfunding!$F:$F, "successful", Crowdfunding!$D:$D, "&gt;50000")</f>
        <v>114</v>
      </c>
      <c r="C13">
        <f>COUNTIFS(Crowdfunding!$F:$F,  "failed", Crowdfunding!$D:$D, "&gt;50000")</f>
        <v>163</v>
      </c>
      <c r="D13">
        <f>COUNTIFS(Crowdfunding!$F:$F, "canceled", Crowdfunding!$D:$D, "&gt;50000")</f>
        <v>28</v>
      </c>
      <c r="E13">
        <f t="shared" si="0"/>
        <v>305</v>
      </c>
      <c r="F13">
        <f t="shared" si="1"/>
        <v>37.380000000000003</v>
      </c>
      <c r="G13">
        <f t="shared" si="2"/>
        <v>53.44</v>
      </c>
      <c r="H13">
        <f t="shared" si="3"/>
        <v>9.18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6E07-0EC6-42DF-8592-9CD7FDE46365}">
  <dimension ref="A1:E11"/>
  <sheetViews>
    <sheetView tabSelected="1" workbookViewId="0">
      <selection activeCell="D8" sqref="D8"/>
    </sheetView>
  </sheetViews>
  <sheetFormatPr defaultRowHeight="15.5" x14ac:dyDescent="0.35"/>
  <cols>
    <col min="2" max="2" width="12.6640625" customWidth="1"/>
    <col min="5" max="5" width="13.25" customWidth="1"/>
  </cols>
  <sheetData>
    <row r="1" spans="1:5" x14ac:dyDescent="0.35">
      <c r="A1" t="s">
        <v>4</v>
      </c>
      <c r="B1" t="s">
        <v>5</v>
      </c>
      <c r="D1" t="s">
        <v>4</v>
      </c>
      <c r="E1" t="s">
        <v>5</v>
      </c>
    </row>
    <row r="2" spans="1:5" x14ac:dyDescent="0.35">
      <c r="B2" t="s">
        <v>2106</v>
      </c>
    </row>
    <row r="3" spans="1:5" x14ac:dyDescent="0.35">
      <c r="B3">
        <f>COUNTIFS(Crowdfunding!F3, "successful", Crowdfunding!G3, "&gt;0")</f>
        <v>1</v>
      </c>
    </row>
    <row r="4" spans="1:5" x14ac:dyDescent="0.35">
      <c r="B4">
        <f>COUNTIFS(Crowdfunding!F4, "successful", Crowdfunding!G4, "&gt;0")</f>
        <v>1</v>
      </c>
    </row>
    <row r="5" spans="1:5" x14ac:dyDescent="0.35">
      <c r="B5">
        <f>COUNTIFS(Crowdfunding!F5, "successful", Crowdfunding!G5, "&gt;0")</f>
        <v>0</v>
      </c>
    </row>
    <row r="6" spans="1:5" x14ac:dyDescent="0.35">
      <c r="B6">
        <f>COUNTIFS(Crowdfunding!F6, "successful", Crowdfunding!G6, "&gt;0")</f>
        <v>0</v>
      </c>
    </row>
    <row r="7" spans="1:5" x14ac:dyDescent="0.35">
      <c r="B7">
        <f>COUNTIFS(Crowdfunding!F7, "successful", Crowdfunding!G7, "&gt;0")</f>
        <v>1</v>
      </c>
    </row>
    <row r="8" spans="1:5" x14ac:dyDescent="0.35">
      <c r="B8">
        <f>COUNTIFS(Crowdfunding!F8, "successful", Crowdfunding!G8, "&gt;0")</f>
        <v>0</v>
      </c>
    </row>
    <row r="9" spans="1:5" x14ac:dyDescent="0.35">
      <c r="B9">
        <f>COUNTIFS(Crowdfunding!F9, "successful", Crowdfunding!G9, "&gt;0")</f>
        <v>1</v>
      </c>
    </row>
    <row r="10" spans="1:5" x14ac:dyDescent="0.35">
      <c r="B10">
        <f>COUNTIFS(Crowdfunding!F10, "successful", Crowdfunding!G10, "&gt;0")</f>
        <v>0</v>
      </c>
    </row>
    <row r="11" spans="1:5" x14ac:dyDescent="0.35">
      <c r="B11">
        <f>COUNTIFS(Crowdfunding!F11, "successful", Crowdfunding!G11, "&gt;0")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Elijah Montgomery</cp:lastModifiedBy>
  <dcterms:created xsi:type="dcterms:W3CDTF">2021-09-29T18:52:28Z</dcterms:created>
  <dcterms:modified xsi:type="dcterms:W3CDTF">2023-05-08T05:01:16Z</dcterms:modified>
</cp:coreProperties>
</file>