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15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C1CA0688-4E61-4B7D-AC5E-264A66C6DCB3}" xr6:coauthVersionLast="47" xr6:coauthVersionMax="47" xr10:uidLastSave="{00000000-0000-0000-0000-000000000000}"/>
  <bookViews>
    <workbookView xWindow="-120" yWindow="-120" windowWidth="29040" windowHeight="15720" xr2:uid="{07AA4D6C-C5FF-47B2-B754-64C2344D6FDD}"/>
  </bookViews>
  <sheets>
    <sheet name="Measurement Sheet (Original+VO)" sheetId="6" r:id="rId1"/>
    <sheet name="Measurement Sheet (Explained)" sheetId="2" r:id="rId2"/>
    <sheet name="Performa Invoice (Original)" sheetId="3" r:id="rId3"/>
    <sheet name="Performa Invoice (Explained)" sheetId="5" r:id="rId4"/>
    <sheet name="Previous Invoices" sheetId="4" r:id="rId5"/>
  </sheets>
  <externalReferences>
    <externalReference r:id="rId6"/>
  </externalReferences>
  <definedNames>
    <definedName name="_xlnm.Print_Area" localSheetId="1">'Measurement Sheet (Explained)'!$A$1:$S$69</definedName>
    <definedName name="_xlnm.Print_Area" localSheetId="0">'Measurement Sheet (Original+VO)'!$A$1:$AA$70</definedName>
    <definedName name="_xlnm.Print_Area" localSheetId="3">'Performa Invoice (Explained)'!$A$1:$Z$70</definedName>
    <definedName name="_xlnm.Print_Area" localSheetId="2">'Performa Invoice (Original)'!$A$1:$V$69</definedName>
    <definedName name="_xlnm.Print_Titles" localSheetId="1">'Measurement Sheet (Explained)'!$1:$10</definedName>
    <definedName name="_xlnm.Print_Titles" localSheetId="0">'Measurement Sheet (Original+VO)'!$1:$11</definedName>
    <definedName name="_xlnm.Print_Titles" localSheetId="3">'Performa Invoice (Explained)'!$1:$11</definedName>
    <definedName name="_xlnm.Print_Titles" localSheetId="2">'Performa Invoice (Original)'!$1:$10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5" i="6" l="1"/>
  <c r="P15" i="6"/>
  <c r="R15" i="6"/>
  <c r="T15" i="6"/>
  <c r="G24" i="6"/>
  <c r="F50" i="6"/>
  <c r="G58" i="6"/>
  <c r="F58" i="6"/>
  <c r="F59" i="6" s="1"/>
  <c r="G50" i="6"/>
  <c r="Q50" i="6" s="1"/>
  <c r="E59" i="6"/>
  <c r="E58" i="6"/>
  <c r="E57" i="6"/>
  <c r="E56" i="6"/>
  <c r="E55" i="6"/>
  <c r="E54" i="6"/>
  <c r="E53" i="6"/>
  <c r="E52" i="6"/>
  <c r="E51" i="6"/>
  <c r="E50" i="6"/>
  <c r="E49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5" i="6"/>
  <c r="E24" i="6"/>
  <c r="E23" i="6"/>
  <c r="E22" i="6"/>
  <c r="E21" i="6"/>
  <c r="E19" i="6"/>
  <c r="E18" i="6"/>
  <c r="E17" i="6"/>
  <c r="E16" i="6"/>
  <c r="E15" i="6"/>
  <c r="E13" i="6"/>
  <c r="Y47" i="6"/>
  <c r="Y46" i="6"/>
  <c r="Y45" i="6"/>
  <c r="Y44" i="6"/>
  <c r="Y43" i="6"/>
  <c r="Y42" i="6"/>
  <c r="Y41" i="6"/>
  <c r="Y40" i="6"/>
  <c r="Y39" i="6"/>
  <c r="Y38" i="6"/>
  <c r="Y37" i="6"/>
  <c r="Y36" i="6"/>
  <c r="Y35" i="6"/>
  <c r="Y34" i="6"/>
  <c r="Y33" i="6"/>
  <c r="Y32" i="6"/>
  <c r="Y31" i="6"/>
  <c r="Y30" i="6"/>
  <c r="Y29" i="6"/>
  <c r="Y28" i="6"/>
  <c r="Y27" i="6"/>
  <c r="Y25" i="6"/>
  <c r="Y22" i="6"/>
  <c r="Y21" i="6"/>
  <c r="Y19" i="6"/>
  <c r="Y18" i="6"/>
  <c r="Y17" i="6"/>
  <c r="Y16" i="6"/>
  <c r="Y15" i="6"/>
  <c r="Y13" i="6"/>
  <c r="L15" i="6"/>
  <c r="S57" i="6"/>
  <c r="S59" i="6"/>
  <c r="S58" i="6"/>
  <c r="S56" i="6"/>
  <c r="S55" i="6"/>
  <c r="S54" i="6"/>
  <c r="S53" i="6"/>
  <c r="S52" i="6"/>
  <c r="S51" i="6"/>
  <c r="S50" i="6"/>
  <c r="S49" i="6"/>
  <c r="W49" i="6" s="1"/>
  <c r="S47" i="6"/>
  <c r="W47" i="6" s="1"/>
  <c r="S46" i="6"/>
  <c r="W46" i="6" s="1"/>
  <c r="S45" i="6"/>
  <c r="W45" i="6" s="1"/>
  <c r="S44" i="6"/>
  <c r="W44" i="6" s="1"/>
  <c r="S43" i="6"/>
  <c r="W43" i="6" s="1"/>
  <c r="S42" i="6"/>
  <c r="W42" i="6" s="1"/>
  <c r="S41" i="6"/>
  <c r="W41" i="6" s="1"/>
  <c r="S40" i="6"/>
  <c r="W40" i="6" s="1"/>
  <c r="S39" i="6"/>
  <c r="W39" i="6" s="1"/>
  <c r="S38" i="6"/>
  <c r="W38" i="6" s="1"/>
  <c r="S37" i="6"/>
  <c r="W37" i="6" s="1"/>
  <c r="S36" i="6"/>
  <c r="W36" i="6" s="1"/>
  <c r="S35" i="6"/>
  <c r="W35" i="6" s="1"/>
  <c r="S34" i="6"/>
  <c r="W34" i="6" s="1"/>
  <c r="S33" i="6"/>
  <c r="W33" i="6" s="1"/>
  <c r="S32" i="6"/>
  <c r="W32" i="6" s="1"/>
  <c r="S31" i="6"/>
  <c r="W31" i="6" s="1"/>
  <c r="S30" i="6"/>
  <c r="W30" i="6" s="1"/>
  <c r="S29" i="6"/>
  <c r="W29" i="6" s="1"/>
  <c r="S28" i="6"/>
  <c r="W28" i="6" s="1"/>
  <c r="S27" i="6"/>
  <c r="W27" i="6" s="1"/>
  <c r="S25" i="6"/>
  <c r="W25" i="6" s="1"/>
  <c r="S24" i="6"/>
  <c r="S23" i="6"/>
  <c r="S22" i="6"/>
  <c r="W22" i="6" s="1"/>
  <c r="S21" i="6"/>
  <c r="W21" i="6" s="1"/>
  <c r="S19" i="6"/>
  <c r="W19" i="6" s="1"/>
  <c r="S18" i="6"/>
  <c r="W18" i="6" s="1"/>
  <c r="S17" i="6"/>
  <c r="W17" i="6" s="1"/>
  <c r="S16" i="6"/>
  <c r="W16" i="6" s="1"/>
  <c r="S15" i="6"/>
  <c r="W15" i="6" s="1"/>
  <c r="S13" i="6"/>
  <c r="W13" i="6" s="1"/>
  <c r="Q49" i="6"/>
  <c r="Q47" i="6"/>
  <c r="Q46" i="6"/>
  <c r="Q34" i="6"/>
  <c r="Q45" i="6"/>
  <c r="Q44" i="6"/>
  <c r="Q43" i="6"/>
  <c r="Q42" i="6"/>
  <c r="Q41" i="6"/>
  <c r="Q40" i="6"/>
  <c r="Q39" i="6"/>
  <c r="Q38" i="6"/>
  <c r="Q37" i="6"/>
  <c r="Q36" i="6"/>
  <c r="Q35" i="6"/>
  <c r="Q33" i="6"/>
  <c r="Q32" i="6"/>
  <c r="Q31" i="6"/>
  <c r="Q30" i="6"/>
  <c r="Q29" i="6"/>
  <c r="Q28" i="6"/>
  <c r="Q27" i="6"/>
  <c r="Q25" i="6"/>
  <c r="Q22" i="6"/>
  <c r="Q21" i="6"/>
  <c r="Q19" i="6"/>
  <c r="Q18" i="6"/>
  <c r="Q17" i="6"/>
  <c r="Q16" i="6"/>
  <c r="Q15" i="6"/>
  <c r="Q13" i="6"/>
  <c r="M50" i="6"/>
  <c r="M49" i="6"/>
  <c r="M47" i="6"/>
  <c r="M46" i="6"/>
  <c r="M45" i="6"/>
  <c r="M44" i="6"/>
  <c r="M43" i="6"/>
  <c r="M42" i="6"/>
  <c r="M41" i="6"/>
  <c r="U41" i="6" s="1"/>
  <c r="M40" i="6"/>
  <c r="U40" i="6" s="1"/>
  <c r="M39" i="6"/>
  <c r="U39" i="6" s="1"/>
  <c r="M38" i="6"/>
  <c r="U38" i="6" s="1"/>
  <c r="M37" i="6"/>
  <c r="U37" i="6" s="1"/>
  <c r="M36" i="6"/>
  <c r="U36" i="6" s="1"/>
  <c r="M35" i="6"/>
  <c r="U35" i="6" s="1"/>
  <c r="M34" i="6"/>
  <c r="M33" i="6"/>
  <c r="U33" i="6" s="1"/>
  <c r="M32" i="6"/>
  <c r="U32" i="6" s="1"/>
  <c r="M31" i="6"/>
  <c r="U31" i="6" s="1"/>
  <c r="M30" i="6"/>
  <c r="U30" i="6" s="1"/>
  <c r="M29" i="6"/>
  <c r="U29" i="6" s="1"/>
  <c r="M28" i="6"/>
  <c r="U28" i="6" s="1"/>
  <c r="M27" i="6"/>
  <c r="U27" i="6" s="1"/>
  <c r="M25" i="6"/>
  <c r="U25" i="6" s="1"/>
  <c r="M22" i="6"/>
  <c r="U22" i="6" s="1"/>
  <c r="M21" i="6"/>
  <c r="U21" i="6" s="1"/>
  <c r="M19" i="6"/>
  <c r="U19" i="6" s="1"/>
  <c r="M18" i="6"/>
  <c r="U18" i="6" s="1"/>
  <c r="M17" i="6"/>
  <c r="U17" i="6" s="1"/>
  <c r="M16" i="6"/>
  <c r="U16" i="6" s="1"/>
  <c r="M15" i="6"/>
  <c r="U15" i="6" s="1"/>
  <c r="M13" i="6"/>
  <c r="U13" i="6" s="1"/>
  <c r="F23" i="6"/>
  <c r="G23" i="6" s="1"/>
  <c r="Q23" i="6" s="1"/>
  <c r="F25" i="6"/>
  <c r="F51" i="6"/>
  <c r="F52" i="6" s="1"/>
  <c r="F53" i="6"/>
  <c r="U3" i="3"/>
  <c r="T3" i="3"/>
  <c r="O58" i="2"/>
  <c r="O57" i="2"/>
  <c r="O56" i="2"/>
  <c r="O55" i="2"/>
  <c r="O54" i="2"/>
  <c r="O53" i="2"/>
  <c r="O52" i="2"/>
  <c r="O51" i="2"/>
  <c r="O50" i="2"/>
  <c r="O49" i="2"/>
  <c r="O48" i="2"/>
  <c r="O46" i="2"/>
  <c r="O45" i="2"/>
  <c r="O44" i="2"/>
  <c r="O12" i="2"/>
  <c r="I12" i="2"/>
  <c r="I14" i="2"/>
  <c r="O14" i="2" s="1"/>
  <c r="I15" i="2"/>
  <c r="O15" i="2" s="1"/>
  <c r="I16" i="2"/>
  <c r="O16" i="2" s="1"/>
  <c r="I17" i="2"/>
  <c r="O17" i="2" s="1"/>
  <c r="I18" i="2"/>
  <c r="O18" i="2" s="1"/>
  <c r="I20" i="2"/>
  <c r="O20" i="2" s="1"/>
  <c r="I21" i="2"/>
  <c r="O21" i="2" s="1"/>
  <c r="I22" i="2"/>
  <c r="O22" i="2" s="1"/>
  <c r="I23" i="2"/>
  <c r="O23" i="2" s="1"/>
  <c r="I24" i="2"/>
  <c r="O24" i="2" s="1"/>
  <c r="I26" i="2"/>
  <c r="I27" i="2"/>
  <c r="O27" i="2" s="1"/>
  <c r="I28" i="2"/>
  <c r="I29" i="2"/>
  <c r="I30" i="2"/>
  <c r="O30" i="2" s="1"/>
  <c r="I31" i="2"/>
  <c r="O31" i="2" s="1"/>
  <c r="I32" i="2"/>
  <c r="O32" i="2" s="1"/>
  <c r="I33" i="2"/>
  <c r="O33" i="2" s="1"/>
  <c r="I34" i="2"/>
  <c r="I35" i="2"/>
  <c r="I36" i="2"/>
  <c r="O36" i="2" s="1"/>
  <c r="I37" i="2"/>
  <c r="O37" i="2" s="1"/>
  <c r="I38" i="2"/>
  <c r="O38" i="2" s="1"/>
  <c r="I39" i="2"/>
  <c r="O39" i="2" s="1"/>
  <c r="I40" i="2"/>
  <c r="O40" i="2" s="1"/>
  <c r="I41" i="2"/>
  <c r="O41" i="2" s="1"/>
  <c r="I42" i="2"/>
  <c r="O42" i="2" s="1"/>
  <c r="I43" i="2"/>
  <c r="O43" i="2" s="1"/>
  <c r="I44" i="2"/>
  <c r="I45" i="2"/>
  <c r="I46" i="2"/>
  <c r="I48" i="2"/>
  <c r="I49" i="2"/>
  <c r="I50" i="2"/>
  <c r="I51" i="2"/>
  <c r="I52" i="2"/>
  <c r="I53" i="2"/>
  <c r="I54" i="2"/>
  <c r="I55" i="2"/>
  <c r="I56" i="2"/>
  <c r="I57" i="2"/>
  <c r="I58" i="2"/>
  <c r="F12" i="2"/>
  <c r="F14" i="2"/>
  <c r="F15" i="2"/>
  <c r="F16" i="2"/>
  <c r="F17" i="2"/>
  <c r="F18" i="2"/>
  <c r="F20" i="2"/>
  <c r="F21" i="2"/>
  <c r="F23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8" i="2"/>
  <c r="F51" i="2"/>
  <c r="F57" i="2"/>
  <c r="R59" i="6"/>
  <c r="R58" i="6"/>
  <c r="R57" i="6"/>
  <c r="R56" i="6"/>
  <c r="R55" i="6"/>
  <c r="R54" i="6"/>
  <c r="R53" i="6"/>
  <c r="R52" i="6"/>
  <c r="R51" i="6"/>
  <c r="R50" i="6"/>
  <c r="V50" i="6" s="1"/>
  <c r="P50" i="6"/>
  <c r="T50" i="6" s="1"/>
  <c r="L50" i="6"/>
  <c r="R49" i="6"/>
  <c r="V49" i="6" s="1"/>
  <c r="P49" i="6"/>
  <c r="T49" i="6" s="1"/>
  <c r="L49" i="6"/>
  <c r="B49" i="6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R47" i="6"/>
  <c r="V47" i="6" s="1"/>
  <c r="P47" i="6"/>
  <c r="T47" i="6" s="1"/>
  <c r="L47" i="6"/>
  <c r="R46" i="6"/>
  <c r="V46" i="6" s="1"/>
  <c r="P46" i="6"/>
  <c r="T46" i="6" s="1"/>
  <c r="X46" i="6" s="1"/>
  <c r="L46" i="6"/>
  <c r="R45" i="6"/>
  <c r="V45" i="6" s="1"/>
  <c r="P45" i="6"/>
  <c r="T45" i="6" s="1"/>
  <c r="L45" i="6"/>
  <c r="R44" i="6"/>
  <c r="V44" i="6" s="1"/>
  <c r="P44" i="6"/>
  <c r="T44" i="6" s="1"/>
  <c r="L44" i="6"/>
  <c r="R43" i="6"/>
  <c r="V43" i="6" s="1"/>
  <c r="P43" i="6"/>
  <c r="T43" i="6" s="1"/>
  <c r="X43" i="6" s="1"/>
  <c r="L43" i="6"/>
  <c r="R42" i="6"/>
  <c r="V42" i="6" s="1"/>
  <c r="P42" i="6"/>
  <c r="T42" i="6" s="1"/>
  <c r="L42" i="6"/>
  <c r="R41" i="6"/>
  <c r="V41" i="6" s="1"/>
  <c r="P41" i="6"/>
  <c r="T41" i="6" s="1"/>
  <c r="L41" i="6"/>
  <c r="R40" i="6"/>
  <c r="V40" i="6" s="1"/>
  <c r="P40" i="6"/>
  <c r="T40" i="6" s="1"/>
  <c r="X40" i="6" s="1"/>
  <c r="L40" i="6"/>
  <c r="R39" i="6"/>
  <c r="V39" i="6" s="1"/>
  <c r="P39" i="6"/>
  <c r="T39" i="6" s="1"/>
  <c r="L39" i="6"/>
  <c r="R38" i="6"/>
  <c r="V38" i="6" s="1"/>
  <c r="P38" i="6"/>
  <c r="T38" i="6" s="1"/>
  <c r="L38" i="6"/>
  <c r="R37" i="6"/>
  <c r="V37" i="6" s="1"/>
  <c r="P37" i="6"/>
  <c r="T37" i="6" s="1"/>
  <c r="X37" i="6" s="1"/>
  <c r="L37" i="6"/>
  <c r="R36" i="6"/>
  <c r="V36" i="6" s="1"/>
  <c r="P36" i="6"/>
  <c r="T36" i="6" s="1"/>
  <c r="L36" i="6"/>
  <c r="R35" i="6"/>
  <c r="V35" i="6" s="1"/>
  <c r="P35" i="6"/>
  <c r="T35" i="6" s="1"/>
  <c r="L35" i="6"/>
  <c r="R34" i="6"/>
  <c r="V34" i="6" s="1"/>
  <c r="P34" i="6"/>
  <c r="T34" i="6" s="1"/>
  <c r="X34" i="6" s="1"/>
  <c r="L34" i="6"/>
  <c r="R33" i="6"/>
  <c r="V33" i="6" s="1"/>
  <c r="P33" i="6"/>
  <c r="T33" i="6" s="1"/>
  <c r="L33" i="6"/>
  <c r="R32" i="6"/>
  <c r="V32" i="6" s="1"/>
  <c r="P32" i="6"/>
  <c r="T32" i="6" s="1"/>
  <c r="L32" i="6"/>
  <c r="R31" i="6"/>
  <c r="V31" i="6" s="1"/>
  <c r="P31" i="6"/>
  <c r="T31" i="6" s="1"/>
  <c r="L31" i="6"/>
  <c r="R30" i="6"/>
  <c r="V30" i="6" s="1"/>
  <c r="P30" i="6"/>
  <c r="T30" i="6" s="1"/>
  <c r="L30" i="6"/>
  <c r="R29" i="6"/>
  <c r="V29" i="6" s="1"/>
  <c r="P29" i="6"/>
  <c r="T29" i="6" s="1"/>
  <c r="L29" i="6"/>
  <c r="R28" i="6"/>
  <c r="V28" i="6" s="1"/>
  <c r="P28" i="6"/>
  <c r="T28" i="6" s="1"/>
  <c r="L28" i="6"/>
  <c r="R27" i="6"/>
  <c r="V27" i="6" s="1"/>
  <c r="P27" i="6"/>
  <c r="T27" i="6" s="1"/>
  <c r="L27" i="6"/>
  <c r="B27" i="6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R25" i="6"/>
  <c r="R24" i="6"/>
  <c r="R23" i="6"/>
  <c r="R22" i="6"/>
  <c r="V22" i="6" s="1"/>
  <c r="P22" i="6"/>
  <c r="T22" i="6" s="1"/>
  <c r="X22" i="6" s="1"/>
  <c r="L22" i="6"/>
  <c r="R21" i="6"/>
  <c r="V21" i="6" s="1"/>
  <c r="P21" i="6"/>
  <c r="T21" i="6" s="1"/>
  <c r="X21" i="6" s="1"/>
  <c r="L21" i="6"/>
  <c r="B21" i="6"/>
  <c r="B22" i="6" s="1"/>
  <c r="B23" i="6" s="1"/>
  <c r="B24" i="6" s="1"/>
  <c r="B25" i="6" s="1"/>
  <c r="R19" i="6"/>
  <c r="V19" i="6" s="1"/>
  <c r="P19" i="6"/>
  <c r="T19" i="6" s="1"/>
  <c r="X19" i="6" s="1"/>
  <c r="L19" i="6"/>
  <c r="B19" i="6"/>
  <c r="AE18" i="6"/>
  <c r="AD18" i="6"/>
  <c r="AC18" i="6"/>
  <c r="R18" i="6"/>
  <c r="V18" i="6" s="1"/>
  <c r="P18" i="6"/>
  <c r="T18" i="6" s="1"/>
  <c r="X18" i="6" s="1"/>
  <c r="L18" i="6"/>
  <c r="R17" i="6"/>
  <c r="V17" i="6" s="1"/>
  <c r="P17" i="6"/>
  <c r="T17" i="6" s="1"/>
  <c r="L17" i="6"/>
  <c r="R16" i="6"/>
  <c r="V16" i="6" s="1"/>
  <c r="P16" i="6"/>
  <c r="T16" i="6" s="1"/>
  <c r="X16" i="6" s="1"/>
  <c r="L16" i="6"/>
  <c r="V15" i="6"/>
  <c r="B15" i="6"/>
  <c r="B16" i="6" s="1"/>
  <c r="B17" i="6" s="1"/>
  <c r="R13" i="6"/>
  <c r="V13" i="6" s="1"/>
  <c r="P13" i="6"/>
  <c r="T13" i="6" s="1"/>
  <c r="L13" i="6"/>
  <c r="B8" i="6"/>
  <c r="X5" i="5"/>
  <c r="Y3" i="5"/>
  <c r="X3" i="5"/>
  <c r="T60" i="5"/>
  <c r="E50" i="5"/>
  <c r="E59" i="5"/>
  <c r="F58" i="2" s="1"/>
  <c r="E23" i="5"/>
  <c r="F22" i="2" s="1"/>
  <c r="E25" i="5"/>
  <c r="F24" i="2" s="1"/>
  <c r="R60" i="5"/>
  <c r="B60" i="5"/>
  <c r="Y59" i="5"/>
  <c r="S59" i="5"/>
  <c r="L59" i="5"/>
  <c r="H59" i="5"/>
  <c r="D59" i="5"/>
  <c r="C59" i="5"/>
  <c r="Y58" i="5"/>
  <c r="S58" i="5"/>
  <c r="L58" i="5"/>
  <c r="H58" i="5"/>
  <c r="D58" i="5"/>
  <c r="C58" i="5"/>
  <c r="Y57" i="5"/>
  <c r="S57" i="5"/>
  <c r="L57" i="5"/>
  <c r="H57" i="5"/>
  <c r="D57" i="5"/>
  <c r="C57" i="5"/>
  <c r="Y56" i="5"/>
  <c r="S56" i="5"/>
  <c r="L56" i="5"/>
  <c r="H56" i="5"/>
  <c r="D56" i="5"/>
  <c r="C56" i="5"/>
  <c r="Y55" i="5"/>
  <c r="S55" i="5"/>
  <c r="L55" i="5"/>
  <c r="H55" i="5"/>
  <c r="D55" i="5"/>
  <c r="C55" i="5"/>
  <c r="Y54" i="5"/>
  <c r="S54" i="5"/>
  <c r="L54" i="5"/>
  <c r="H54" i="5"/>
  <c r="D54" i="5"/>
  <c r="C54" i="5"/>
  <c r="Y53" i="5"/>
  <c r="S53" i="5"/>
  <c r="L53" i="5"/>
  <c r="H53" i="5"/>
  <c r="D53" i="5"/>
  <c r="C53" i="5"/>
  <c r="Y52" i="5"/>
  <c r="S52" i="5"/>
  <c r="L52" i="5"/>
  <c r="H52" i="5"/>
  <c r="D52" i="5"/>
  <c r="C52" i="5"/>
  <c r="Y51" i="5"/>
  <c r="S51" i="5"/>
  <c r="L51" i="5"/>
  <c r="H51" i="5"/>
  <c r="D51" i="5"/>
  <c r="C51" i="5"/>
  <c r="Y50" i="5"/>
  <c r="S50" i="5"/>
  <c r="L50" i="5"/>
  <c r="H50" i="5"/>
  <c r="F50" i="5"/>
  <c r="D50" i="5"/>
  <c r="C50" i="5"/>
  <c r="Y49" i="5"/>
  <c r="S49" i="5"/>
  <c r="L49" i="5"/>
  <c r="H49" i="5"/>
  <c r="F49" i="5"/>
  <c r="D49" i="5"/>
  <c r="C49" i="5"/>
  <c r="C48" i="5"/>
  <c r="B48" i="5"/>
  <c r="Y47" i="5"/>
  <c r="S47" i="5"/>
  <c r="L47" i="5"/>
  <c r="H47" i="5"/>
  <c r="F47" i="5"/>
  <c r="D47" i="5"/>
  <c r="C47" i="5"/>
  <c r="Y46" i="5"/>
  <c r="S46" i="5"/>
  <c r="L46" i="5"/>
  <c r="H46" i="5"/>
  <c r="F46" i="5"/>
  <c r="D46" i="5"/>
  <c r="C46" i="5"/>
  <c r="Y45" i="5"/>
  <c r="S45" i="5"/>
  <c r="L45" i="5"/>
  <c r="H45" i="5"/>
  <c r="F45" i="5"/>
  <c r="D45" i="5"/>
  <c r="C45" i="5"/>
  <c r="Y44" i="5"/>
  <c r="S44" i="5"/>
  <c r="L44" i="5"/>
  <c r="H44" i="5"/>
  <c r="F44" i="5"/>
  <c r="D44" i="5"/>
  <c r="C44" i="5"/>
  <c r="Y43" i="5"/>
  <c r="S43" i="5"/>
  <c r="L43" i="5"/>
  <c r="H43" i="5"/>
  <c r="F43" i="5"/>
  <c r="D43" i="5"/>
  <c r="C43" i="5"/>
  <c r="Y42" i="5"/>
  <c r="S42" i="5"/>
  <c r="L42" i="5"/>
  <c r="H42" i="5"/>
  <c r="F42" i="5"/>
  <c r="D42" i="5"/>
  <c r="C42" i="5"/>
  <c r="Y41" i="5"/>
  <c r="S41" i="5"/>
  <c r="L41" i="5"/>
  <c r="H41" i="5"/>
  <c r="F41" i="5"/>
  <c r="D41" i="5"/>
  <c r="C41" i="5"/>
  <c r="Y40" i="5"/>
  <c r="S40" i="5"/>
  <c r="L40" i="5"/>
  <c r="H40" i="5"/>
  <c r="F40" i="5"/>
  <c r="D40" i="5"/>
  <c r="C40" i="5"/>
  <c r="Y39" i="5"/>
  <c r="S39" i="5"/>
  <c r="L39" i="5"/>
  <c r="H39" i="5"/>
  <c r="F39" i="5"/>
  <c r="D39" i="5"/>
  <c r="C39" i="5"/>
  <c r="Y38" i="5"/>
  <c r="S38" i="5"/>
  <c r="L38" i="5"/>
  <c r="H38" i="5"/>
  <c r="F38" i="5"/>
  <c r="D38" i="5"/>
  <c r="C38" i="5"/>
  <c r="Y37" i="5"/>
  <c r="S37" i="5"/>
  <c r="L37" i="5"/>
  <c r="H37" i="5"/>
  <c r="F37" i="5"/>
  <c r="D37" i="5"/>
  <c r="C37" i="5"/>
  <c r="Y36" i="5"/>
  <c r="S36" i="5"/>
  <c r="L36" i="5"/>
  <c r="H36" i="5"/>
  <c r="F36" i="5"/>
  <c r="D36" i="5"/>
  <c r="C36" i="5"/>
  <c r="Y35" i="5"/>
  <c r="S35" i="5"/>
  <c r="L35" i="5"/>
  <c r="H35" i="5"/>
  <c r="F35" i="5"/>
  <c r="D35" i="5"/>
  <c r="C35" i="5"/>
  <c r="Y34" i="5"/>
  <c r="S34" i="5"/>
  <c r="L34" i="5"/>
  <c r="H34" i="5"/>
  <c r="F34" i="5"/>
  <c r="D34" i="5"/>
  <c r="C34" i="5"/>
  <c r="Y33" i="5"/>
  <c r="S33" i="5"/>
  <c r="L33" i="5"/>
  <c r="H33" i="5"/>
  <c r="F33" i="5"/>
  <c r="D33" i="5"/>
  <c r="C33" i="5"/>
  <c r="Y32" i="5"/>
  <c r="S32" i="5"/>
  <c r="L32" i="5"/>
  <c r="H32" i="5"/>
  <c r="F32" i="5"/>
  <c r="D32" i="5"/>
  <c r="C32" i="5"/>
  <c r="Y31" i="5"/>
  <c r="S31" i="5"/>
  <c r="L31" i="5"/>
  <c r="H31" i="5"/>
  <c r="F31" i="5"/>
  <c r="D31" i="5"/>
  <c r="C31" i="5"/>
  <c r="Y30" i="5"/>
  <c r="S30" i="5"/>
  <c r="L30" i="5"/>
  <c r="H30" i="5"/>
  <c r="F30" i="5"/>
  <c r="D30" i="5"/>
  <c r="C30" i="5"/>
  <c r="Y29" i="5"/>
  <c r="S29" i="5"/>
  <c r="L29" i="5"/>
  <c r="H29" i="5"/>
  <c r="F29" i="5"/>
  <c r="D29" i="5"/>
  <c r="C29" i="5"/>
  <c r="Y28" i="5"/>
  <c r="S28" i="5"/>
  <c r="L28" i="5"/>
  <c r="H28" i="5"/>
  <c r="F28" i="5"/>
  <c r="D28" i="5"/>
  <c r="C28" i="5"/>
  <c r="Y27" i="5"/>
  <c r="S27" i="5"/>
  <c r="L27" i="5"/>
  <c r="H27" i="5"/>
  <c r="F27" i="5"/>
  <c r="D27" i="5"/>
  <c r="C27" i="5"/>
  <c r="C26" i="5"/>
  <c r="B26" i="5"/>
  <c r="Y25" i="5"/>
  <c r="S25" i="5"/>
  <c r="L25" i="5"/>
  <c r="H25" i="5"/>
  <c r="D25" i="5"/>
  <c r="C25" i="5"/>
  <c r="Y24" i="5"/>
  <c r="S24" i="5"/>
  <c r="L24" i="5"/>
  <c r="H24" i="5"/>
  <c r="D24" i="5"/>
  <c r="C24" i="5"/>
  <c r="Y23" i="5"/>
  <c r="S23" i="5"/>
  <c r="L23" i="5"/>
  <c r="H23" i="5"/>
  <c r="D23" i="5"/>
  <c r="C23" i="5"/>
  <c r="Y22" i="5"/>
  <c r="S22" i="5"/>
  <c r="L22" i="5"/>
  <c r="H22" i="5"/>
  <c r="F22" i="5"/>
  <c r="D22" i="5"/>
  <c r="C22" i="5"/>
  <c r="Y21" i="5"/>
  <c r="S21" i="5"/>
  <c r="L21" i="5"/>
  <c r="H21" i="5"/>
  <c r="F21" i="5"/>
  <c r="D21" i="5"/>
  <c r="C21" i="5"/>
  <c r="C20" i="5"/>
  <c r="B20" i="5"/>
  <c r="Y19" i="5"/>
  <c r="S19" i="5"/>
  <c r="L19" i="5"/>
  <c r="H19" i="5"/>
  <c r="F19" i="5"/>
  <c r="D19" i="5"/>
  <c r="C19" i="5"/>
  <c r="AD18" i="5"/>
  <c r="AC18" i="5"/>
  <c r="AB18" i="5"/>
  <c r="Y18" i="5"/>
  <c r="S18" i="5"/>
  <c r="L18" i="5"/>
  <c r="H18" i="5"/>
  <c r="F18" i="5"/>
  <c r="D18" i="5"/>
  <c r="C18" i="5"/>
  <c r="B18" i="5"/>
  <c r="Y17" i="5"/>
  <c r="S17" i="5"/>
  <c r="L17" i="5"/>
  <c r="H17" i="5"/>
  <c r="F17" i="5"/>
  <c r="D17" i="5"/>
  <c r="C17" i="5"/>
  <c r="Y16" i="5"/>
  <c r="S16" i="5"/>
  <c r="L16" i="5"/>
  <c r="H16" i="5"/>
  <c r="F16" i="5"/>
  <c r="D16" i="5"/>
  <c r="C16" i="5"/>
  <c r="Y15" i="5"/>
  <c r="S15" i="5"/>
  <c r="L15" i="5"/>
  <c r="H15" i="5"/>
  <c r="F15" i="5"/>
  <c r="D15" i="5"/>
  <c r="C15" i="5"/>
  <c r="C14" i="5"/>
  <c r="B14" i="5"/>
  <c r="Y13" i="5"/>
  <c r="S13" i="5"/>
  <c r="L13" i="5"/>
  <c r="H13" i="5"/>
  <c r="F13" i="5"/>
  <c r="D13" i="5"/>
  <c r="C13" i="5"/>
  <c r="B13" i="5"/>
  <c r="C12" i="5"/>
  <c r="B12" i="5"/>
  <c r="B8" i="5"/>
  <c r="E22" i="2"/>
  <c r="E57" i="2"/>
  <c r="F58" i="5" s="1"/>
  <c r="Q58" i="6" l="1"/>
  <c r="G59" i="6"/>
  <c r="X35" i="6"/>
  <c r="X31" i="6"/>
  <c r="X30" i="6"/>
  <c r="X49" i="6"/>
  <c r="G51" i="6"/>
  <c r="F54" i="6"/>
  <c r="G53" i="6"/>
  <c r="W50" i="6"/>
  <c r="U50" i="6"/>
  <c r="Y50" i="6" s="1"/>
  <c r="U49" i="6"/>
  <c r="Y49" i="6" s="1"/>
  <c r="U47" i="6"/>
  <c r="U46" i="6"/>
  <c r="U45" i="6"/>
  <c r="U44" i="6"/>
  <c r="U43" i="6"/>
  <c r="U42" i="6"/>
  <c r="U34" i="6"/>
  <c r="W58" i="6"/>
  <c r="W23" i="6"/>
  <c r="X41" i="6"/>
  <c r="X17" i="6"/>
  <c r="M23" i="6"/>
  <c r="U23" i="6" s="1"/>
  <c r="Y23" i="6" s="1"/>
  <c r="M58" i="6"/>
  <c r="U58" i="6" s="1"/>
  <c r="Y58" i="6" s="1"/>
  <c r="X13" i="6"/>
  <c r="X33" i="6"/>
  <c r="X47" i="6"/>
  <c r="X29" i="6"/>
  <c r="X28" i="6"/>
  <c r="X50" i="6"/>
  <c r="X36" i="6"/>
  <c r="X38" i="6"/>
  <c r="X15" i="6"/>
  <c r="X32" i="6"/>
  <c r="X42" i="6"/>
  <c r="X45" i="6"/>
  <c r="X44" i="6"/>
  <c r="X39" i="6"/>
  <c r="X27" i="6"/>
  <c r="E51" i="5"/>
  <c r="F49" i="2"/>
  <c r="E53" i="5"/>
  <c r="F50" i="2"/>
  <c r="F23" i="5"/>
  <c r="E23" i="2"/>
  <c r="P58" i="6"/>
  <c r="T58" i="6" s="1"/>
  <c r="V58" i="6"/>
  <c r="L58" i="6"/>
  <c r="L51" i="6"/>
  <c r="P51" i="6"/>
  <c r="T51" i="6" s="1"/>
  <c r="V51" i="6"/>
  <c r="V25" i="6"/>
  <c r="P25" i="6"/>
  <c r="T25" i="6" s="1"/>
  <c r="L25" i="6"/>
  <c r="V23" i="6"/>
  <c r="P23" i="6"/>
  <c r="T23" i="6" s="1"/>
  <c r="L23" i="6"/>
  <c r="S60" i="5"/>
  <c r="C7" i="4"/>
  <c r="U58" i="3"/>
  <c r="U57" i="3"/>
  <c r="U56" i="3"/>
  <c r="U55" i="3"/>
  <c r="U54" i="3"/>
  <c r="U53" i="3"/>
  <c r="U52" i="3"/>
  <c r="U51" i="3"/>
  <c r="U50" i="3"/>
  <c r="U49" i="3"/>
  <c r="U48" i="3"/>
  <c r="U46" i="3"/>
  <c r="U45" i="3"/>
  <c r="U44" i="3"/>
  <c r="U43" i="3"/>
  <c r="U42" i="3"/>
  <c r="U41" i="3"/>
  <c r="U40" i="3"/>
  <c r="U39" i="3"/>
  <c r="U38" i="3"/>
  <c r="U37" i="3"/>
  <c r="U36" i="3"/>
  <c r="U35" i="3"/>
  <c r="U34" i="3"/>
  <c r="U33" i="3"/>
  <c r="U32" i="3"/>
  <c r="U31" i="3"/>
  <c r="U30" i="3"/>
  <c r="U29" i="3"/>
  <c r="U28" i="3"/>
  <c r="U26" i="3"/>
  <c r="U24" i="3"/>
  <c r="U23" i="3"/>
  <c r="U22" i="3"/>
  <c r="U21" i="3"/>
  <c r="U20" i="3"/>
  <c r="U18" i="3"/>
  <c r="U17" i="3"/>
  <c r="U16" i="3"/>
  <c r="U15" i="3"/>
  <c r="P58" i="3"/>
  <c r="P57" i="3"/>
  <c r="P56" i="3"/>
  <c r="P55" i="3"/>
  <c r="P54" i="3"/>
  <c r="P53" i="3"/>
  <c r="P52" i="3"/>
  <c r="P51" i="3"/>
  <c r="P50" i="3"/>
  <c r="P49" i="3"/>
  <c r="P48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4" i="3"/>
  <c r="P23" i="3"/>
  <c r="P22" i="3"/>
  <c r="P21" i="3"/>
  <c r="P20" i="3"/>
  <c r="P18" i="3"/>
  <c r="P17" i="3"/>
  <c r="P16" i="3"/>
  <c r="P15" i="3"/>
  <c r="P14" i="3"/>
  <c r="P12" i="3"/>
  <c r="O59" i="3"/>
  <c r="B11" i="3"/>
  <c r="C11" i="3"/>
  <c r="B12" i="3"/>
  <c r="C12" i="3"/>
  <c r="D12" i="3"/>
  <c r="E12" i="3"/>
  <c r="G12" i="3"/>
  <c r="I12" i="3"/>
  <c r="U12" i="3"/>
  <c r="B13" i="3"/>
  <c r="C13" i="3"/>
  <c r="C14" i="3"/>
  <c r="D14" i="3"/>
  <c r="E14" i="3"/>
  <c r="G14" i="3"/>
  <c r="I14" i="3"/>
  <c r="U14" i="3"/>
  <c r="C15" i="3"/>
  <c r="D15" i="3"/>
  <c r="E15" i="3"/>
  <c r="G15" i="3"/>
  <c r="I15" i="3"/>
  <c r="C16" i="3"/>
  <c r="D16" i="3"/>
  <c r="E16" i="3"/>
  <c r="G16" i="3"/>
  <c r="I16" i="3"/>
  <c r="B17" i="3"/>
  <c r="C17" i="3"/>
  <c r="D17" i="3"/>
  <c r="E17" i="3"/>
  <c r="G17" i="3"/>
  <c r="I17" i="3"/>
  <c r="C18" i="3"/>
  <c r="D18" i="3"/>
  <c r="E18" i="3"/>
  <c r="G18" i="3"/>
  <c r="I18" i="3"/>
  <c r="B19" i="3"/>
  <c r="C19" i="3"/>
  <c r="C20" i="3"/>
  <c r="D20" i="3"/>
  <c r="E20" i="3"/>
  <c r="G20" i="3"/>
  <c r="I20" i="3"/>
  <c r="C21" i="3"/>
  <c r="D21" i="3"/>
  <c r="E21" i="3"/>
  <c r="G21" i="3"/>
  <c r="I21" i="3"/>
  <c r="C22" i="3"/>
  <c r="D22" i="3"/>
  <c r="E22" i="3"/>
  <c r="G22" i="3"/>
  <c r="I22" i="3"/>
  <c r="C23" i="3"/>
  <c r="D23" i="3"/>
  <c r="G23" i="3"/>
  <c r="I23" i="3"/>
  <c r="C24" i="3"/>
  <c r="D24" i="3"/>
  <c r="G24" i="3"/>
  <c r="I24" i="3"/>
  <c r="B25" i="3"/>
  <c r="C25" i="3"/>
  <c r="C26" i="3"/>
  <c r="D26" i="3"/>
  <c r="E26" i="3"/>
  <c r="G26" i="3"/>
  <c r="I26" i="3"/>
  <c r="C27" i="3"/>
  <c r="D27" i="3"/>
  <c r="E27" i="3"/>
  <c r="G27" i="3"/>
  <c r="I27" i="3"/>
  <c r="U27" i="3"/>
  <c r="C28" i="3"/>
  <c r="D28" i="3"/>
  <c r="E28" i="3"/>
  <c r="G28" i="3"/>
  <c r="I28" i="3"/>
  <c r="C29" i="3"/>
  <c r="D29" i="3"/>
  <c r="E29" i="3"/>
  <c r="G29" i="3"/>
  <c r="I29" i="3"/>
  <c r="C30" i="3"/>
  <c r="D30" i="3"/>
  <c r="E30" i="3"/>
  <c r="G30" i="3"/>
  <c r="I30" i="3"/>
  <c r="C31" i="3"/>
  <c r="D31" i="3"/>
  <c r="E31" i="3"/>
  <c r="G31" i="3"/>
  <c r="I31" i="3"/>
  <c r="C32" i="3"/>
  <c r="D32" i="3"/>
  <c r="E32" i="3"/>
  <c r="G32" i="3"/>
  <c r="I32" i="3"/>
  <c r="C33" i="3"/>
  <c r="D33" i="3"/>
  <c r="E33" i="3"/>
  <c r="G33" i="3"/>
  <c r="I33" i="3"/>
  <c r="C34" i="3"/>
  <c r="D34" i="3"/>
  <c r="E34" i="3"/>
  <c r="G34" i="3"/>
  <c r="I34" i="3"/>
  <c r="C35" i="3"/>
  <c r="D35" i="3"/>
  <c r="E35" i="3"/>
  <c r="G35" i="3"/>
  <c r="I35" i="3"/>
  <c r="C36" i="3"/>
  <c r="D36" i="3"/>
  <c r="E36" i="3"/>
  <c r="G36" i="3"/>
  <c r="I36" i="3"/>
  <c r="C37" i="3"/>
  <c r="D37" i="3"/>
  <c r="E37" i="3"/>
  <c r="G37" i="3"/>
  <c r="I37" i="3"/>
  <c r="C38" i="3"/>
  <c r="D38" i="3"/>
  <c r="E38" i="3"/>
  <c r="G38" i="3"/>
  <c r="I38" i="3"/>
  <c r="C39" i="3"/>
  <c r="D39" i="3"/>
  <c r="E39" i="3"/>
  <c r="G39" i="3"/>
  <c r="I39" i="3"/>
  <c r="C40" i="3"/>
  <c r="D40" i="3"/>
  <c r="E40" i="3"/>
  <c r="G40" i="3"/>
  <c r="I40" i="3"/>
  <c r="C41" i="3"/>
  <c r="D41" i="3"/>
  <c r="E41" i="3"/>
  <c r="G41" i="3"/>
  <c r="I41" i="3"/>
  <c r="C42" i="3"/>
  <c r="D42" i="3"/>
  <c r="E42" i="3"/>
  <c r="G42" i="3"/>
  <c r="I42" i="3"/>
  <c r="C43" i="3"/>
  <c r="D43" i="3"/>
  <c r="E43" i="3"/>
  <c r="G43" i="3"/>
  <c r="I43" i="3"/>
  <c r="C44" i="3"/>
  <c r="D44" i="3"/>
  <c r="E44" i="3"/>
  <c r="G44" i="3"/>
  <c r="I44" i="3"/>
  <c r="C45" i="3"/>
  <c r="D45" i="3"/>
  <c r="E45" i="3"/>
  <c r="G45" i="3"/>
  <c r="I45" i="3"/>
  <c r="C46" i="3"/>
  <c r="D46" i="3"/>
  <c r="E46" i="3"/>
  <c r="G46" i="3"/>
  <c r="I46" i="3"/>
  <c r="B47" i="3"/>
  <c r="C47" i="3"/>
  <c r="C48" i="3"/>
  <c r="D48" i="3"/>
  <c r="E48" i="3"/>
  <c r="G48" i="3"/>
  <c r="I48" i="3"/>
  <c r="C49" i="3"/>
  <c r="D49" i="3"/>
  <c r="E49" i="3"/>
  <c r="G49" i="3"/>
  <c r="I49" i="3"/>
  <c r="C50" i="3"/>
  <c r="D50" i="3"/>
  <c r="G50" i="3"/>
  <c r="I50" i="3"/>
  <c r="C51" i="3"/>
  <c r="D51" i="3"/>
  <c r="G51" i="3"/>
  <c r="I51" i="3"/>
  <c r="C52" i="3"/>
  <c r="D52" i="3"/>
  <c r="G52" i="3"/>
  <c r="I52" i="3"/>
  <c r="C53" i="3"/>
  <c r="D53" i="3"/>
  <c r="G53" i="3"/>
  <c r="I53" i="3"/>
  <c r="C54" i="3"/>
  <c r="D54" i="3"/>
  <c r="G54" i="3"/>
  <c r="I54" i="3"/>
  <c r="C55" i="3"/>
  <c r="D55" i="3"/>
  <c r="G55" i="3"/>
  <c r="I55" i="3"/>
  <c r="C56" i="3"/>
  <c r="D56" i="3"/>
  <c r="G56" i="3"/>
  <c r="I56" i="3"/>
  <c r="C57" i="3"/>
  <c r="D57" i="3"/>
  <c r="E57" i="3"/>
  <c r="G57" i="3"/>
  <c r="I57" i="3"/>
  <c r="C58" i="3"/>
  <c r="D58" i="3"/>
  <c r="G58" i="3"/>
  <c r="I58" i="3"/>
  <c r="B59" i="3"/>
  <c r="Z17" i="3"/>
  <c r="Y17" i="3"/>
  <c r="X17" i="3"/>
  <c r="B8" i="3"/>
  <c r="T5" i="3"/>
  <c r="W51" i="6" l="1"/>
  <c r="G52" i="6"/>
  <c r="M51" i="6"/>
  <c r="Q51" i="6"/>
  <c r="G54" i="6"/>
  <c r="F55" i="6"/>
  <c r="W53" i="6"/>
  <c r="M53" i="6"/>
  <c r="Q53" i="6"/>
  <c r="M24" i="6"/>
  <c r="W24" i="6"/>
  <c r="Q24" i="6"/>
  <c r="U24" i="6" s="1"/>
  <c r="Y24" i="6" s="1"/>
  <c r="M59" i="6"/>
  <c r="Q59" i="6"/>
  <c r="W59" i="6"/>
  <c r="X23" i="6"/>
  <c r="X25" i="6"/>
  <c r="X58" i="6"/>
  <c r="F52" i="2"/>
  <c r="E54" i="5"/>
  <c r="F24" i="5"/>
  <c r="E23" i="3"/>
  <c r="L59" i="6"/>
  <c r="P59" i="6"/>
  <c r="T59" i="6" s="1"/>
  <c r="V59" i="6"/>
  <c r="L53" i="6"/>
  <c r="P53" i="6"/>
  <c r="T53" i="6" s="1"/>
  <c r="V53" i="6"/>
  <c r="L52" i="6"/>
  <c r="P52" i="6"/>
  <c r="T52" i="6" s="1"/>
  <c r="V52" i="6"/>
  <c r="L24" i="6"/>
  <c r="P24" i="6"/>
  <c r="T24" i="6" s="1"/>
  <c r="V24" i="6"/>
  <c r="X51" i="6"/>
  <c r="P59" i="3"/>
  <c r="B18" i="2"/>
  <c r="U51" i="6" l="1"/>
  <c r="Y51" i="6" s="1"/>
  <c r="M52" i="6"/>
  <c r="W52" i="6"/>
  <c r="Q52" i="6"/>
  <c r="M54" i="6"/>
  <c r="W54" i="6"/>
  <c r="Q54" i="6"/>
  <c r="G55" i="6"/>
  <c r="F56" i="6"/>
  <c r="U53" i="6"/>
  <c r="Y53" i="6" s="1"/>
  <c r="U59" i="6"/>
  <c r="Y59" i="6" s="1"/>
  <c r="X52" i="6"/>
  <c r="F53" i="2"/>
  <c r="E55" i="5"/>
  <c r="B19" i="5"/>
  <c r="B18" i="3"/>
  <c r="L54" i="6"/>
  <c r="P54" i="6"/>
  <c r="T54" i="6" s="1"/>
  <c r="V54" i="6"/>
  <c r="X24" i="6"/>
  <c r="X59" i="6"/>
  <c r="X53" i="6"/>
  <c r="N16" i="2"/>
  <c r="E58" i="2"/>
  <c r="E50" i="2"/>
  <c r="F51" i="5" s="1"/>
  <c r="E24" i="2"/>
  <c r="U52" i="6" l="1"/>
  <c r="Y52" i="6" s="1"/>
  <c r="M55" i="6"/>
  <c r="Q55" i="6"/>
  <c r="W55" i="6"/>
  <c r="G56" i="6"/>
  <c r="F57" i="6"/>
  <c r="G57" i="6" s="1"/>
  <c r="U54" i="6"/>
  <c r="Y54" i="6" s="1"/>
  <c r="X54" i="6"/>
  <c r="F54" i="2"/>
  <c r="E56" i="5"/>
  <c r="K16" i="3"/>
  <c r="N17" i="5"/>
  <c r="E58" i="3"/>
  <c r="F59" i="5"/>
  <c r="F25" i="5"/>
  <c r="E24" i="3"/>
  <c r="L55" i="6"/>
  <c r="P55" i="6"/>
  <c r="T55" i="6" s="1"/>
  <c r="V55" i="6"/>
  <c r="E52" i="2"/>
  <c r="E51" i="2"/>
  <c r="E50" i="3"/>
  <c r="W17" i="2"/>
  <c r="W56" i="6" l="1"/>
  <c r="M56" i="6"/>
  <c r="Q56" i="6"/>
  <c r="M57" i="6"/>
  <c r="Q57" i="6"/>
  <c r="W57" i="6"/>
  <c r="U55" i="6"/>
  <c r="Y55" i="6" s="1"/>
  <c r="F55" i="2"/>
  <c r="E57" i="5"/>
  <c r="F56" i="2" s="1"/>
  <c r="E53" i="2"/>
  <c r="F53" i="5"/>
  <c r="E51" i="3"/>
  <c r="F52" i="5"/>
  <c r="L56" i="6"/>
  <c r="P56" i="6"/>
  <c r="T56" i="6" s="1"/>
  <c r="V56" i="6"/>
  <c r="X55" i="6"/>
  <c r="E52" i="3"/>
  <c r="N26" i="2"/>
  <c r="N27" i="5" s="1"/>
  <c r="V17" i="2"/>
  <c r="U17" i="2"/>
  <c r="G45" i="2"/>
  <c r="J45" i="2"/>
  <c r="M45" i="2"/>
  <c r="N45" i="2"/>
  <c r="G46" i="2"/>
  <c r="J46" i="2"/>
  <c r="M46" i="2"/>
  <c r="N46" i="2"/>
  <c r="N47" i="5" s="1"/>
  <c r="M17" i="2"/>
  <c r="J17" i="2"/>
  <c r="G17" i="2"/>
  <c r="N17" i="2"/>
  <c r="N18" i="5" s="1"/>
  <c r="N18" i="2"/>
  <c r="N19" i="5" s="1"/>
  <c r="N58" i="2"/>
  <c r="M58" i="2"/>
  <c r="N57" i="2"/>
  <c r="N56" i="2"/>
  <c r="N55" i="2"/>
  <c r="N54" i="2"/>
  <c r="N53" i="2"/>
  <c r="N52" i="2"/>
  <c r="M52" i="2"/>
  <c r="J52" i="2"/>
  <c r="G52" i="2"/>
  <c r="B48" i="2"/>
  <c r="N51" i="2"/>
  <c r="N52" i="5" s="1"/>
  <c r="M51" i="2"/>
  <c r="N50" i="2"/>
  <c r="N51" i="5" s="1"/>
  <c r="M50" i="2"/>
  <c r="J50" i="2"/>
  <c r="G50" i="2"/>
  <c r="N49" i="2"/>
  <c r="N50" i="5" s="1"/>
  <c r="M49" i="2"/>
  <c r="J49" i="2"/>
  <c r="G49" i="2"/>
  <c r="N48" i="2"/>
  <c r="P48" i="2"/>
  <c r="M48" i="2"/>
  <c r="J48" i="2"/>
  <c r="G48" i="2"/>
  <c r="N44" i="2"/>
  <c r="G44" i="2"/>
  <c r="N43" i="2"/>
  <c r="N44" i="5" s="1"/>
  <c r="J43" i="2"/>
  <c r="N42" i="2"/>
  <c r="N43" i="5" s="1"/>
  <c r="N41" i="2"/>
  <c r="N42" i="5" s="1"/>
  <c r="G41" i="2"/>
  <c r="N40" i="2"/>
  <c r="M40" i="2"/>
  <c r="N39" i="2"/>
  <c r="N40" i="5" s="1"/>
  <c r="M39" i="2"/>
  <c r="J39" i="2"/>
  <c r="G39" i="2"/>
  <c r="N38" i="2"/>
  <c r="N39" i="5" s="1"/>
  <c r="N37" i="2"/>
  <c r="N38" i="5" s="1"/>
  <c r="M37" i="2"/>
  <c r="J37" i="2"/>
  <c r="G37" i="2"/>
  <c r="N36" i="2"/>
  <c r="N37" i="5" s="1"/>
  <c r="M36" i="2"/>
  <c r="N35" i="2"/>
  <c r="N36" i="5" s="1"/>
  <c r="M35" i="2"/>
  <c r="O35" i="2" s="1"/>
  <c r="J35" i="2"/>
  <c r="G35" i="2"/>
  <c r="N34" i="2"/>
  <c r="M34" i="2"/>
  <c r="O34" i="2" s="1"/>
  <c r="J34" i="2"/>
  <c r="G34" i="2"/>
  <c r="N33" i="2"/>
  <c r="N34" i="5" s="1"/>
  <c r="N32" i="2"/>
  <c r="N33" i="5" s="1"/>
  <c r="J32" i="2"/>
  <c r="N31" i="2"/>
  <c r="N32" i="5" s="1"/>
  <c r="N30" i="2"/>
  <c r="N31" i="5" s="1"/>
  <c r="M30" i="2"/>
  <c r="J30" i="2"/>
  <c r="G30" i="2"/>
  <c r="N29" i="2"/>
  <c r="N30" i="5" s="1"/>
  <c r="M29" i="2"/>
  <c r="O29" i="2" s="1"/>
  <c r="N28" i="2"/>
  <c r="N29" i="5" s="1"/>
  <c r="N27" i="2"/>
  <c r="N28" i="5" s="1"/>
  <c r="M27" i="2"/>
  <c r="J27" i="2"/>
  <c r="G27" i="2"/>
  <c r="B26" i="2"/>
  <c r="B27" i="2"/>
  <c r="N24" i="2"/>
  <c r="J24" i="2"/>
  <c r="N23" i="2"/>
  <c r="N24" i="5" s="1"/>
  <c r="N22" i="2"/>
  <c r="M22" i="2"/>
  <c r="J22" i="2"/>
  <c r="N21" i="2"/>
  <c r="B20" i="2"/>
  <c r="N20" i="2"/>
  <c r="N21" i="5" s="1"/>
  <c r="M20" i="2"/>
  <c r="J16" i="2"/>
  <c r="N14" i="2"/>
  <c r="N15" i="5" s="1"/>
  <c r="J14" i="2"/>
  <c r="B14" i="2"/>
  <c r="B15" i="2"/>
  <c r="N12" i="2"/>
  <c r="N13" i="5" s="1"/>
  <c r="M12" i="2"/>
  <c r="J12" i="2"/>
  <c r="G12" i="2"/>
  <c r="B8" i="2"/>
  <c r="G20" i="2"/>
  <c r="M32" i="2"/>
  <c r="J20" i="2"/>
  <c r="M15" i="2"/>
  <c r="G14" i="2"/>
  <c r="G16" i="2"/>
  <c r="P16" i="2"/>
  <c r="M16" i="2"/>
  <c r="M42" i="2"/>
  <c r="J42" i="2"/>
  <c r="G42" i="2"/>
  <c r="J44" i="2"/>
  <c r="M44" i="2"/>
  <c r="M14" i="2"/>
  <c r="M28" i="2"/>
  <c r="O28" i="2" s="1"/>
  <c r="G28" i="2"/>
  <c r="J28" i="2"/>
  <c r="J57" i="2"/>
  <c r="J26" i="2"/>
  <c r="G40" i="2"/>
  <c r="G23" i="2"/>
  <c r="J40" i="2"/>
  <c r="J21" i="2"/>
  <c r="J15" i="2"/>
  <c r="N15" i="2"/>
  <c r="N16" i="5" s="1"/>
  <c r="J58" i="2"/>
  <c r="G57" i="2"/>
  <c r="M57" i="2"/>
  <c r="M26" i="2"/>
  <c r="O26" i="2" s="1"/>
  <c r="G33" i="2"/>
  <c r="J23" i="2"/>
  <c r="M23" i="2"/>
  <c r="G31" i="2"/>
  <c r="G15" i="2"/>
  <c r="J31" i="2"/>
  <c r="J18" i="2"/>
  <c r="M31" i="2"/>
  <c r="P40" i="2"/>
  <c r="J29" i="2"/>
  <c r="G36" i="2"/>
  <c r="M18" i="2"/>
  <c r="J36" i="2"/>
  <c r="J37" i="5" s="1"/>
  <c r="G43" i="2"/>
  <c r="G58" i="2"/>
  <c r="M43" i="2"/>
  <c r="G51" i="2"/>
  <c r="J41" i="2"/>
  <c r="J51" i="2"/>
  <c r="M41" i="2"/>
  <c r="G22" i="2"/>
  <c r="M24" i="2"/>
  <c r="G32" i="2"/>
  <c r="G26" i="2"/>
  <c r="J33" i="2"/>
  <c r="G21" i="2"/>
  <c r="M33" i="2"/>
  <c r="G38" i="2"/>
  <c r="G18" i="2"/>
  <c r="J38" i="2"/>
  <c r="M21" i="2"/>
  <c r="G29" i="2"/>
  <c r="M38" i="2"/>
  <c r="G24" i="2"/>
  <c r="U56" i="6" l="1"/>
  <c r="Y56" i="6" s="1"/>
  <c r="U57" i="6"/>
  <c r="Y57" i="6" s="1"/>
  <c r="P53" i="2"/>
  <c r="M53" i="2"/>
  <c r="J53" i="2"/>
  <c r="G53" i="2"/>
  <c r="F54" i="5"/>
  <c r="E54" i="2"/>
  <c r="F45" i="3"/>
  <c r="G46" i="5"/>
  <c r="H45" i="3"/>
  <c r="Q45" i="3" s="1"/>
  <c r="J46" i="5"/>
  <c r="J45" i="3"/>
  <c r="R45" i="3" s="1"/>
  <c r="M46" i="5"/>
  <c r="V46" i="5" s="1"/>
  <c r="W46" i="5" s="1"/>
  <c r="X46" i="5" s="1"/>
  <c r="K45" i="3"/>
  <c r="N46" i="5"/>
  <c r="F46" i="3"/>
  <c r="G47" i="5"/>
  <c r="H46" i="3"/>
  <c r="Q46" i="3" s="1"/>
  <c r="J47" i="5"/>
  <c r="J46" i="3"/>
  <c r="R46" i="3" s="1"/>
  <c r="M47" i="5"/>
  <c r="V47" i="5" s="1"/>
  <c r="W47" i="5" s="1"/>
  <c r="X47" i="5" s="1"/>
  <c r="J17" i="3"/>
  <c r="R17" i="3" s="1"/>
  <c r="M18" i="5"/>
  <c r="V18" i="5" s="1"/>
  <c r="W18" i="5" s="1"/>
  <c r="X18" i="5" s="1"/>
  <c r="H17" i="3"/>
  <c r="Q17" i="3" s="1"/>
  <c r="J18" i="5"/>
  <c r="F17" i="3"/>
  <c r="G18" i="5"/>
  <c r="K58" i="3"/>
  <c r="N59" i="5"/>
  <c r="J58" i="3"/>
  <c r="R58" i="3" s="1"/>
  <c r="M59" i="5"/>
  <c r="V59" i="5" s="1"/>
  <c r="W59" i="5" s="1"/>
  <c r="X59" i="5" s="1"/>
  <c r="K57" i="3"/>
  <c r="N58" i="5"/>
  <c r="K56" i="3"/>
  <c r="N57" i="5"/>
  <c r="K55" i="3"/>
  <c r="N56" i="5"/>
  <c r="K54" i="3"/>
  <c r="N55" i="5"/>
  <c r="K53" i="3"/>
  <c r="N54" i="5"/>
  <c r="M53" i="3"/>
  <c r="P54" i="5"/>
  <c r="J53" i="3"/>
  <c r="R53" i="3" s="1"/>
  <c r="M54" i="5"/>
  <c r="V54" i="5" s="1"/>
  <c r="W54" i="5" s="1"/>
  <c r="X54" i="5" s="1"/>
  <c r="H53" i="3"/>
  <c r="Q53" i="3" s="1"/>
  <c r="J54" i="5"/>
  <c r="F53" i="3"/>
  <c r="G54" i="5"/>
  <c r="K52" i="3"/>
  <c r="N53" i="5"/>
  <c r="J52" i="3"/>
  <c r="R52" i="3" s="1"/>
  <c r="M53" i="5"/>
  <c r="V53" i="5" s="1"/>
  <c r="W53" i="5" s="1"/>
  <c r="X53" i="5" s="1"/>
  <c r="H52" i="3"/>
  <c r="Q52" i="3" s="1"/>
  <c r="S52" i="3" s="1"/>
  <c r="T52" i="3" s="1"/>
  <c r="J53" i="5"/>
  <c r="F52" i="3"/>
  <c r="G53" i="5"/>
  <c r="B49" i="2"/>
  <c r="B48" i="3"/>
  <c r="B49" i="5"/>
  <c r="J51" i="3"/>
  <c r="R51" i="3" s="1"/>
  <c r="M52" i="5"/>
  <c r="V52" i="5" s="1"/>
  <c r="W52" i="5" s="1"/>
  <c r="X52" i="5" s="1"/>
  <c r="J50" i="3"/>
  <c r="R50" i="3" s="1"/>
  <c r="M51" i="5"/>
  <c r="V51" i="5" s="1"/>
  <c r="W51" i="5" s="1"/>
  <c r="X51" i="5" s="1"/>
  <c r="H50" i="3"/>
  <c r="Q50" i="3" s="1"/>
  <c r="S50" i="3" s="1"/>
  <c r="T50" i="3" s="1"/>
  <c r="J51" i="5"/>
  <c r="F50" i="3"/>
  <c r="G51" i="5"/>
  <c r="J49" i="3"/>
  <c r="R49" i="3" s="1"/>
  <c r="M50" i="5"/>
  <c r="V50" i="5" s="1"/>
  <c r="W50" i="5" s="1"/>
  <c r="X50" i="5" s="1"/>
  <c r="H49" i="3"/>
  <c r="Q49" i="3" s="1"/>
  <c r="J50" i="5"/>
  <c r="F49" i="3"/>
  <c r="G50" i="5"/>
  <c r="K48" i="3"/>
  <c r="N49" i="5"/>
  <c r="M48" i="3"/>
  <c r="P49" i="5"/>
  <c r="J48" i="3"/>
  <c r="R48" i="3" s="1"/>
  <c r="M49" i="5"/>
  <c r="V49" i="5" s="1"/>
  <c r="W49" i="5" s="1"/>
  <c r="X49" i="5" s="1"/>
  <c r="H48" i="3"/>
  <c r="Q48" i="3" s="1"/>
  <c r="J49" i="5"/>
  <c r="F48" i="3"/>
  <c r="G49" i="5"/>
  <c r="K44" i="3"/>
  <c r="N45" i="5"/>
  <c r="P44" i="2"/>
  <c r="F44" i="3"/>
  <c r="G45" i="5"/>
  <c r="H43" i="3"/>
  <c r="Q43" i="3" s="1"/>
  <c r="J44" i="5"/>
  <c r="F41" i="3"/>
  <c r="G42" i="5"/>
  <c r="K40" i="3"/>
  <c r="N41" i="5"/>
  <c r="J40" i="3"/>
  <c r="R40" i="3" s="1"/>
  <c r="M41" i="5"/>
  <c r="V41" i="5" s="1"/>
  <c r="W41" i="5" s="1"/>
  <c r="X41" i="5" s="1"/>
  <c r="J39" i="3"/>
  <c r="R39" i="3" s="1"/>
  <c r="M40" i="5"/>
  <c r="V40" i="5" s="1"/>
  <c r="W40" i="5" s="1"/>
  <c r="X40" i="5" s="1"/>
  <c r="H39" i="3"/>
  <c r="Q39" i="3" s="1"/>
  <c r="J40" i="5"/>
  <c r="F39" i="3"/>
  <c r="G40" i="5"/>
  <c r="J37" i="3"/>
  <c r="R37" i="3" s="1"/>
  <c r="M38" i="5"/>
  <c r="V38" i="5" s="1"/>
  <c r="W38" i="5" s="1"/>
  <c r="X38" i="5" s="1"/>
  <c r="H37" i="3"/>
  <c r="Q37" i="3" s="1"/>
  <c r="J38" i="5"/>
  <c r="F37" i="3"/>
  <c r="G38" i="5"/>
  <c r="J36" i="3"/>
  <c r="R36" i="3" s="1"/>
  <c r="M37" i="5"/>
  <c r="V37" i="5" s="1"/>
  <c r="W37" i="5" s="1"/>
  <c r="X37" i="5" s="1"/>
  <c r="J35" i="3"/>
  <c r="R35" i="3" s="1"/>
  <c r="S35" i="3" s="1"/>
  <c r="T35" i="3" s="1"/>
  <c r="M36" i="5"/>
  <c r="V36" i="5" s="1"/>
  <c r="W36" i="5" s="1"/>
  <c r="X36" i="5" s="1"/>
  <c r="H35" i="3"/>
  <c r="Q35" i="3" s="1"/>
  <c r="J36" i="5"/>
  <c r="F35" i="3"/>
  <c r="G36" i="5"/>
  <c r="K34" i="3"/>
  <c r="N35" i="5"/>
  <c r="J34" i="3"/>
  <c r="R34" i="3" s="1"/>
  <c r="M35" i="5"/>
  <c r="V35" i="5" s="1"/>
  <c r="W35" i="5" s="1"/>
  <c r="X35" i="5" s="1"/>
  <c r="H34" i="3"/>
  <c r="Q34" i="3" s="1"/>
  <c r="S34" i="3" s="1"/>
  <c r="T34" i="3" s="1"/>
  <c r="J35" i="5"/>
  <c r="F34" i="3"/>
  <c r="G35" i="5"/>
  <c r="H32" i="3"/>
  <c r="Q32" i="3" s="1"/>
  <c r="J33" i="5"/>
  <c r="J30" i="3"/>
  <c r="R30" i="3" s="1"/>
  <c r="M31" i="5"/>
  <c r="V31" i="5" s="1"/>
  <c r="W31" i="5" s="1"/>
  <c r="X31" i="5" s="1"/>
  <c r="H30" i="3"/>
  <c r="Q30" i="3" s="1"/>
  <c r="J31" i="5"/>
  <c r="F30" i="3"/>
  <c r="G31" i="5"/>
  <c r="J29" i="3"/>
  <c r="R29" i="3" s="1"/>
  <c r="S29" i="3" s="1"/>
  <c r="T29" i="3" s="1"/>
  <c r="M30" i="5"/>
  <c r="V30" i="5" s="1"/>
  <c r="J27" i="3"/>
  <c r="R27" i="3" s="1"/>
  <c r="M28" i="5"/>
  <c r="V28" i="5" s="1"/>
  <c r="W28" i="5" s="1"/>
  <c r="X28" i="5" s="1"/>
  <c r="H27" i="3"/>
  <c r="Q27" i="3" s="1"/>
  <c r="J28" i="5"/>
  <c r="F27" i="3"/>
  <c r="G28" i="5"/>
  <c r="B27" i="5"/>
  <c r="B26" i="3"/>
  <c r="B28" i="2"/>
  <c r="B27" i="3"/>
  <c r="B28" i="5"/>
  <c r="K24" i="3"/>
  <c r="N25" i="5"/>
  <c r="H24" i="3"/>
  <c r="Q24" i="3" s="1"/>
  <c r="J25" i="5"/>
  <c r="K22" i="3"/>
  <c r="N23" i="5"/>
  <c r="J22" i="3"/>
  <c r="R22" i="3" s="1"/>
  <c r="M23" i="5"/>
  <c r="V23" i="5" s="1"/>
  <c r="W23" i="5" s="1"/>
  <c r="X23" i="5" s="1"/>
  <c r="H22" i="3"/>
  <c r="Q22" i="3" s="1"/>
  <c r="J23" i="5"/>
  <c r="K21" i="3"/>
  <c r="N22" i="5"/>
  <c r="B21" i="2"/>
  <c r="B20" i="3"/>
  <c r="B21" i="5"/>
  <c r="J20" i="3"/>
  <c r="R20" i="3" s="1"/>
  <c r="M21" i="5"/>
  <c r="V21" i="5" s="1"/>
  <c r="W21" i="5" s="1"/>
  <c r="H16" i="3"/>
  <c r="Q16" i="3" s="1"/>
  <c r="J17" i="5"/>
  <c r="H14" i="3"/>
  <c r="Q14" i="3" s="1"/>
  <c r="J15" i="5"/>
  <c r="B14" i="3"/>
  <c r="B15" i="5"/>
  <c r="B16" i="2"/>
  <c r="B16" i="5"/>
  <c r="B15" i="3"/>
  <c r="J12" i="3"/>
  <c r="R12" i="3" s="1"/>
  <c r="M13" i="5"/>
  <c r="V13" i="5" s="1"/>
  <c r="H12" i="3"/>
  <c r="Q12" i="3" s="1"/>
  <c r="J13" i="5"/>
  <c r="F12" i="3"/>
  <c r="G13" i="5"/>
  <c r="F20" i="3"/>
  <c r="G21" i="5"/>
  <c r="J32" i="3"/>
  <c r="R32" i="3" s="1"/>
  <c r="M33" i="5"/>
  <c r="V33" i="5" s="1"/>
  <c r="W33" i="5" s="1"/>
  <c r="X33" i="5" s="1"/>
  <c r="H20" i="3"/>
  <c r="Q20" i="3" s="1"/>
  <c r="J21" i="5"/>
  <c r="J15" i="3"/>
  <c r="R15" i="3" s="1"/>
  <c r="M16" i="5"/>
  <c r="V16" i="5" s="1"/>
  <c r="F14" i="3"/>
  <c r="G15" i="5"/>
  <c r="F16" i="3"/>
  <c r="G17" i="5"/>
  <c r="M16" i="3"/>
  <c r="P17" i="5"/>
  <c r="J16" i="3"/>
  <c r="R16" i="3" s="1"/>
  <c r="M17" i="5"/>
  <c r="V17" i="5" s="1"/>
  <c r="W17" i="5" s="1"/>
  <c r="X17" i="5" s="1"/>
  <c r="J42" i="3"/>
  <c r="R42" i="3" s="1"/>
  <c r="M43" i="5"/>
  <c r="V43" i="5" s="1"/>
  <c r="W43" i="5" s="1"/>
  <c r="X43" i="5" s="1"/>
  <c r="H42" i="3"/>
  <c r="Q42" i="3" s="1"/>
  <c r="S42" i="3" s="1"/>
  <c r="T42" i="3" s="1"/>
  <c r="J43" i="5"/>
  <c r="F42" i="3"/>
  <c r="G43" i="5"/>
  <c r="H44" i="3"/>
  <c r="Q44" i="3" s="1"/>
  <c r="J45" i="5"/>
  <c r="J44" i="3"/>
  <c r="R44" i="3" s="1"/>
  <c r="M45" i="5"/>
  <c r="V45" i="5" s="1"/>
  <c r="W45" i="5" s="1"/>
  <c r="X45" i="5" s="1"/>
  <c r="J14" i="3"/>
  <c r="R14" i="3" s="1"/>
  <c r="M15" i="5"/>
  <c r="V15" i="5" s="1"/>
  <c r="W15" i="5" s="1"/>
  <c r="X15" i="5" s="1"/>
  <c r="J28" i="3"/>
  <c r="R28" i="3" s="1"/>
  <c r="M29" i="5"/>
  <c r="V29" i="5" s="1"/>
  <c r="W29" i="5" s="1"/>
  <c r="X29" i="5" s="1"/>
  <c r="F28" i="3"/>
  <c r="G29" i="5"/>
  <c r="H28" i="3"/>
  <c r="Q28" i="3" s="1"/>
  <c r="J29" i="5"/>
  <c r="H57" i="3"/>
  <c r="Q57" i="3" s="1"/>
  <c r="J58" i="5"/>
  <c r="H26" i="3"/>
  <c r="Q26" i="3" s="1"/>
  <c r="J27" i="5"/>
  <c r="F40" i="3"/>
  <c r="G41" i="5"/>
  <c r="F23" i="3"/>
  <c r="G24" i="5"/>
  <c r="H40" i="3"/>
  <c r="Q40" i="3" s="1"/>
  <c r="J41" i="5"/>
  <c r="H21" i="3"/>
  <c r="Q21" i="3" s="1"/>
  <c r="J22" i="5"/>
  <c r="H15" i="3"/>
  <c r="Q15" i="3" s="1"/>
  <c r="J16" i="5"/>
  <c r="H58" i="3"/>
  <c r="Q58" i="3" s="1"/>
  <c r="S58" i="3" s="1"/>
  <c r="T58" i="3" s="1"/>
  <c r="J59" i="5"/>
  <c r="F57" i="3"/>
  <c r="G58" i="5"/>
  <c r="J57" i="3"/>
  <c r="R57" i="3" s="1"/>
  <c r="M58" i="5"/>
  <c r="V58" i="5" s="1"/>
  <c r="W58" i="5" s="1"/>
  <c r="X58" i="5" s="1"/>
  <c r="J26" i="3"/>
  <c r="R26" i="3" s="1"/>
  <c r="M27" i="5"/>
  <c r="V27" i="5" s="1"/>
  <c r="W27" i="5" s="1"/>
  <c r="X27" i="5" s="1"/>
  <c r="F33" i="3"/>
  <c r="G34" i="5"/>
  <c r="H23" i="3"/>
  <c r="Q23" i="3" s="1"/>
  <c r="J24" i="5"/>
  <c r="J23" i="3"/>
  <c r="R23" i="3" s="1"/>
  <c r="S23" i="3" s="1"/>
  <c r="T23" i="3" s="1"/>
  <c r="M24" i="5"/>
  <c r="V24" i="5" s="1"/>
  <c r="W24" i="5" s="1"/>
  <c r="X24" i="5" s="1"/>
  <c r="F31" i="3"/>
  <c r="G32" i="5"/>
  <c r="F15" i="3"/>
  <c r="G16" i="5"/>
  <c r="H31" i="3"/>
  <c r="Q31" i="3" s="1"/>
  <c r="J32" i="5"/>
  <c r="H18" i="3"/>
  <c r="Q18" i="3" s="1"/>
  <c r="J19" i="5"/>
  <c r="J31" i="3"/>
  <c r="R31" i="3" s="1"/>
  <c r="M32" i="5"/>
  <c r="V32" i="5" s="1"/>
  <c r="W32" i="5" s="1"/>
  <c r="X32" i="5" s="1"/>
  <c r="M40" i="3"/>
  <c r="P41" i="5"/>
  <c r="H29" i="3"/>
  <c r="Q29" i="3" s="1"/>
  <c r="J30" i="5"/>
  <c r="F36" i="3"/>
  <c r="G37" i="5"/>
  <c r="J18" i="3"/>
  <c r="R18" i="3" s="1"/>
  <c r="S18" i="3" s="1"/>
  <c r="T18" i="3" s="1"/>
  <c r="M19" i="5"/>
  <c r="V19" i="5" s="1"/>
  <c r="W19" i="5" s="1"/>
  <c r="X19" i="5" s="1"/>
  <c r="K37" i="5"/>
  <c r="K36" i="2" s="1"/>
  <c r="U37" i="5"/>
  <c r="F43" i="3"/>
  <c r="G44" i="5"/>
  <c r="F58" i="3"/>
  <c r="G59" i="5"/>
  <c r="J43" i="3"/>
  <c r="R43" i="3" s="1"/>
  <c r="M44" i="5"/>
  <c r="V44" i="5" s="1"/>
  <c r="W44" i="5" s="1"/>
  <c r="X44" i="5" s="1"/>
  <c r="F51" i="3"/>
  <c r="G52" i="5"/>
  <c r="H41" i="3"/>
  <c r="Q41" i="3" s="1"/>
  <c r="J42" i="5"/>
  <c r="H51" i="3"/>
  <c r="Q51" i="3" s="1"/>
  <c r="J52" i="5"/>
  <c r="J41" i="3"/>
  <c r="R41" i="3" s="1"/>
  <c r="M42" i="5"/>
  <c r="V42" i="5" s="1"/>
  <c r="W42" i="5" s="1"/>
  <c r="X42" i="5" s="1"/>
  <c r="F22" i="3"/>
  <c r="G23" i="5"/>
  <c r="J24" i="3"/>
  <c r="R24" i="3" s="1"/>
  <c r="M25" i="5"/>
  <c r="V25" i="5" s="1"/>
  <c r="W25" i="5" s="1"/>
  <c r="X25" i="5" s="1"/>
  <c r="F32" i="3"/>
  <c r="G33" i="5"/>
  <c r="F26" i="3"/>
  <c r="G27" i="5"/>
  <c r="H33" i="3"/>
  <c r="Q33" i="3" s="1"/>
  <c r="J34" i="5"/>
  <c r="F21" i="3"/>
  <c r="G22" i="5"/>
  <c r="J33" i="3"/>
  <c r="R33" i="3" s="1"/>
  <c r="S33" i="3" s="1"/>
  <c r="T33" i="3" s="1"/>
  <c r="M34" i="5"/>
  <c r="V34" i="5" s="1"/>
  <c r="W34" i="5" s="1"/>
  <c r="X34" i="5" s="1"/>
  <c r="F38" i="3"/>
  <c r="G39" i="5"/>
  <c r="F18" i="3"/>
  <c r="G19" i="5"/>
  <c r="H38" i="3"/>
  <c r="Q38" i="3" s="1"/>
  <c r="J39" i="5"/>
  <c r="J21" i="3"/>
  <c r="R21" i="3" s="1"/>
  <c r="M22" i="5"/>
  <c r="V22" i="5" s="1"/>
  <c r="W22" i="5" s="1"/>
  <c r="X22" i="5" s="1"/>
  <c r="F29" i="3"/>
  <c r="G30" i="5"/>
  <c r="J38" i="3"/>
  <c r="R38" i="3" s="1"/>
  <c r="M39" i="5"/>
  <c r="V39" i="5" s="1"/>
  <c r="W39" i="5" s="1"/>
  <c r="X39" i="5" s="1"/>
  <c r="F24" i="3"/>
  <c r="G25" i="5"/>
  <c r="L57" i="6"/>
  <c r="P57" i="6"/>
  <c r="T57" i="6" s="1"/>
  <c r="V57" i="6"/>
  <c r="X56" i="6"/>
  <c r="S48" i="3"/>
  <c r="T48" i="3" s="1"/>
  <c r="S57" i="3"/>
  <c r="T57" i="3" s="1"/>
  <c r="S51" i="3"/>
  <c r="T51" i="3" s="1"/>
  <c r="S46" i="3"/>
  <c r="T46" i="3" s="1"/>
  <c r="P45" i="2"/>
  <c r="S38" i="3"/>
  <c r="T38" i="3" s="1"/>
  <c r="S41" i="3"/>
  <c r="T41" i="3" s="1"/>
  <c r="S31" i="3"/>
  <c r="T31" i="3" s="1"/>
  <c r="S21" i="3"/>
  <c r="T21" i="3" s="1"/>
  <c r="S44" i="3"/>
  <c r="T44" i="3" s="1"/>
  <c r="S20" i="3"/>
  <c r="T20" i="3" s="1"/>
  <c r="S40" i="3"/>
  <c r="T40" i="3" s="1"/>
  <c r="S37" i="3"/>
  <c r="T37" i="3" s="1"/>
  <c r="S45" i="3"/>
  <c r="T45" i="3" s="1"/>
  <c r="S43" i="3"/>
  <c r="T43" i="3" s="1"/>
  <c r="S26" i="3"/>
  <c r="T26" i="3" s="1"/>
  <c r="P34" i="2"/>
  <c r="S24" i="3"/>
  <c r="T24" i="3" s="1"/>
  <c r="S30" i="3"/>
  <c r="T30" i="3" s="1"/>
  <c r="S39" i="3"/>
  <c r="T39" i="3" s="1"/>
  <c r="P12" i="2"/>
  <c r="K12" i="3"/>
  <c r="P21" i="2"/>
  <c r="P32" i="2"/>
  <c r="K32" i="3"/>
  <c r="P36" i="2"/>
  <c r="K36" i="3"/>
  <c r="P57" i="2"/>
  <c r="P42" i="2"/>
  <c r="K42" i="3"/>
  <c r="P52" i="2"/>
  <c r="P20" i="2"/>
  <c r="K20" i="3"/>
  <c r="P31" i="2"/>
  <c r="K31" i="3"/>
  <c r="P35" i="2"/>
  <c r="K35" i="3"/>
  <c r="P33" i="2"/>
  <c r="K33" i="3"/>
  <c r="P49" i="2"/>
  <c r="K49" i="3"/>
  <c r="P58" i="2"/>
  <c r="P22" i="2"/>
  <c r="P37" i="2"/>
  <c r="K37" i="3"/>
  <c r="P43" i="2"/>
  <c r="K43" i="3"/>
  <c r="P18" i="2"/>
  <c r="K18" i="3"/>
  <c r="P41" i="2"/>
  <c r="K41" i="3"/>
  <c r="P28" i="2"/>
  <c r="K28" i="3"/>
  <c r="P24" i="2"/>
  <c r="P29" i="2"/>
  <c r="K29" i="3"/>
  <c r="P38" i="2"/>
  <c r="K38" i="3"/>
  <c r="P17" i="2"/>
  <c r="K17" i="3"/>
  <c r="P23" i="2"/>
  <c r="K23" i="3"/>
  <c r="P50" i="2"/>
  <c r="K50" i="3"/>
  <c r="P26" i="2"/>
  <c r="K26" i="3"/>
  <c r="P30" i="2"/>
  <c r="K30" i="3"/>
  <c r="P39" i="2"/>
  <c r="K39" i="3"/>
  <c r="P51" i="2"/>
  <c r="K51" i="3"/>
  <c r="P46" i="2"/>
  <c r="K46" i="3"/>
  <c r="P15" i="2"/>
  <c r="K15" i="3"/>
  <c r="S17" i="3"/>
  <c r="T17" i="3" s="1"/>
  <c r="P27" i="2"/>
  <c r="K27" i="3"/>
  <c r="S53" i="3"/>
  <c r="T53" i="3" s="1"/>
  <c r="E53" i="3"/>
  <c r="O37" i="5"/>
  <c r="H36" i="3"/>
  <c r="Q36" i="3" s="1"/>
  <c r="P14" i="2"/>
  <c r="K14" i="3"/>
  <c r="O42" i="5"/>
  <c r="O51" i="5"/>
  <c r="O46" i="5"/>
  <c r="O24" i="5"/>
  <c r="O35" i="5"/>
  <c r="O28" i="5"/>
  <c r="O30" i="5"/>
  <c r="O49" i="5"/>
  <c r="O39" i="5"/>
  <c r="O19" i="5"/>
  <c r="O54" i="5"/>
  <c r="O17" i="5"/>
  <c r="O53" i="5"/>
  <c r="O18" i="5"/>
  <c r="O16" i="5"/>
  <c r="O13" i="5"/>
  <c r="O43" i="5"/>
  <c r="O29" i="5"/>
  <c r="O52" i="5"/>
  <c r="O21" i="5"/>
  <c r="O25" i="5"/>
  <c r="O22" i="5"/>
  <c r="O45" i="5"/>
  <c r="O44" i="5"/>
  <c r="O41" i="5"/>
  <c r="O38" i="5"/>
  <c r="O34" i="5"/>
  <c r="O32" i="5"/>
  <c r="O31" i="5"/>
  <c r="O27" i="5"/>
  <c r="O15" i="5"/>
  <c r="S12" i="3" l="1"/>
  <c r="T12" i="3" s="1"/>
  <c r="S32" i="3"/>
  <c r="T32" i="3" s="1"/>
  <c r="S15" i="3"/>
  <c r="T15" i="3" s="1"/>
  <c r="S16" i="3"/>
  <c r="T16" i="3" s="1"/>
  <c r="S14" i="3"/>
  <c r="T14" i="3" s="1"/>
  <c r="S28" i="3"/>
  <c r="T28" i="3" s="1"/>
  <c r="S49" i="3"/>
  <c r="T49" i="3" s="1"/>
  <c r="S27" i="3"/>
  <c r="T27" i="3" s="1"/>
  <c r="S22" i="3"/>
  <c r="T22" i="3" s="1"/>
  <c r="S36" i="3"/>
  <c r="T36" i="3" s="1"/>
  <c r="F55" i="5"/>
  <c r="E55" i="2"/>
  <c r="K46" i="5"/>
  <c r="K45" i="2" s="1"/>
  <c r="U46" i="5"/>
  <c r="U47" i="5"/>
  <c r="K47" i="5"/>
  <c r="K46" i="2" s="1"/>
  <c r="U18" i="5"/>
  <c r="K18" i="5"/>
  <c r="K17" i="2" s="1"/>
  <c r="K54" i="5"/>
  <c r="K53" i="2" s="1"/>
  <c r="U54" i="5"/>
  <c r="K53" i="5"/>
  <c r="K52" i="2" s="1"/>
  <c r="U53" i="5"/>
  <c r="B50" i="5"/>
  <c r="B49" i="3"/>
  <c r="B50" i="2"/>
  <c r="U51" i="5"/>
  <c r="K51" i="5"/>
  <c r="K50" i="2" s="1"/>
  <c r="K50" i="5"/>
  <c r="K49" i="2" s="1"/>
  <c r="U50" i="5"/>
  <c r="K49" i="5"/>
  <c r="K48" i="2" s="1"/>
  <c r="U49" i="5"/>
  <c r="P45" i="5"/>
  <c r="M44" i="3"/>
  <c r="K44" i="5"/>
  <c r="K43" i="2" s="1"/>
  <c r="U44" i="5"/>
  <c r="K40" i="5"/>
  <c r="K39" i="2" s="1"/>
  <c r="U40" i="5"/>
  <c r="K38" i="5"/>
  <c r="K37" i="2" s="1"/>
  <c r="U38" i="5"/>
  <c r="K36" i="5"/>
  <c r="K35" i="2" s="1"/>
  <c r="U36" i="5"/>
  <c r="K35" i="5"/>
  <c r="K34" i="2" s="1"/>
  <c r="U35" i="5"/>
  <c r="K33" i="5"/>
  <c r="K32" i="2" s="1"/>
  <c r="U33" i="5"/>
  <c r="K31" i="5"/>
  <c r="K30" i="2" s="1"/>
  <c r="U31" i="5"/>
  <c r="W30" i="5"/>
  <c r="X30" i="5" s="1"/>
  <c r="K28" i="5"/>
  <c r="K27" i="2" s="1"/>
  <c r="U28" i="5"/>
  <c r="B28" i="3"/>
  <c r="B29" i="5"/>
  <c r="B29" i="2"/>
  <c r="U25" i="5"/>
  <c r="K25" i="5"/>
  <c r="K24" i="2" s="1"/>
  <c r="K23" i="5"/>
  <c r="K22" i="2" s="1"/>
  <c r="U23" i="5"/>
  <c r="B22" i="5"/>
  <c r="B21" i="3"/>
  <c r="B22" i="2"/>
  <c r="K17" i="5"/>
  <c r="K16" i="2" s="1"/>
  <c r="U17" i="5"/>
  <c r="K15" i="5"/>
  <c r="K14" i="2" s="1"/>
  <c r="U15" i="5"/>
  <c r="B16" i="3"/>
  <c r="B17" i="5"/>
  <c r="W13" i="5"/>
  <c r="K13" i="5"/>
  <c r="K12" i="2" s="1"/>
  <c r="U13" i="5"/>
  <c r="U21" i="5"/>
  <c r="X21" i="5" s="1"/>
  <c r="K21" i="5"/>
  <c r="K20" i="2" s="1"/>
  <c r="W16" i="5"/>
  <c r="X16" i="5" s="1"/>
  <c r="K43" i="5"/>
  <c r="K42" i="2" s="1"/>
  <c r="U43" i="5"/>
  <c r="U45" i="5"/>
  <c r="K45" i="5"/>
  <c r="K44" i="2" s="1"/>
  <c r="U29" i="5"/>
  <c r="K29" i="5"/>
  <c r="K28" i="2" s="1"/>
  <c r="U58" i="5"/>
  <c r="K58" i="5"/>
  <c r="K57" i="2" s="1"/>
  <c r="K27" i="5"/>
  <c r="K26" i="2" s="1"/>
  <c r="U27" i="5"/>
  <c r="K41" i="5"/>
  <c r="K40" i="2" s="1"/>
  <c r="U41" i="5"/>
  <c r="K22" i="5"/>
  <c r="K21" i="2" s="1"/>
  <c r="U22" i="5"/>
  <c r="U16" i="5"/>
  <c r="K16" i="5"/>
  <c r="K15" i="2" s="1"/>
  <c r="K59" i="5"/>
  <c r="K58" i="2" s="1"/>
  <c r="U59" i="5"/>
  <c r="K24" i="5"/>
  <c r="K23" i="2" s="1"/>
  <c r="U24" i="5"/>
  <c r="K32" i="5"/>
  <c r="K31" i="2" s="1"/>
  <c r="U32" i="5"/>
  <c r="K19" i="5"/>
  <c r="K18" i="2" s="1"/>
  <c r="U19" i="5"/>
  <c r="U30" i="5"/>
  <c r="K30" i="5"/>
  <c r="K29" i="2" s="1"/>
  <c r="K42" i="5"/>
  <c r="K41" i="2" s="1"/>
  <c r="U42" i="5"/>
  <c r="K52" i="5"/>
  <c r="K51" i="2" s="1"/>
  <c r="U52" i="5"/>
  <c r="U34" i="5"/>
  <c r="K34" i="5"/>
  <c r="K33" i="2" s="1"/>
  <c r="K39" i="5"/>
  <c r="K38" i="2" s="1"/>
  <c r="U39" i="5"/>
  <c r="M45" i="3"/>
  <c r="P46" i="5"/>
  <c r="M34" i="3"/>
  <c r="P35" i="5"/>
  <c r="M12" i="3"/>
  <c r="P13" i="5"/>
  <c r="M21" i="3"/>
  <c r="P22" i="5"/>
  <c r="M32" i="3"/>
  <c r="P33" i="5"/>
  <c r="M36" i="3"/>
  <c r="P37" i="5"/>
  <c r="M57" i="3"/>
  <c r="P58" i="5"/>
  <c r="M42" i="3"/>
  <c r="P43" i="5"/>
  <c r="M52" i="3"/>
  <c r="P53" i="5"/>
  <c r="M20" i="3"/>
  <c r="P21" i="5"/>
  <c r="M31" i="3"/>
  <c r="P32" i="5"/>
  <c r="M35" i="3"/>
  <c r="P36" i="5"/>
  <c r="M33" i="3"/>
  <c r="P34" i="5"/>
  <c r="M49" i="3"/>
  <c r="P50" i="5"/>
  <c r="M58" i="3"/>
  <c r="P59" i="5"/>
  <c r="M22" i="3"/>
  <c r="P23" i="5"/>
  <c r="M37" i="3"/>
  <c r="P38" i="5"/>
  <c r="M43" i="3"/>
  <c r="P44" i="5"/>
  <c r="M18" i="3"/>
  <c r="P19" i="5"/>
  <c r="M41" i="3"/>
  <c r="P42" i="5"/>
  <c r="M28" i="3"/>
  <c r="P29" i="5"/>
  <c r="M24" i="3"/>
  <c r="P25" i="5"/>
  <c r="M29" i="3"/>
  <c r="P30" i="5"/>
  <c r="M38" i="3"/>
  <c r="P39" i="5"/>
  <c r="M17" i="3"/>
  <c r="P18" i="5"/>
  <c r="M23" i="3"/>
  <c r="P24" i="5"/>
  <c r="M50" i="3"/>
  <c r="P51" i="5"/>
  <c r="M26" i="3"/>
  <c r="P27" i="5"/>
  <c r="M30" i="3"/>
  <c r="P31" i="5"/>
  <c r="M39" i="3"/>
  <c r="P40" i="5"/>
  <c r="M51" i="3"/>
  <c r="P52" i="5"/>
  <c r="M46" i="3"/>
  <c r="P47" i="5"/>
  <c r="M15" i="3"/>
  <c r="P16" i="5"/>
  <c r="M27" i="3"/>
  <c r="P28" i="5"/>
  <c r="L58" i="3"/>
  <c r="O59" i="5"/>
  <c r="L49" i="3"/>
  <c r="O50" i="5"/>
  <c r="M14" i="3"/>
  <c r="P15" i="5"/>
  <c r="L32" i="3"/>
  <c r="O33" i="5"/>
  <c r="L35" i="3"/>
  <c r="O36" i="5"/>
  <c r="L46" i="3"/>
  <c r="O47" i="5"/>
  <c r="L39" i="3"/>
  <c r="O40" i="5"/>
  <c r="L22" i="3"/>
  <c r="O23" i="5"/>
  <c r="L57" i="3"/>
  <c r="O58" i="5"/>
  <c r="X57" i="6"/>
  <c r="L36" i="3"/>
  <c r="Q36" i="2"/>
  <c r="L41" i="3"/>
  <c r="Q41" i="2"/>
  <c r="Q12" i="2"/>
  <c r="L12" i="3"/>
  <c r="Q57" i="2"/>
  <c r="Q24" i="2"/>
  <c r="L24" i="3"/>
  <c r="Q20" i="2"/>
  <c r="L20" i="3"/>
  <c r="Q45" i="2"/>
  <c r="L45" i="3"/>
  <c r="Q46" i="2"/>
  <c r="Q43" i="2"/>
  <c r="L43" i="3"/>
  <c r="Q44" i="2"/>
  <c r="L44" i="3"/>
  <c r="Q21" i="2"/>
  <c r="L21" i="3"/>
  <c r="Q23" i="2"/>
  <c r="L23" i="3"/>
  <c r="Q26" i="2"/>
  <c r="L26" i="3"/>
  <c r="Q58" i="2"/>
  <c r="Q51" i="2"/>
  <c r="L51" i="3"/>
  <c r="Q52" i="2"/>
  <c r="L52" i="3"/>
  <c r="E54" i="3"/>
  <c r="J54" i="2"/>
  <c r="J55" i="5" s="1"/>
  <c r="G54" i="2"/>
  <c r="M54" i="2"/>
  <c r="Q49" i="2"/>
  <c r="Q50" i="2"/>
  <c r="L50" i="3"/>
  <c r="Q53" i="2"/>
  <c r="L53" i="3"/>
  <c r="P54" i="2"/>
  <c r="Q48" i="2"/>
  <c r="L48" i="3"/>
  <c r="Q31" i="2"/>
  <c r="L31" i="3"/>
  <c r="Q33" i="2"/>
  <c r="L33" i="3"/>
  <c r="Q28" i="2"/>
  <c r="L28" i="3"/>
  <c r="Q42" i="2"/>
  <c r="L42" i="3"/>
  <c r="Q35" i="2"/>
  <c r="Q29" i="2"/>
  <c r="L29" i="3"/>
  <c r="Q30" i="2"/>
  <c r="L30" i="3"/>
  <c r="Q40" i="2"/>
  <c r="L40" i="3"/>
  <c r="Q34" i="2"/>
  <c r="L34" i="3"/>
  <c r="Q37" i="2"/>
  <c r="L37" i="3"/>
  <c r="Q32" i="2"/>
  <c r="Q38" i="2"/>
  <c r="L38" i="3"/>
  <c r="Q39" i="2"/>
  <c r="Q27" i="2"/>
  <c r="L27" i="3"/>
  <c r="Q22" i="2"/>
  <c r="Q17" i="2"/>
  <c r="L17" i="3"/>
  <c r="Q15" i="2"/>
  <c r="L15" i="3"/>
  <c r="Q18" i="2"/>
  <c r="L18" i="3"/>
  <c r="Q16" i="2"/>
  <c r="L16" i="3"/>
  <c r="Q14" i="2"/>
  <c r="L14" i="3"/>
  <c r="F56" i="5" l="1"/>
  <c r="E56" i="2"/>
  <c r="F57" i="5" s="1"/>
  <c r="B51" i="5"/>
  <c r="B50" i="3"/>
  <c r="B51" i="2"/>
  <c r="B30" i="5"/>
  <c r="B29" i="3"/>
  <c r="B30" i="2"/>
  <c r="B23" i="5"/>
  <c r="B22" i="3"/>
  <c r="B23" i="2"/>
  <c r="X13" i="5"/>
  <c r="N36" i="3"/>
  <c r="Q37" i="5"/>
  <c r="N41" i="3"/>
  <c r="Q42" i="5"/>
  <c r="N12" i="3"/>
  <c r="Q13" i="5"/>
  <c r="N57" i="3"/>
  <c r="Q58" i="5"/>
  <c r="N24" i="3"/>
  <c r="Q25" i="5"/>
  <c r="N20" i="3"/>
  <c r="Q21" i="5"/>
  <c r="N45" i="3"/>
  <c r="Q46" i="5"/>
  <c r="N46" i="3"/>
  <c r="Q47" i="5"/>
  <c r="N43" i="3"/>
  <c r="Q44" i="5"/>
  <c r="N44" i="3"/>
  <c r="Q45" i="5"/>
  <c r="N21" i="3"/>
  <c r="Q22" i="5"/>
  <c r="N23" i="3"/>
  <c r="Q24" i="5"/>
  <c r="N26" i="3"/>
  <c r="Q27" i="5"/>
  <c r="N58" i="3"/>
  <c r="Q59" i="5"/>
  <c r="N51" i="3"/>
  <c r="Q52" i="5"/>
  <c r="N52" i="3"/>
  <c r="Q53" i="5"/>
  <c r="K55" i="5"/>
  <c r="K54" i="2" s="1"/>
  <c r="U55" i="5"/>
  <c r="F54" i="3"/>
  <c r="G55" i="5"/>
  <c r="J54" i="3"/>
  <c r="R54" i="3" s="1"/>
  <c r="M55" i="5"/>
  <c r="V55" i="5" s="1"/>
  <c r="N49" i="3"/>
  <c r="Q50" i="5"/>
  <c r="N50" i="3"/>
  <c r="Q51" i="5"/>
  <c r="N53" i="3"/>
  <c r="Q54" i="5"/>
  <c r="M54" i="3"/>
  <c r="P55" i="5"/>
  <c r="N48" i="3"/>
  <c r="Q49" i="5"/>
  <c r="N31" i="3"/>
  <c r="Q32" i="5"/>
  <c r="N33" i="3"/>
  <c r="Q34" i="5"/>
  <c r="N28" i="3"/>
  <c r="Q29" i="5"/>
  <c r="N42" i="3"/>
  <c r="Q43" i="5"/>
  <c r="N35" i="3"/>
  <c r="Q36" i="5"/>
  <c r="N29" i="3"/>
  <c r="Q30" i="5"/>
  <c r="N30" i="3"/>
  <c r="Q31" i="5"/>
  <c r="N40" i="3"/>
  <c r="Q41" i="5"/>
  <c r="N34" i="3"/>
  <c r="Q35" i="5"/>
  <c r="N37" i="3"/>
  <c r="Q38" i="5"/>
  <c r="N32" i="3"/>
  <c r="Q33" i="5"/>
  <c r="N38" i="3"/>
  <c r="Q39" i="5"/>
  <c r="N39" i="3"/>
  <c r="Q40" i="5"/>
  <c r="N27" i="3"/>
  <c r="Q28" i="5"/>
  <c r="N22" i="3"/>
  <c r="Q23" i="5"/>
  <c r="N17" i="3"/>
  <c r="Q18" i="5"/>
  <c r="N15" i="3"/>
  <c r="Q16" i="5"/>
  <c r="N18" i="3"/>
  <c r="Q19" i="5"/>
  <c r="N16" i="3"/>
  <c r="Q17" i="5"/>
  <c r="N14" i="3"/>
  <c r="Q15" i="5"/>
  <c r="H54" i="3"/>
  <c r="Q54" i="3" s="1"/>
  <c r="O55" i="5"/>
  <c r="E55" i="3"/>
  <c r="M55" i="2"/>
  <c r="J55" i="2"/>
  <c r="J56" i="5" s="1"/>
  <c r="G55" i="2"/>
  <c r="G56" i="5" s="1"/>
  <c r="P55" i="2"/>
  <c r="B51" i="3" l="1"/>
  <c r="B52" i="5"/>
  <c r="B52" i="2"/>
  <c r="B31" i="5"/>
  <c r="B30" i="3"/>
  <c r="B31" i="2"/>
  <c r="B24" i="5"/>
  <c r="B23" i="3"/>
  <c r="B24" i="2"/>
  <c r="W55" i="5"/>
  <c r="J55" i="3"/>
  <c r="R55" i="3" s="1"/>
  <c r="M56" i="5"/>
  <c r="V56" i="5" s="1"/>
  <c r="K56" i="5"/>
  <c r="K55" i="2" s="1"/>
  <c r="U56" i="5"/>
  <c r="M55" i="3"/>
  <c r="P56" i="5"/>
  <c r="E56" i="3"/>
  <c r="P56" i="2"/>
  <c r="M56" i="2"/>
  <c r="M57" i="5" s="1"/>
  <c r="V57" i="5" s="1"/>
  <c r="W57" i="5" s="1"/>
  <c r="X57" i="5" s="1"/>
  <c r="J56" i="2"/>
  <c r="G56" i="2"/>
  <c r="G57" i="5" s="1"/>
  <c r="F55" i="3"/>
  <c r="Q54" i="2"/>
  <c r="L54" i="3"/>
  <c r="H55" i="3"/>
  <c r="Q55" i="3" s="1"/>
  <c r="S54" i="3"/>
  <c r="S55" i="3" l="1"/>
  <c r="T55" i="3" s="1"/>
  <c r="B52" i="3"/>
  <c r="B53" i="5"/>
  <c r="B53" i="2"/>
  <c r="B31" i="3"/>
  <c r="B32" i="5"/>
  <c r="B32" i="2"/>
  <c r="B25" i="5"/>
  <c r="B24" i="3"/>
  <c r="X55" i="5"/>
  <c r="W56" i="5"/>
  <c r="V60" i="5"/>
  <c r="M56" i="3"/>
  <c r="P57" i="5"/>
  <c r="H56" i="3"/>
  <c r="Q56" i="3" s="1"/>
  <c r="Q59" i="3" s="1"/>
  <c r="J57" i="5"/>
  <c r="N54" i="3"/>
  <c r="Q55" i="5"/>
  <c r="L55" i="3"/>
  <c r="O56" i="5"/>
  <c r="T54" i="3"/>
  <c r="Q55" i="2"/>
  <c r="F56" i="3"/>
  <c r="J56" i="3"/>
  <c r="R56" i="3" s="1"/>
  <c r="R59" i="3" s="1"/>
  <c r="X56" i="5" l="1"/>
  <c r="X60" i="5" s="1"/>
  <c r="W60" i="5"/>
  <c r="B54" i="5"/>
  <c r="B53" i="3"/>
  <c r="B54" i="2"/>
  <c r="B32" i="3"/>
  <c r="B33" i="5"/>
  <c r="B33" i="2"/>
  <c r="K57" i="5"/>
  <c r="K56" i="2" s="1"/>
  <c r="U57" i="5"/>
  <c r="U60" i="5" s="1"/>
  <c r="N55" i="3"/>
  <c r="Q56" i="5"/>
  <c r="L56" i="3"/>
  <c r="O57" i="5"/>
  <c r="S56" i="3"/>
  <c r="Q56" i="2"/>
  <c r="B54" i="3" l="1"/>
  <c r="B55" i="5"/>
  <c r="B55" i="2"/>
  <c r="B34" i="5"/>
  <c r="B33" i="3"/>
  <c r="B34" i="2"/>
  <c r="N56" i="3"/>
  <c r="Q57" i="5"/>
  <c r="T56" i="3"/>
  <c r="T59" i="3" s="1"/>
  <c r="S59" i="3"/>
  <c r="B55" i="3" l="1"/>
  <c r="B56" i="5"/>
  <c r="B56" i="2"/>
  <c r="B35" i="5"/>
  <c r="B34" i="3"/>
  <c r="B35" i="2"/>
  <c r="B56" i="3" l="1"/>
  <c r="B57" i="5"/>
  <c r="B57" i="2"/>
  <c r="B36" i="5"/>
  <c r="B35" i="3"/>
  <c r="B36" i="2"/>
  <c r="B57" i="3" l="1"/>
  <c r="B58" i="5"/>
  <c r="B58" i="2"/>
  <c r="B36" i="3"/>
  <c r="B37" i="5"/>
  <c r="B37" i="2"/>
  <c r="B58" i="3" l="1"/>
  <c r="B59" i="5"/>
  <c r="B37" i="3"/>
  <c r="B38" i="5"/>
  <c r="B38" i="2"/>
  <c r="B38" i="3" l="1"/>
  <c r="B39" i="5"/>
  <c r="B39" i="2"/>
  <c r="B40" i="5" l="1"/>
  <c r="B39" i="3"/>
  <c r="B40" i="2"/>
  <c r="B40" i="3" l="1"/>
  <c r="B41" i="5"/>
  <c r="B41" i="2"/>
  <c r="B41" i="3" l="1"/>
  <c r="B42" i="5"/>
  <c r="B42" i="2"/>
  <c r="B43" i="5" l="1"/>
  <c r="B42" i="3"/>
  <c r="B43" i="2"/>
  <c r="B43" i="3" l="1"/>
  <c r="B44" i="5"/>
  <c r="B44" i="2"/>
  <c r="B44" i="3" l="1"/>
  <c r="B45" i="5"/>
  <c r="B45" i="2"/>
  <c r="B45" i="3" l="1"/>
  <c r="B46" i="5"/>
  <c r="B46" i="2"/>
  <c r="B46" i="3" l="1"/>
  <c r="B47" i="5"/>
</calcChain>
</file>

<file path=xl/sharedStrings.xml><?xml version="1.0" encoding="utf-8"?>
<sst xmlns="http://schemas.openxmlformats.org/spreadsheetml/2006/main" count="397" uniqueCount="130">
  <si>
    <t>Project Title : Debottleneck Production Facilities - Abqaiq / Overhead Transmission Powerlines</t>
  </si>
  <si>
    <t>Contract No :  5305-200-510-01</t>
  </si>
  <si>
    <t>BI NO :  10-10303</t>
  </si>
  <si>
    <t>Contract Value</t>
  </si>
  <si>
    <t>No</t>
  </si>
  <si>
    <t>Activity</t>
  </si>
  <si>
    <t>Remarks</t>
  </si>
  <si>
    <t>Survey</t>
  </si>
  <si>
    <t>Project Complete  Surveying</t>
  </si>
  <si>
    <t>Access Road</t>
  </si>
  <si>
    <t>Grading</t>
  </si>
  <si>
    <t>Water Pouring</t>
  </si>
  <si>
    <t>HDD</t>
  </si>
  <si>
    <t>Excavation Sending pit</t>
  </si>
  <si>
    <t>Excavation Receiving pit</t>
  </si>
  <si>
    <t>Drilling</t>
  </si>
  <si>
    <t>Cable Pulling</t>
  </si>
  <si>
    <t>Termination</t>
  </si>
  <si>
    <t>OHPL</t>
  </si>
  <si>
    <t>Rebar Assembly  Febrication for Steel Cage</t>
  </si>
  <si>
    <t>Pole Surveying</t>
  </si>
  <si>
    <t>Auguring</t>
  </si>
  <si>
    <t>Drum Installation</t>
  </si>
  <si>
    <t>Lowering Steel Cage</t>
  </si>
  <si>
    <t>Concrete Pouring 1st Stage</t>
  </si>
  <si>
    <t>Curing (1st Stage)</t>
  </si>
  <si>
    <t>Concrete Pouring 2nd Stage</t>
  </si>
  <si>
    <t>Curing (2st Stage)</t>
  </si>
  <si>
    <t>Deshuttering</t>
  </si>
  <si>
    <t>Pole top part installation</t>
  </si>
  <si>
    <t>Cross Arm Installation</t>
  </si>
  <si>
    <t>Accessories Installation</t>
  </si>
  <si>
    <t>Grounding Installation</t>
  </si>
  <si>
    <t>Pole Identification</t>
  </si>
  <si>
    <t>ACSR Stringing</t>
  </si>
  <si>
    <t>OGW Stringing</t>
  </si>
  <si>
    <t>Underground Crossings</t>
  </si>
  <si>
    <t>Route Survey</t>
  </si>
  <si>
    <t>Excavation</t>
  </si>
  <si>
    <t>Sand Bedding &amp; Levelling</t>
  </si>
  <si>
    <t>Sand Cover</t>
  </si>
  <si>
    <t>Laying Tiles</t>
  </si>
  <si>
    <t>Laying Warning Tapes</t>
  </si>
  <si>
    <t>Final Backfilling</t>
  </si>
  <si>
    <t>Excavation for DER Grounding Pit</t>
  </si>
  <si>
    <t>Termination with both DER</t>
  </si>
  <si>
    <t>Total</t>
  </si>
  <si>
    <t>Reviewed By</t>
  </si>
  <si>
    <t>Planning Engineer</t>
  </si>
  <si>
    <t>Project Manager</t>
  </si>
  <si>
    <t>Construction Manager</t>
  </si>
  <si>
    <t>UOM</t>
  </si>
  <si>
    <t>NOS</t>
  </si>
  <si>
    <t>LM</t>
  </si>
  <si>
    <t>CUM</t>
  </si>
  <si>
    <t>Pole base &amp; Anchor alignment</t>
  </si>
  <si>
    <t>Foundation Finishings</t>
  </si>
  <si>
    <t>Report Date</t>
  </si>
  <si>
    <t>Work Duration</t>
  </si>
  <si>
    <t>ENPPI</t>
  </si>
  <si>
    <t>Overall (UOM)</t>
  </si>
  <si>
    <t>Overall (%)</t>
  </si>
  <si>
    <t>Previous (UOM)</t>
  </si>
  <si>
    <t>Previous (%)</t>
  </si>
  <si>
    <t>Present (UOM)</t>
  </si>
  <si>
    <t>Present (%)</t>
  </si>
  <si>
    <t>Accumalative (UOM)</t>
  </si>
  <si>
    <t>Accumalative (%)</t>
  </si>
  <si>
    <t>Balance (UOM)</t>
  </si>
  <si>
    <t>Balance (%)</t>
  </si>
  <si>
    <t>Completed</t>
  </si>
  <si>
    <t xml:space="preserve">Marl Filling </t>
  </si>
  <si>
    <t xml:space="preserve"> Compaction</t>
  </si>
  <si>
    <t>Access Road Surveying</t>
  </si>
  <si>
    <t>Yes Push Items</t>
  </si>
  <si>
    <t>No Push Items</t>
  </si>
  <si>
    <t>Lot</t>
  </si>
  <si>
    <t xml:space="preserve">Lot </t>
  </si>
  <si>
    <t>SUC</t>
  </si>
  <si>
    <t>Prepared By</t>
  </si>
  <si>
    <t>Approved By</t>
  </si>
  <si>
    <t>Concurred By</t>
  </si>
  <si>
    <t>Planning / Discipline Engineer</t>
  </si>
  <si>
    <t>Item Total Value</t>
  </si>
  <si>
    <t>#</t>
  </si>
  <si>
    <t>Construction and Installation Summary</t>
  </si>
  <si>
    <t>Pole Installation</t>
  </si>
  <si>
    <t>Stringing</t>
  </si>
  <si>
    <t>Weight
100%</t>
  </si>
  <si>
    <t>Value</t>
  </si>
  <si>
    <t>Weight</t>
  </si>
  <si>
    <t>Present Invoice Value</t>
  </si>
  <si>
    <t>Accumalative Value</t>
  </si>
  <si>
    <t>Balance</t>
  </si>
  <si>
    <t>Previously Invoiced Value</t>
  </si>
  <si>
    <t>Partial Invoice #</t>
  </si>
  <si>
    <t>Amount</t>
  </si>
  <si>
    <t>Date</t>
  </si>
  <si>
    <t>For Reference (Construction)</t>
  </si>
  <si>
    <t>Performa Invoice Sheet for the Period of May 14, 2025 - Jul 1,2025 - ORIGINAL SCOPE</t>
  </si>
  <si>
    <t>Construction Measurement Sheet for the Period of May 14, 2025 - Jul 1,2025 - ORIGINAL SCOPE</t>
  </si>
  <si>
    <r>
      <t xml:space="preserve">Overall (UOM)
</t>
    </r>
    <r>
      <rPr>
        <sz val="9"/>
        <color theme="1"/>
        <rFont val="Aptos Narrow"/>
        <family val="2"/>
        <scheme val="minor"/>
      </rPr>
      <t>Until Partial Invoice #2</t>
    </r>
  </si>
  <si>
    <r>
      <t xml:space="preserve">Previous (%)
</t>
    </r>
    <r>
      <rPr>
        <sz val="9"/>
        <color theme="1"/>
        <rFont val="Aptos Narrow"/>
        <family val="2"/>
        <scheme val="minor"/>
      </rPr>
      <t>Until Partial Invoice #2</t>
    </r>
  </si>
  <si>
    <r>
      <t xml:space="preserve">Difference between Previous %
</t>
    </r>
    <r>
      <rPr>
        <sz val="10"/>
        <color theme="1"/>
        <rFont val="Aptos Narrow"/>
        <family val="2"/>
        <scheme val="minor"/>
      </rPr>
      <t>(Current Quantities and previous)</t>
    </r>
  </si>
  <si>
    <r>
      <t xml:space="preserve">Previously Invoiced Value
</t>
    </r>
    <r>
      <rPr>
        <sz val="9"/>
        <color theme="1"/>
        <rFont val="Aptos Narrow"/>
        <family val="2"/>
        <scheme val="minor"/>
      </rPr>
      <t>(Depending on New Quantities)</t>
    </r>
  </si>
  <si>
    <r>
      <t xml:space="preserve">Previously Invoiced (Actual)
</t>
    </r>
    <r>
      <rPr>
        <sz val="9"/>
        <color theme="1"/>
        <rFont val="Aptos Narrow"/>
        <family val="2"/>
        <scheme val="minor"/>
      </rPr>
      <t>(Depending on Previous Quantities and Partial Invoice #2)</t>
    </r>
  </si>
  <si>
    <r>
      <t xml:space="preserve">Accumalative Value
</t>
    </r>
    <r>
      <rPr>
        <sz val="10"/>
        <color theme="1"/>
        <rFont val="Aptos Narrow"/>
        <family val="2"/>
        <scheme val="minor"/>
      </rPr>
      <t>(Present + Actual Previous (Depending on Partial Invoice #2)</t>
    </r>
  </si>
  <si>
    <r>
      <t xml:space="preserve">Accumalative Perecentage
</t>
    </r>
    <r>
      <rPr>
        <sz val="10"/>
        <color theme="1"/>
        <rFont val="Aptos Narrow"/>
        <family val="2"/>
        <scheme val="minor"/>
      </rPr>
      <t>(Present + Actual Previous (Depending on Partial Invoice #2)</t>
    </r>
  </si>
  <si>
    <t>Overall (UOM) - Original</t>
  </si>
  <si>
    <t>Overall (UOM) - VO</t>
  </si>
  <si>
    <t>Previous (UOM) - Original</t>
  </si>
  <si>
    <t>Previous (UOM) - VO</t>
  </si>
  <si>
    <t>Previous (%) - Original</t>
  </si>
  <si>
    <t>Previous (%) - VO</t>
  </si>
  <si>
    <t>Present (UOM) - Original</t>
  </si>
  <si>
    <t>Present (UOM) - VO</t>
  </si>
  <si>
    <t>Present (%) - Original</t>
  </si>
  <si>
    <t>Present (%) - VO</t>
  </si>
  <si>
    <t>Accumalative (UOM) - Original</t>
  </si>
  <si>
    <t>Accumalative (UOM) - VO</t>
  </si>
  <si>
    <t xml:space="preserve">Accumalative (%) - Original </t>
  </si>
  <si>
    <t xml:space="preserve">Accumalative (%) - VO </t>
  </si>
  <si>
    <t>Balance (UOM) - Original</t>
  </si>
  <si>
    <t>Balance (UOM) - VO</t>
  </si>
  <si>
    <t>Balance (%) - Original</t>
  </si>
  <si>
    <t>Balance (%) - VO</t>
  </si>
  <si>
    <r>
      <t xml:space="preserve">Overall (UOM) - Original
</t>
    </r>
    <r>
      <rPr>
        <sz val="9"/>
        <color theme="1"/>
        <rFont val="Aptos Narrow"/>
        <family val="2"/>
        <scheme val="minor"/>
      </rPr>
      <t>Until Partial Invoice #2</t>
    </r>
  </si>
  <si>
    <t>Previous (%) - Original
Until Partial Invoice #2</t>
  </si>
  <si>
    <r>
      <t xml:space="preserve">Difference between Previous %
</t>
    </r>
    <r>
      <rPr>
        <sz val="12"/>
        <color theme="1"/>
        <rFont val="Aptos Narrow"/>
        <family val="2"/>
        <scheme val="minor"/>
      </rPr>
      <t>(Current Quantities and previous)</t>
    </r>
  </si>
  <si>
    <t>Construction Measurement Sheet for the Period of May 14, 2025 - Jul 17,2025 - Original + VO SCOPE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</si>
</sst>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.000_);_(* \(#,##0.000\);_(* &quot;-&quot;??_);_(@_)"/>
    <numFmt numFmtId="165" formatCode="_([$SAR]\ * #,##0.00_);_([$SAR]\ * \(#,##0.00\);_([$SAR]\ * &quot;-&quot;??_);_(@_)"/>
    <numFmt numFmtId="166" formatCode="0.0%"/>
    <numFmt numFmtId="167" formatCode="_([$SAR]\ * #,##0.0_);_([$SAR]\ * \(#,##0.0\);_([$SAR]\ * &quot;-&quot;??_);_(@_)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0.5"/>
      <color theme="1" tint="0.34998626667073579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5">
    <xf numFmtId="0" fontId="0" fillId="0" borderId="0" xfId="0"/>
    <xf numFmtId="0" fontId="0" fillId="0" borderId="0" xfId="0" applyAlignment="1">
      <alignment horizontal="left" vertical="center" indent="1"/>
    </xf>
    <xf numFmtId="43" fontId="0" fillId="0" borderId="0" xfId="1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2" fillId="4" borderId="1" xfId="0" applyNumberFormat="1" applyFont="1" applyFill="1" applyBorder="1" applyAlignment="1">
      <alignment horizontal="center" vertical="center"/>
    </xf>
    <xf numFmtId="9" fontId="2" fillId="4" borderId="1" xfId="0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9" fontId="0" fillId="0" borderId="2" xfId="2" applyFont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9" fontId="2" fillId="4" borderId="2" xfId="0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7" xfId="0" applyBorder="1" applyAlignment="1">
      <alignment horizontal="left" vertical="center" indent="1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0" fontId="0" fillId="0" borderId="1" xfId="2" applyNumberFormat="1" applyFon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9" fontId="5" fillId="3" borderId="2" xfId="2" applyFont="1" applyFill="1" applyBorder="1" applyAlignment="1">
      <alignment horizontal="center" vertical="center"/>
    </xf>
    <xf numFmtId="9" fontId="0" fillId="5" borderId="1" xfId="2" applyFont="1" applyFill="1" applyBorder="1" applyAlignment="1">
      <alignment horizontal="center" vertical="center"/>
    </xf>
    <xf numFmtId="43" fontId="3" fillId="3" borderId="1" xfId="1" applyFont="1" applyFill="1" applyBorder="1" applyAlignment="1">
      <alignment horizontal="center" vertical="center" wrapText="1"/>
    </xf>
    <xf numFmtId="43" fontId="2" fillId="4" borderId="1" xfId="1" applyFont="1" applyFill="1" applyBorder="1" applyAlignment="1">
      <alignment horizontal="center" vertical="center"/>
    </xf>
    <xf numFmtId="43" fontId="2" fillId="4" borderId="2" xfId="1" applyFont="1" applyFill="1" applyBorder="1" applyAlignment="1">
      <alignment horizontal="center" vertical="center"/>
    </xf>
    <xf numFmtId="43" fontId="5" fillId="3" borderId="2" xfId="1" applyFont="1" applyFill="1" applyBorder="1" applyAlignment="1">
      <alignment horizontal="center" vertical="center"/>
    </xf>
    <xf numFmtId="43" fontId="0" fillId="0" borderId="0" xfId="1" applyFont="1" applyAlignment="1">
      <alignment horizontal="center" vertical="center"/>
    </xf>
    <xf numFmtId="43" fontId="0" fillId="0" borderId="6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43" fontId="0" fillId="0" borderId="0" xfId="0" applyNumberFormat="1" applyAlignment="1">
      <alignment horizontal="left" vertical="center" indent="1"/>
    </xf>
    <xf numFmtId="43" fontId="6" fillId="0" borderId="1" xfId="1" applyFont="1" applyBorder="1" applyAlignment="1">
      <alignment horizontal="center" vertical="center"/>
    </xf>
    <xf numFmtId="43" fontId="1" fillId="0" borderId="1" xfId="1" applyFont="1" applyBorder="1" applyAlignment="1">
      <alignment horizontal="center" vertical="center"/>
    </xf>
    <xf numFmtId="43" fontId="1" fillId="0" borderId="1" xfId="1" applyFont="1" applyFill="1" applyBorder="1" applyAlignment="1">
      <alignment horizontal="center" vertical="center"/>
    </xf>
    <xf numFmtId="43" fontId="0" fillId="0" borderId="2" xfId="1" applyFont="1" applyBorder="1" applyAlignment="1">
      <alignment horizontal="center" vertical="center"/>
    </xf>
    <xf numFmtId="0" fontId="2" fillId="0" borderId="11" xfId="0" applyFont="1" applyBorder="1" applyAlignment="1">
      <alignment horizontal="left" vertical="center" indent="1"/>
    </xf>
    <xf numFmtId="0" fontId="2" fillId="0" borderId="12" xfId="0" applyFont="1" applyBorder="1" applyAlignment="1">
      <alignment horizontal="left" vertical="center" indent="1"/>
    </xf>
    <xf numFmtId="43" fontId="0" fillId="0" borderId="12" xfId="1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 indent="1"/>
    </xf>
    <xf numFmtId="0" fontId="2" fillId="0" borderId="14" xfId="0" applyFont="1" applyBorder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horizontal="center" vertical="center"/>
    </xf>
    <xf numFmtId="0" fontId="2" fillId="0" borderId="15" xfId="0" applyFont="1" applyBorder="1" applyAlignment="1">
      <alignment horizontal="left" vertical="center" indent="1"/>
    </xf>
    <xf numFmtId="0" fontId="2" fillId="0" borderId="16" xfId="0" applyFont="1" applyBorder="1" applyAlignment="1">
      <alignment horizontal="left" vertical="center" indent="1"/>
    </xf>
    <xf numFmtId="0" fontId="2" fillId="0" borderId="17" xfId="0" applyFont="1" applyBorder="1" applyAlignment="1">
      <alignment horizontal="left" vertical="center" indent="1"/>
    </xf>
    <xf numFmtId="43" fontId="0" fillId="0" borderId="17" xfId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left" vertical="center" indent="1"/>
    </xf>
    <xf numFmtId="43" fontId="0" fillId="0" borderId="0" xfId="1" applyFont="1" applyBorder="1" applyAlignment="1">
      <alignment horizontal="center" vertical="center"/>
    </xf>
    <xf numFmtId="0" fontId="0" fillId="0" borderId="15" xfId="0" applyBorder="1" applyAlignment="1">
      <alignment horizontal="left" vertical="center" indent="1"/>
    </xf>
    <xf numFmtId="0" fontId="0" fillId="0" borderId="16" xfId="0" applyBorder="1" applyAlignment="1">
      <alignment horizontal="left" vertical="center" indent="1"/>
    </xf>
    <xf numFmtId="0" fontId="0" fillId="0" borderId="17" xfId="0" applyBorder="1" applyAlignment="1">
      <alignment horizontal="left" vertical="center" indent="1"/>
    </xf>
    <xf numFmtId="0" fontId="0" fillId="0" borderId="18" xfId="0" applyBorder="1" applyAlignment="1">
      <alignment horizontal="left" vertical="center" indent="1"/>
    </xf>
    <xf numFmtId="0" fontId="0" fillId="0" borderId="11" xfId="0" applyBorder="1" applyAlignment="1">
      <alignment horizontal="left" vertical="center" indent="1"/>
    </xf>
    <xf numFmtId="0" fontId="0" fillId="0" borderId="12" xfId="0" applyBorder="1" applyAlignment="1">
      <alignment horizontal="left" vertical="center" indent="1"/>
    </xf>
    <xf numFmtId="0" fontId="0" fillId="0" borderId="13" xfId="0" applyBorder="1" applyAlignment="1">
      <alignment horizontal="left" vertical="center" indent="1"/>
    </xf>
    <xf numFmtId="0" fontId="0" fillId="0" borderId="14" xfId="0" applyBorder="1" applyAlignment="1">
      <alignment horizontal="left" vertical="center" indent="1"/>
    </xf>
    <xf numFmtId="15" fontId="2" fillId="0" borderId="0" xfId="0" applyNumberFormat="1" applyFont="1" applyAlignment="1">
      <alignment horizontal="center" vertical="center"/>
    </xf>
    <xf numFmtId="15" fontId="2" fillId="0" borderId="0" xfId="0" applyNumberFormat="1" applyFont="1" applyAlignment="1">
      <alignment horizontal="left" vertical="center" indent="1"/>
    </xf>
    <xf numFmtId="15" fontId="2" fillId="0" borderId="0" xfId="0" applyNumberFormat="1" applyFont="1" applyAlignment="1">
      <alignment vertical="center"/>
    </xf>
    <xf numFmtId="0" fontId="3" fillId="0" borderId="14" xfId="0" applyFont="1" applyBorder="1" applyAlignment="1">
      <alignment horizontal="left" vertical="center" indent="1"/>
    </xf>
    <xf numFmtId="0" fontId="3" fillId="0" borderId="15" xfId="0" applyFont="1" applyBorder="1" applyAlignment="1">
      <alignment horizontal="left" vertical="center" inden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43" fontId="0" fillId="0" borderId="0" xfId="1" applyFont="1" applyAlignment="1">
      <alignment horizontal="center" vertical="center" wrapText="1"/>
    </xf>
    <xf numFmtId="43" fontId="0" fillId="0" borderId="0" xfId="1" applyFont="1" applyAlignment="1">
      <alignment horizontal="left" vertical="center" indent="1"/>
    </xf>
    <xf numFmtId="2" fontId="0" fillId="0" borderId="2" xfId="0" applyNumberFormat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2" fontId="5" fillId="3" borderId="2" xfId="0" applyNumberFormat="1" applyFont="1" applyFill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 wrapText="1"/>
    </xf>
    <xf numFmtId="165" fontId="2" fillId="4" borderId="1" xfId="0" applyNumberFormat="1" applyFont="1" applyFill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65" fontId="2" fillId="4" borderId="2" xfId="0" applyNumberFormat="1" applyFont="1" applyFill="1" applyBorder="1" applyAlignment="1">
      <alignment horizontal="center" vertical="center"/>
    </xf>
    <xf numFmtId="165" fontId="5" fillId="3" borderId="2" xfId="2" applyNumberFormat="1" applyFont="1" applyFill="1" applyBorder="1" applyAlignment="1">
      <alignment horizontal="center" vertical="center"/>
    </xf>
    <xf numFmtId="165" fontId="2" fillId="0" borderId="12" xfId="0" applyNumberFormat="1" applyFont="1" applyBorder="1" applyAlignment="1">
      <alignment horizontal="center" vertical="center"/>
    </xf>
    <xf numFmtId="165" fontId="2" fillId="0" borderId="17" xfId="0" applyNumberFormat="1" applyFont="1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9" fillId="7" borderId="19" xfId="0" applyFont="1" applyFill="1" applyBorder="1" applyAlignment="1">
      <alignment horizontal="center" vertical="center"/>
    </xf>
    <xf numFmtId="0" fontId="8" fillId="8" borderId="20" xfId="0" applyFont="1" applyFill="1" applyBorder="1" applyAlignment="1">
      <alignment horizontal="left" vertical="center" inden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9" fillId="7" borderId="19" xfId="0" applyFont="1" applyFill="1" applyBorder="1" applyAlignment="1">
      <alignment horizontal="left" vertical="center" wrapText="1"/>
    </xf>
    <xf numFmtId="0" fontId="7" fillId="8" borderId="21" xfId="0" applyFont="1" applyFill="1" applyBorder="1" applyAlignment="1">
      <alignment horizontal="left" vertical="center" wrapText="1"/>
    </xf>
    <xf numFmtId="166" fontId="2" fillId="0" borderId="19" xfId="2" applyNumberFormat="1" applyFont="1" applyBorder="1" applyAlignment="1">
      <alignment horizontal="center" vertical="center"/>
    </xf>
    <xf numFmtId="9" fontId="7" fillId="8" borderId="19" xfId="2" applyFont="1" applyFill="1" applyBorder="1" applyAlignment="1">
      <alignment horizontal="center" vertical="center"/>
    </xf>
    <xf numFmtId="167" fontId="2" fillId="0" borderId="19" xfId="0" applyNumberFormat="1" applyFont="1" applyBorder="1" applyAlignment="1">
      <alignment horizontal="center" vertical="center"/>
    </xf>
    <xf numFmtId="167" fontId="5" fillId="0" borderId="19" xfId="0" applyNumberFormat="1" applyFont="1" applyBorder="1" applyAlignment="1">
      <alignment horizontal="center" vertical="center"/>
    </xf>
    <xf numFmtId="167" fontId="9" fillId="7" borderId="19" xfId="0" applyNumberFormat="1" applyFont="1" applyFill="1" applyBorder="1" applyAlignment="1">
      <alignment horizontal="center" vertical="center"/>
    </xf>
    <xf numFmtId="167" fontId="7" fillId="8" borderId="19" xfId="0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3" xfId="0" applyFont="1" applyBorder="1" applyAlignment="1">
      <alignment horizontal="left" vertical="center" wrapText="1"/>
    </xf>
    <xf numFmtId="166" fontId="2" fillId="0" borderId="23" xfId="2" applyNumberFormat="1" applyFont="1" applyBorder="1" applyAlignment="1">
      <alignment horizontal="center" vertical="center"/>
    </xf>
    <xf numFmtId="167" fontId="2" fillId="0" borderId="23" xfId="0" applyNumberFormat="1" applyFont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vertical="center" wrapText="1"/>
    </xf>
    <xf numFmtId="0" fontId="2" fillId="6" borderId="22" xfId="0" applyFont="1" applyFill="1" applyBorder="1" applyAlignment="1">
      <alignment horizontal="center" vertical="center" wrapText="1"/>
    </xf>
    <xf numFmtId="165" fontId="0" fillId="0" borderId="12" xfId="2" applyNumberFormat="1" applyFont="1" applyBorder="1" applyAlignment="1">
      <alignment horizontal="center" vertical="center"/>
    </xf>
    <xf numFmtId="165" fontId="0" fillId="0" borderId="0" xfId="2" applyNumberFormat="1" applyFont="1" applyAlignment="1">
      <alignment horizontal="center" vertical="center"/>
    </xf>
    <xf numFmtId="165" fontId="2" fillId="0" borderId="0" xfId="2" applyNumberFormat="1" applyFont="1" applyAlignment="1">
      <alignment horizontal="center" vertical="center"/>
    </xf>
    <xf numFmtId="165" fontId="3" fillId="3" borderId="1" xfId="2" applyNumberFormat="1" applyFont="1" applyFill="1" applyBorder="1" applyAlignment="1">
      <alignment horizontal="center" vertical="center" wrapText="1"/>
    </xf>
    <xf numFmtId="165" fontId="2" fillId="4" borderId="1" xfId="2" applyNumberFormat="1" applyFont="1" applyFill="1" applyBorder="1" applyAlignment="1">
      <alignment horizontal="center" vertical="center"/>
    </xf>
    <xf numFmtId="165" fontId="0" fillId="0" borderId="1" xfId="2" applyNumberFormat="1" applyFont="1" applyBorder="1" applyAlignment="1">
      <alignment horizontal="center" vertical="center"/>
    </xf>
    <xf numFmtId="165" fontId="2" fillId="4" borderId="2" xfId="2" applyNumberFormat="1" applyFont="1" applyFill="1" applyBorder="1" applyAlignment="1">
      <alignment horizontal="center" vertical="center"/>
    </xf>
    <xf numFmtId="165" fontId="2" fillId="0" borderId="12" xfId="2" applyNumberFormat="1" applyFont="1" applyBorder="1" applyAlignment="1">
      <alignment horizontal="center" vertical="center"/>
    </xf>
    <xf numFmtId="165" fontId="2" fillId="0" borderId="17" xfId="2" applyNumberFormat="1" applyFont="1" applyBorder="1" applyAlignment="1">
      <alignment horizontal="center" vertical="center"/>
    </xf>
    <xf numFmtId="165" fontId="0" fillId="0" borderId="17" xfId="2" applyNumberFormat="1" applyFont="1" applyBorder="1" applyAlignment="1">
      <alignment horizontal="center" vertical="center"/>
    </xf>
    <xf numFmtId="165" fontId="0" fillId="0" borderId="6" xfId="2" applyNumberFormat="1" applyFont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horizontal="center"/>
    </xf>
    <xf numFmtId="165" fontId="0" fillId="0" borderId="0" xfId="1" applyNumberFormat="1" applyFont="1"/>
    <xf numFmtId="165" fontId="1" fillId="0" borderId="0" xfId="0" applyNumberFormat="1" applyFont="1"/>
    <xf numFmtId="16" fontId="0" fillId="0" borderId="0" xfId="0" applyNumberFormat="1" applyAlignment="1">
      <alignment horizontal="center" vertical="center"/>
    </xf>
    <xf numFmtId="43" fontId="0" fillId="0" borderId="1" xfId="1" applyFont="1" applyBorder="1" applyAlignment="1" applyProtection="1">
      <alignment horizontal="center" vertical="center"/>
      <protection locked="0"/>
    </xf>
    <xf numFmtId="9" fontId="2" fillId="4" borderId="1" xfId="0" applyNumberFormat="1" applyFont="1" applyFill="1" applyBorder="1" applyAlignment="1" applyProtection="1">
      <alignment horizontal="center" vertical="center"/>
      <protection locked="0"/>
    </xf>
    <xf numFmtId="9" fontId="2" fillId="4" borderId="2" xfId="0" applyNumberFormat="1" applyFont="1" applyFill="1" applyBorder="1" applyAlignment="1" applyProtection="1">
      <alignment horizontal="center" vertical="center"/>
      <protection locked="0"/>
    </xf>
    <xf numFmtId="43" fontId="0" fillId="0" borderId="1" xfId="1" applyFont="1" applyBorder="1" applyAlignment="1" applyProtection="1">
      <alignment horizontal="center" vertical="center"/>
    </xf>
    <xf numFmtId="10" fontId="2" fillId="4" borderId="1" xfId="2" applyNumberFormat="1" applyFont="1" applyFill="1" applyBorder="1" applyAlignment="1">
      <alignment horizontal="center" vertical="center"/>
    </xf>
    <xf numFmtId="10" fontId="2" fillId="4" borderId="2" xfId="2" applyNumberFormat="1" applyFont="1" applyFill="1" applyBorder="1" applyAlignment="1">
      <alignment horizontal="center" vertical="center"/>
    </xf>
    <xf numFmtId="43" fontId="2" fillId="0" borderId="12" xfId="1" applyFont="1" applyBorder="1" applyAlignment="1">
      <alignment horizontal="center" vertical="center"/>
    </xf>
    <xf numFmtId="43" fontId="2" fillId="0" borderId="0" xfId="1" applyFont="1" applyAlignment="1">
      <alignment horizontal="center" vertical="center"/>
    </xf>
    <xf numFmtId="43" fontId="2" fillId="0" borderId="17" xfId="1" applyFont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 wrapText="1"/>
    </xf>
    <xf numFmtId="43" fontId="0" fillId="11" borderId="1" xfId="1" applyFont="1" applyFill="1" applyBorder="1" applyAlignment="1">
      <alignment horizontal="center" vertical="center"/>
    </xf>
    <xf numFmtId="43" fontId="1" fillId="11" borderId="1" xfId="1" applyFont="1" applyFill="1" applyBorder="1" applyAlignment="1">
      <alignment horizontal="center" vertical="center"/>
    </xf>
    <xf numFmtId="43" fontId="6" fillId="11" borderId="1" xfId="1" applyFont="1" applyFill="1" applyBorder="1" applyAlignment="1">
      <alignment horizontal="center" vertical="center"/>
    </xf>
    <xf numFmtId="10" fontId="3" fillId="10" borderId="1" xfId="2" applyNumberFormat="1" applyFont="1" applyFill="1" applyBorder="1" applyAlignment="1">
      <alignment horizontal="center" vertical="center" wrapText="1"/>
    </xf>
    <xf numFmtId="10" fontId="0" fillId="11" borderId="1" xfId="2" applyNumberFormat="1" applyFont="1" applyFill="1" applyBorder="1" applyAlignment="1">
      <alignment horizontal="center" vertical="center"/>
    </xf>
    <xf numFmtId="10" fontId="1" fillId="11" borderId="1" xfId="2" applyNumberFormat="1" applyFont="1" applyFill="1" applyBorder="1" applyAlignment="1">
      <alignment horizontal="center" vertical="center"/>
    </xf>
    <xf numFmtId="10" fontId="6" fillId="11" borderId="1" xfId="2" applyNumberFormat="1" applyFont="1" applyFill="1" applyBorder="1" applyAlignment="1">
      <alignment horizontal="center" vertical="center"/>
    </xf>
    <xf numFmtId="10" fontId="5" fillId="3" borderId="4" xfId="2" applyNumberFormat="1" applyFont="1" applyFill="1" applyBorder="1" applyAlignment="1">
      <alignment horizontal="center" vertical="center"/>
    </xf>
    <xf numFmtId="165" fontId="0" fillId="11" borderId="1" xfId="1" applyNumberFormat="1" applyFont="1" applyFill="1" applyBorder="1" applyAlignment="1">
      <alignment horizontal="center" vertical="center"/>
    </xf>
    <xf numFmtId="165" fontId="7" fillId="12" borderId="2" xfId="2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2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 wrapText="1"/>
    </xf>
    <xf numFmtId="43" fontId="0" fillId="14" borderId="1" xfId="1" applyFont="1" applyFill="1" applyBorder="1" applyAlignment="1">
      <alignment horizontal="center" vertical="center"/>
    </xf>
    <xf numFmtId="9" fontId="5" fillId="13" borderId="2" xfId="2" applyFont="1" applyFill="1" applyBorder="1" applyAlignment="1">
      <alignment horizontal="center" vertical="center"/>
    </xf>
    <xf numFmtId="10" fontId="3" fillId="13" borderId="1" xfId="2" applyNumberFormat="1" applyFont="1" applyFill="1" applyBorder="1" applyAlignment="1">
      <alignment horizontal="center" vertical="center" wrapText="1"/>
    </xf>
    <xf numFmtId="10" fontId="0" fillId="14" borderId="1" xfId="2" applyNumberFormat="1" applyFont="1" applyFill="1" applyBorder="1" applyAlignment="1">
      <alignment horizontal="center" vertical="center"/>
    </xf>
    <xf numFmtId="10" fontId="5" fillId="13" borderId="2" xfId="2" applyNumberFormat="1" applyFont="1" applyFill="1" applyBorder="1" applyAlignment="1">
      <alignment horizontal="center" vertical="center"/>
    </xf>
    <xf numFmtId="43" fontId="0" fillId="14" borderId="1" xfId="1" applyFont="1" applyFill="1" applyBorder="1" applyAlignment="1" applyProtection="1">
      <alignment horizontal="center" vertical="center"/>
      <protection locked="0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5" fontId="2" fillId="0" borderId="0" xfId="0" applyNumberFormat="1" applyFont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2" fontId="5" fillId="3" borderId="3" xfId="0" applyNumberFormat="1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left" vertical="center" indent="1"/>
    </xf>
    <xf numFmtId="0" fontId="4" fillId="0" borderId="9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left" vertical="center" indent="1"/>
    </xf>
    <xf numFmtId="0" fontId="3" fillId="0" borderId="0" xfId="0" applyFont="1" applyFill="1" applyBorder="1" applyAlignment="1">
      <alignment horizontal="left" vertical="center" indent="1"/>
    </xf>
    <xf numFmtId="0" fontId="0" fillId="0" borderId="0" xfId="0" applyAlignment="1">
      <alignment horizontal="right" vertical="center"/>
    </xf>
  </cellXfs>
  <cellStyles count="3">
    <cellStyle name="Comma" xfId="1" builtinId="3"/>
    <cellStyle name="Normal" xfId="0" builtinId="0"/>
    <cellStyle name="Percent" xfId="2" builtinId="5"/>
  </cellStyles>
  <dxfs count="13"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_([$SAR]\ * #,##0.00_);_([$SAR]\ * \(#,##0.00\);_([$SAR]\ 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_([$SAR]\ * #,##0.00_);_([$SAR]\ * \(#,##0.00\);_([$SAR]\ * &quot;-&quot;??_);_(@_)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3" tint="0.79998168889431442"/>
        </patternFill>
      </fill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962026</xdr:colOff>
      <xdr:row>0</xdr:row>
      <xdr:rowOff>104775</xdr:rowOff>
    </xdr:from>
    <xdr:to>
      <xdr:col>25</xdr:col>
      <xdr:colOff>2073966</xdr:colOff>
      <xdr:row>2</xdr:row>
      <xdr:rowOff>14333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1CA645-66A7-4B69-8071-1B6644C931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326976" y="104775"/>
          <a:ext cx="1111940" cy="547733"/>
        </a:xfrm>
        <a:prstGeom prst="rect">
          <a:avLst/>
        </a:prstGeom>
      </xdr:spPr>
    </xdr:pic>
    <xdr:clientData/>
  </xdr:twoCellAnchor>
  <xdr:twoCellAnchor editAs="oneCell">
    <xdr:from>
      <xdr:col>1</xdr:col>
      <xdr:colOff>73025</xdr:colOff>
      <xdr:row>1</xdr:row>
      <xdr:rowOff>1</xdr:rowOff>
    </xdr:from>
    <xdr:to>
      <xdr:col>2</xdr:col>
      <xdr:colOff>781050</xdr:colOff>
      <xdr:row>1</xdr:row>
      <xdr:rowOff>495599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3802226-4E5B-4926-A914-25A5113086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950" y="114301"/>
          <a:ext cx="1212850" cy="495598"/>
        </a:xfrm>
        <a:prstGeom prst="rect">
          <a:avLst/>
        </a:prstGeom>
      </xdr:spPr>
    </xdr:pic>
    <xdr:clientData/>
  </xdr:twoCellAnchor>
  <xdr:twoCellAnchor editAs="oneCell">
    <xdr:from>
      <xdr:col>8</xdr:col>
      <xdr:colOff>57978</xdr:colOff>
      <xdr:row>64</xdr:row>
      <xdr:rowOff>66675</xdr:rowOff>
    </xdr:from>
    <xdr:to>
      <xdr:col>9</xdr:col>
      <xdr:colOff>274071</xdr:colOff>
      <xdr:row>64</xdr:row>
      <xdr:rowOff>440902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ED43C4-41AC-4129-975C-2B76E11502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36565" y="15596566"/>
          <a:ext cx="1160310" cy="374227"/>
        </a:xfrm>
        <a:prstGeom prst="rect">
          <a:avLst/>
        </a:prstGeom>
      </xdr:spPr>
    </xdr:pic>
    <xdr:clientData/>
  </xdr:twoCellAnchor>
  <xdr:twoCellAnchor editAs="oneCell">
    <xdr:from>
      <xdr:col>14</xdr:col>
      <xdr:colOff>887731</xdr:colOff>
      <xdr:row>63</xdr:row>
      <xdr:rowOff>80425</xdr:rowOff>
    </xdr:from>
    <xdr:to>
      <xdr:col>16</xdr:col>
      <xdr:colOff>358893</xdr:colOff>
      <xdr:row>65</xdr:row>
      <xdr:rowOff>2320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2D88DC6-A950-4D21-827E-7575C84E2B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92035" y="15394968"/>
          <a:ext cx="1325224" cy="659047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64</xdr:row>
      <xdr:rowOff>58212</xdr:rowOff>
    </xdr:from>
    <xdr:to>
      <xdr:col>2</xdr:col>
      <xdr:colOff>714375</xdr:colOff>
      <xdr:row>64</xdr:row>
      <xdr:rowOff>438300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05D4FA5-6ED9-4FFA-BBBA-DEE1894B84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" y="14745762"/>
          <a:ext cx="1019175" cy="3800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647701</xdr:colOff>
      <xdr:row>0</xdr:row>
      <xdr:rowOff>95250</xdr:rowOff>
    </xdr:from>
    <xdr:to>
      <xdr:col>17</xdr:col>
      <xdr:colOff>1047750</xdr:colOff>
      <xdr:row>2</xdr:row>
      <xdr:rowOff>4808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4DF0BA-60C9-4AED-B807-5C2003168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44326" y="95250"/>
          <a:ext cx="1114424" cy="547733"/>
        </a:xfrm>
        <a:prstGeom prst="rect">
          <a:avLst/>
        </a:prstGeom>
      </xdr:spPr>
    </xdr:pic>
    <xdr:clientData/>
  </xdr:twoCellAnchor>
  <xdr:twoCellAnchor editAs="oneCell">
    <xdr:from>
      <xdr:col>1</xdr:col>
      <xdr:colOff>73025</xdr:colOff>
      <xdr:row>1</xdr:row>
      <xdr:rowOff>1</xdr:rowOff>
    </xdr:from>
    <xdr:to>
      <xdr:col>2</xdr:col>
      <xdr:colOff>781050</xdr:colOff>
      <xdr:row>1</xdr:row>
      <xdr:rowOff>495599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1DE075-1BBF-4382-B970-6E292DDCA7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950" y="114301"/>
          <a:ext cx="1212850" cy="495598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63</xdr:row>
      <xdr:rowOff>66675</xdr:rowOff>
    </xdr:from>
    <xdr:to>
      <xdr:col>5</xdr:col>
      <xdr:colOff>558164</xdr:colOff>
      <xdr:row>63</xdr:row>
      <xdr:rowOff>440902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351DB6F-6B9B-47C4-AE4E-6915FD38D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52875" y="15916275"/>
          <a:ext cx="1158239" cy="374227"/>
        </a:xfrm>
        <a:prstGeom prst="rect">
          <a:avLst/>
        </a:prstGeom>
      </xdr:spPr>
    </xdr:pic>
    <xdr:clientData/>
  </xdr:twoCellAnchor>
  <xdr:twoCellAnchor editAs="oneCell">
    <xdr:from>
      <xdr:col>11</xdr:col>
      <xdr:colOff>1078231</xdr:colOff>
      <xdr:row>62</xdr:row>
      <xdr:rowOff>146686</xdr:rowOff>
    </xdr:from>
    <xdr:to>
      <xdr:col>13</xdr:col>
      <xdr:colOff>489758</xdr:colOff>
      <xdr:row>64</xdr:row>
      <xdr:rowOff>68580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546E5E9-0961-F8B2-8CC9-CF5EB25574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98106" y="15777211"/>
          <a:ext cx="1326052" cy="664844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63</xdr:row>
      <xdr:rowOff>58212</xdr:rowOff>
    </xdr:from>
    <xdr:to>
      <xdr:col>2</xdr:col>
      <xdr:colOff>714375</xdr:colOff>
      <xdr:row>63</xdr:row>
      <xdr:rowOff>438300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6999658-3CFB-C4AC-6638-3F3074997B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" y="14745762"/>
          <a:ext cx="1019175" cy="3800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1028701</xdr:colOff>
      <xdr:row>0</xdr:row>
      <xdr:rowOff>47625</xdr:rowOff>
    </xdr:from>
    <xdr:to>
      <xdr:col>20</xdr:col>
      <xdr:colOff>981075</xdr:colOff>
      <xdr:row>1</xdr:row>
      <xdr:rowOff>481058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3A8430-743C-4090-93C5-66292C7C52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83251" y="47625"/>
          <a:ext cx="1114424" cy="547733"/>
        </a:xfrm>
        <a:prstGeom prst="rect">
          <a:avLst/>
        </a:prstGeom>
      </xdr:spPr>
    </xdr:pic>
    <xdr:clientData/>
  </xdr:twoCellAnchor>
  <xdr:twoCellAnchor editAs="oneCell">
    <xdr:from>
      <xdr:col>1</xdr:col>
      <xdr:colOff>73025</xdr:colOff>
      <xdr:row>1</xdr:row>
      <xdr:rowOff>1</xdr:rowOff>
    </xdr:from>
    <xdr:to>
      <xdr:col>2</xdr:col>
      <xdr:colOff>781050</xdr:colOff>
      <xdr:row>1</xdr:row>
      <xdr:rowOff>495599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FDB684-F4FF-4D04-B59B-332BF205E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950" y="114301"/>
          <a:ext cx="1212850" cy="495598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63</xdr:row>
      <xdr:rowOff>66675</xdr:rowOff>
    </xdr:from>
    <xdr:to>
      <xdr:col>5</xdr:col>
      <xdr:colOff>558164</xdr:colOff>
      <xdr:row>63</xdr:row>
      <xdr:rowOff>440902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330CDF0-C069-4A76-BBF1-610617EBFB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52875" y="14754225"/>
          <a:ext cx="1158239" cy="374227"/>
        </a:xfrm>
        <a:prstGeom prst="rect">
          <a:avLst/>
        </a:prstGeom>
      </xdr:spPr>
    </xdr:pic>
    <xdr:clientData/>
  </xdr:twoCellAnchor>
  <xdr:twoCellAnchor editAs="oneCell">
    <xdr:from>
      <xdr:col>8</xdr:col>
      <xdr:colOff>1078231</xdr:colOff>
      <xdr:row>62</xdr:row>
      <xdr:rowOff>146686</xdr:rowOff>
    </xdr:from>
    <xdr:to>
      <xdr:col>10</xdr:col>
      <xdr:colOff>489758</xdr:colOff>
      <xdr:row>64</xdr:row>
      <xdr:rowOff>68580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3FA8503-4518-4172-8B86-8B594351A1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98106" y="14615161"/>
          <a:ext cx="1326052" cy="664844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63</xdr:row>
      <xdr:rowOff>58212</xdr:rowOff>
    </xdr:from>
    <xdr:to>
      <xdr:col>2</xdr:col>
      <xdr:colOff>714375</xdr:colOff>
      <xdr:row>63</xdr:row>
      <xdr:rowOff>438300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3944177-6D03-4B26-944B-42C4605BA8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" y="14745762"/>
          <a:ext cx="1019175" cy="38008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1028701</xdr:colOff>
      <xdr:row>0</xdr:row>
      <xdr:rowOff>47625</xdr:rowOff>
    </xdr:from>
    <xdr:to>
      <xdr:col>24</xdr:col>
      <xdr:colOff>981075</xdr:colOff>
      <xdr:row>1</xdr:row>
      <xdr:rowOff>481058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712407-2BAA-4EDF-85FE-8C67E8ACF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83251" y="47625"/>
          <a:ext cx="1114424" cy="547733"/>
        </a:xfrm>
        <a:prstGeom prst="rect">
          <a:avLst/>
        </a:prstGeom>
      </xdr:spPr>
    </xdr:pic>
    <xdr:clientData/>
  </xdr:twoCellAnchor>
  <xdr:twoCellAnchor editAs="oneCell">
    <xdr:from>
      <xdr:col>1</xdr:col>
      <xdr:colOff>73025</xdr:colOff>
      <xdr:row>1</xdr:row>
      <xdr:rowOff>1</xdr:rowOff>
    </xdr:from>
    <xdr:to>
      <xdr:col>2</xdr:col>
      <xdr:colOff>781050</xdr:colOff>
      <xdr:row>1</xdr:row>
      <xdr:rowOff>495599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0E1E8CB-6621-4A36-BF60-A2B141FF29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950" y="114301"/>
          <a:ext cx="1212850" cy="495598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152400</xdr:colOff>
      <xdr:row>64</xdr:row>
      <xdr:rowOff>66675</xdr:rowOff>
    </xdr:from>
    <xdr:to>
      <xdr:col>6</xdr:col>
      <xdr:colOff>558164</xdr:colOff>
      <xdr:row>64</xdr:row>
      <xdr:rowOff>440902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0EB4075-4BFF-4D26-B36F-41E4EF300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52875" y="16154400"/>
          <a:ext cx="1158239" cy="374227"/>
        </a:xfrm>
        <a:prstGeom prst="rect">
          <a:avLst/>
        </a:prstGeom>
      </xdr:spPr>
    </xdr:pic>
    <xdr:clientData/>
  </xdr:twoCellAnchor>
  <xdr:twoCellAnchor editAs="oneCell">
    <xdr:from>
      <xdr:col>11</xdr:col>
      <xdr:colOff>1078231</xdr:colOff>
      <xdr:row>63</xdr:row>
      <xdr:rowOff>146686</xdr:rowOff>
    </xdr:from>
    <xdr:to>
      <xdr:col>13</xdr:col>
      <xdr:colOff>489758</xdr:colOff>
      <xdr:row>65</xdr:row>
      <xdr:rowOff>68580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59689A9-46CD-4B4F-8568-8F068F5B5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98106" y="16015336"/>
          <a:ext cx="1326052" cy="664844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64</xdr:row>
      <xdr:rowOff>58212</xdr:rowOff>
    </xdr:from>
    <xdr:to>
      <xdr:col>2</xdr:col>
      <xdr:colOff>714375</xdr:colOff>
      <xdr:row>64</xdr:row>
      <xdr:rowOff>438300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58D49E7-D01B-4C7D-B4A3-E4A3B3A5B2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" y="16145937"/>
          <a:ext cx="1019175" cy="38008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ucsa-my.sharepoint.com/personal/planning_suc-sa_com/Documents/00%20-%20Projects/Debottleneck%20Production%20facilities-Abqaiq/Planning/Weekly%20Reports/09.%20February%202025/04-02-2025/Control%20Sheet%20-%2004-02-2025.xlsx" TargetMode="External"/><Relationship Id="rId1" Type="http://schemas.openxmlformats.org/officeDocument/2006/relationships/externalLinkPath" Target="https://sucsa-my.sharepoint.com/personal/planning_suc-sa_com/Documents/00%20-%20Projects/Debottleneck%20Production%20facilities-Abqaiq/Planning/Weekly%20Reports/09.%20February%202025/04-02-2025/Control%20Sheet%20-%2004-02-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D Progress BKP"/>
      <sheetName val="ED Logsheet BKP"/>
      <sheetName val="Construction - Actual (2)"/>
      <sheetName val="Overall"/>
      <sheetName val="Sheet2"/>
      <sheetName val="ED Tracking"/>
      <sheetName val="Sheet3"/>
      <sheetName val="ED Logsheet Backup"/>
      <sheetName val="ED S-Curve"/>
      <sheetName val="ED Logsheet"/>
      <sheetName val="ScheduleXXX"/>
      <sheetName val="ED Progress"/>
      <sheetName val="ED Statistics"/>
      <sheetName val="ED S-Curvexx"/>
      <sheetName val="ED DATA"/>
      <sheetName val="Schedule"/>
      <sheetName val="Procurement Logsheet"/>
      <sheetName val="POs &amp; Delivery"/>
      <sheetName val="Sheet5"/>
      <sheetName val="Sheet4"/>
      <sheetName val="Procurement Progress"/>
      <sheetName val="Procurement S-Curve"/>
      <sheetName val="Manpower"/>
      <sheetName val="Construction SummaryXXX"/>
      <sheetName val="Construction Summary"/>
      <sheetName val="Construction - Planned"/>
      <sheetName val="Construction - Actual"/>
      <sheetName val="Access Road &amp; Stringing"/>
      <sheetName val="Poles Installation"/>
      <sheetName val="Stringing Progress"/>
      <sheetName val="HDD"/>
      <sheetName val="Testing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2">
          <cell r="M2">
            <v>6409553.3849999998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562C9A-A2BD-4FAD-A0CF-27C7452B2274}" name="Table1" displayName="Table1" ref="B4:D7" totalsRowCount="1" headerRowDxfId="12">
  <autoFilter ref="B4:D6" xr:uid="{E5562C9A-A2BD-4FAD-A0CF-27C7452B2274}"/>
  <tableColumns count="3">
    <tableColumn id="1" xr3:uid="{4770F11A-87E1-4393-A3C6-E9735747AEF5}" name="Partial Invoice #" totalsRowLabel="Total" dataDxfId="11" totalsRowDxfId="10"/>
    <tableColumn id="2" xr3:uid="{43D34AFB-3367-463A-AD43-2C94BE8A5CCA}" name="Amount" totalsRowFunction="sum" dataDxfId="9" totalsRowDxfId="8" dataCellStyle="Comma"/>
    <tableColumn id="3" xr3:uid="{A83F9171-4D5A-4370-A7CD-95D0DA943237}" name="Date" dataDxfId="7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8544F-0F7C-49DE-A3E5-D03D75852331}">
  <sheetPr>
    <pageSetUpPr fitToPage="1"/>
  </sheetPr>
  <dimension ref="A1:AJ87"/>
  <sheetViews>
    <sheetView showGridLines="0" tabSelected="1" view="pageBreakPreview" topLeftCell="B1" zoomScaleNormal="100" zoomScaleSheetLayoutView="100" workbookViewId="0">
      <pane ySplit="11" topLeftCell="A69" activePane="bottomLeft" state="frozen"/>
      <selection pane="bottomLeft" activeCell="Q88" sqref="Q88"/>
    </sheetView>
  </sheetViews>
  <sheetFormatPr defaultColWidth="9.28515625" defaultRowHeight="21" customHeight="1" x14ac:dyDescent="0.25"/>
  <cols>
    <col min="1" max="1" width="2.42578125" style="1" customWidth="1"/>
    <col min="2" max="2" width="7.5703125" style="1" customWidth="1"/>
    <col min="3" max="3" width="39.85546875" style="1" bestFit="1" customWidth="1"/>
    <col min="4" max="4" width="8.85546875" style="1" customWidth="1"/>
    <col min="5" max="5" width="20.85546875" style="1" customWidth="1"/>
    <col min="6" max="6" width="13.5703125" style="1" customWidth="1"/>
    <col min="7" max="7" width="12.42578125" style="1" customWidth="1"/>
    <col min="8" max="8" width="15.42578125" style="1" customWidth="1"/>
    <col min="9" max="9" width="14.140625" style="34" customWidth="1"/>
    <col min="10" max="10" width="17" style="34" customWidth="1"/>
    <col min="11" max="11" width="12.140625" style="34" customWidth="1"/>
    <col min="12" max="12" width="13.5703125" style="34" customWidth="1"/>
    <col min="13" max="13" width="11" style="34" customWidth="1"/>
    <col min="14" max="14" width="18" style="34" customWidth="1"/>
    <col min="15" max="15" width="14.140625" style="34" customWidth="1"/>
    <col min="16" max="16" width="13.7109375" style="34" customWidth="1"/>
    <col min="17" max="17" width="11.42578125" style="34" customWidth="1"/>
    <col min="18" max="18" width="19.85546875" style="34" customWidth="1"/>
    <col min="19" max="19" width="15.28515625" style="34" customWidth="1"/>
    <col min="20" max="21" width="14.5703125" style="34" customWidth="1"/>
    <col min="22" max="22" width="15.5703125" style="34" customWidth="1"/>
    <col min="23" max="23" width="12.140625" style="34" customWidth="1"/>
    <col min="24" max="24" width="15.140625" style="34" customWidth="1"/>
    <col min="25" max="25" width="12.140625" style="34" customWidth="1"/>
    <col min="26" max="26" width="32.42578125" style="1" customWidth="1"/>
    <col min="27" max="27" width="2.5703125" style="1" customWidth="1"/>
    <col min="28" max="28" width="9.28515625" style="1"/>
    <col min="29" max="30" width="9.28515625" style="1" hidden="1" customWidth="1"/>
    <col min="31" max="31" width="9" style="1" hidden="1" customWidth="1"/>
    <col min="32" max="32" width="9.28515625" style="1" hidden="1" customWidth="1"/>
    <col min="33" max="33" width="11.28515625" style="1" bestFit="1" customWidth="1"/>
    <col min="34" max="34" width="9.28515625" style="1"/>
    <col min="35" max="35" width="13.42578125" style="1" bestFit="1" customWidth="1"/>
    <col min="36" max="16384" width="9.28515625" style="1"/>
  </cols>
  <sheetData>
    <row r="1" spans="1:36" ht="9.6" customHeight="1" x14ac:dyDescent="0.25">
      <c r="A1" s="62"/>
      <c r="B1" s="63"/>
      <c r="C1" s="63"/>
      <c r="D1" s="63"/>
      <c r="E1" s="63"/>
      <c r="F1" s="63"/>
      <c r="G1" s="63"/>
      <c r="H1" s="63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63"/>
      <c r="AA1" s="64"/>
    </row>
    <row r="2" spans="1:36" ht="41.25" customHeight="1" x14ac:dyDescent="0.25">
      <c r="A2" s="65"/>
      <c r="AA2" s="58"/>
    </row>
    <row r="3" spans="1:36" ht="12.75" customHeight="1" x14ac:dyDescent="0.25">
      <c r="A3" s="65"/>
      <c r="B3" s="48" t="s">
        <v>0</v>
      </c>
      <c r="R3" s="162" t="s">
        <v>58</v>
      </c>
      <c r="S3" s="162"/>
      <c r="T3" s="162"/>
      <c r="U3" s="49"/>
      <c r="V3" s="66">
        <v>45791</v>
      </c>
      <c r="W3" s="66"/>
      <c r="X3" s="66">
        <v>45855</v>
      </c>
      <c r="Y3" s="66"/>
      <c r="Z3" s="67"/>
      <c r="AA3" s="58"/>
    </row>
    <row r="4" spans="1:36" ht="12.75" customHeight="1" x14ac:dyDescent="0.25">
      <c r="A4" s="65"/>
      <c r="B4" s="48" t="s">
        <v>1</v>
      </c>
      <c r="AA4" s="58"/>
    </row>
    <row r="5" spans="1:36" ht="12.75" customHeight="1" x14ac:dyDescent="0.25">
      <c r="A5" s="65"/>
      <c r="B5" s="48" t="s">
        <v>2</v>
      </c>
      <c r="R5" s="162" t="s">
        <v>57</v>
      </c>
      <c r="S5" s="162"/>
      <c r="T5" s="162"/>
      <c r="U5" s="49"/>
      <c r="V5" s="163">
        <f>X3+2</f>
        <v>45857</v>
      </c>
      <c r="W5" s="163"/>
      <c r="X5" s="163"/>
      <c r="Y5" s="66"/>
      <c r="Z5" s="68"/>
      <c r="AA5" s="58"/>
    </row>
    <row r="6" spans="1:36" ht="2.4500000000000002" customHeight="1" x14ac:dyDescent="0.25">
      <c r="A6" s="65"/>
      <c r="AA6" s="58"/>
    </row>
    <row r="7" spans="1:36" ht="21" hidden="1" customHeight="1" x14ac:dyDescent="0.25">
      <c r="A7" s="65"/>
      <c r="B7" s="1" t="s">
        <v>3</v>
      </c>
      <c r="AA7" s="58"/>
    </row>
    <row r="8" spans="1:36" ht="21" hidden="1" customHeight="1" x14ac:dyDescent="0.25">
      <c r="A8" s="65"/>
      <c r="B8" s="2">
        <f>'[1]Construction Summary'!$M$2</f>
        <v>6409553.3849999998</v>
      </c>
      <c r="AA8" s="58"/>
    </row>
    <row r="9" spans="1:36" s="3" customFormat="1" ht="26.25" customHeight="1" x14ac:dyDescent="0.25">
      <c r="A9" s="69"/>
      <c r="B9" s="164" t="s">
        <v>129</v>
      </c>
      <c r="C9" s="165"/>
      <c r="D9" s="165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5"/>
      <c r="U9" s="165"/>
      <c r="V9" s="165"/>
      <c r="W9" s="165"/>
      <c r="X9" s="165"/>
      <c r="Y9" s="165"/>
      <c r="Z9" s="166"/>
      <c r="AA9" s="70"/>
    </row>
    <row r="10" spans="1:36" s="173" customFormat="1" ht="23.25" customHeight="1" x14ac:dyDescent="0.25">
      <c r="A10" s="170"/>
      <c r="B10" s="171"/>
      <c r="C10" s="171"/>
      <c r="D10" s="171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  <c r="AA10" s="172"/>
    </row>
    <row r="11" spans="1:36" s="5" customFormat="1" ht="94.5" x14ac:dyDescent="0.25">
      <c r="A11" s="71"/>
      <c r="B11" s="4" t="s">
        <v>4</v>
      </c>
      <c r="C11" s="4" t="s">
        <v>5</v>
      </c>
      <c r="D11" s="4" t="s">
        <v>51</v>
      </c>
      <c r="E11" s="136" t="s">
        <v>126</v>
      </c>
      <c r="F11" s="4" t="s">
        <v>108</v>
      </c>
      <c r="G11" s="152" t="s">
        <v>109</v>
      </c>
      <c r="H11" s="140" t="s">
        <v>127</v>
      </c>
      <c r="I11" s="4" t="s">
        <v>110</v>
      </c>
      <c r="J11" s="140" t="s">
        <v>128</v>
      </c>
      <c r="K11" s="152" t="s">
        <v>111</v>
      </c>
      <c r="L11" s="4" t="s">
        <v>112</v>
      </c>
      <c r="M11" s="155" t="s">
        <v>113</v>
      </c>
      <c r="N11" s="4" t="s">
        <v>114</v>
      </c>
      <c r="O11" s="152" t="s">
        <v>115</v>
      </c>
      <c r="P11" s="4" t="s">
        <v>116</v>
      </c>
      <c r="Q11" s="152" t="s">
        <v>117</v>
      </c>
      <c r="R11" s="4" t="s">
        <v>118</v>
      </c>
      <c r="S11" s="152" t="s">
        <v>119</v>
      </c>
      <c r="T11" s="4" t="s">
        <v>120</v>
      </c>
      <c r="U11" s="152" t="s">
        <v>121</v>
      </c>
      <c r="V11" s="4" t="s">
        <v>122</v>
      </c>
      <c r="W11" s="152" t="s">
        <v>123</v>
      </c>
      <c r="X11" s="4" t="s">
        <v>124</v>
      </c>
      <c r="Y11" s="152" t="s">
        <v>125</v>
      </c>
      <c r="Z11" s="4" t="s">
        <v>6</v>
      </c>
      <c r="AA11" s="72"/>
      <c r="AI11" s="73" t="s">
        <v>62</v>
      </c>
      <c r="AJ11" s="73" t="s">
        <v>64</v>
      </c>
    </row>
    <row r="12" spans="1:36" ht="21" customHeight="1" x14ac:dyDescent="0.25">
      <c r="A12" s="65"/>
      <c r="B12" s="6">
        <v>1</v>
      </c>
      <c r="C12" s="19" t="s">
        <v>7</v>
      </c>
      <c r="D12" s="19"/>
      <c r="E12" s="159"/>
      <c r="F12" s="160"/>
      <c r="G12" s="160"/>
      <c r="H12" s="160"/>
      <c r="I12" s="160"/>
      <c r="J12" s="131"/>
      <c r="K12" s="160"/>
      <c r="L12" s="160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60"/>
      <c r="X12" s="160"/>
      <c r="Y12" s="160"/>
      <c r="Z12" s="161"/>
      <c r="AA12" s="58"/>
      <c r="AI12" s="74"/>
      <c r="AJ12" s="74"/>
    </row>
    <row r="13" spans="1:36" ht="21" customHeight="1" x14ac:dyDescent="0.25">
      <c r="A13" s="65"/>
      <c r="B13" s="8">
        <v>1.01</v>
      </c>
      <c r="C13" s="18" t="s">
        <v>8</v>
      </c>
      <c r="D13" s="18" t="s">
        <v>52</v>
      </c>
      <c r="E13" s="137">
        <f>'Performa Invoice (Explained)'!E13</f>
        <v>1</v>
      </c>
      <c r="F13" s="9">
        <v>1</v>
      </c>
      <c r="G13" s="153">
        <v>0</v>
      </c>
      <c r="H13" s="141">
        <v>1</v>
      </c>
      <c r="I13" s="127">
        <v>1</v>
      </c>
      <c r="J13" s="141">
        <v>0</v>
      </c>
      <c r="K13" s="158">
        <v>0</v>
      </c>
      <c r="L13" s="20">
        <f>I13/F13</f>
        <v>1</v>
      </c>
      <c r="M13" s="156">
        <f>IFERROR(K13/G13,0)</f>
        <v>0</v>
      </c>
      <c r="N13" s="127">
        <v>0</v>
      </c>
      <c r="O13" s="158"/>
      <c r="P13" s="20">
        <f>N13/F13</f>
        <v>0</v>
      </c>
      <c r="Q13" s="156">
        <f>IFERROR(O13/G13,0)</f>
        <v>0</v>
      </c>
      <c r="R13" s="9">
        <f>I13+N13</f>
        <v>1</v>
      </c>
      <c r="S13" s="153">
        <f>K13+O13</f>
        <v>0</v>
      </c>
      <c r="T13" s="20">
        <f>H13+P13</f>
        <v>1</v>
      </c>
      <c r="U13" s="156">
        <f>M13+Q13</f>
        <v>0</v>
      </c>
      <c r="V13" s="9">
        <f>F13-R13</f>
        <v>0</v>
      </c>
      <c r="W13" s="153">
        <f>G13-S13</f>
        <v>0</v>
      </c>
      <c r="X13" s="21">
        <f>1-T13</f>
        <v>0</v>
      </c>
      <c r="Y13" s="156">
        <f>IF(G13 = 0, 0, 1-U13)</f>
        <v>0</v>
      </c>
      <c r="Z13" s="27" t="s">
        <v>70</v>
      </c>
      <c r="AA13" s="58"/>
      <c r="AG13" s="9">
        <v>0</v>
      </c>
      <c r="AI13" s="74">
        <v>1</v>
      </c>
      <c r="AJ13" s="74">
        <v>0</v>
      </c>
    </row>
    <row r="14" spans="1:36" ht="21" customHeight="1" x14ac:dyDescent="0.25">
      <c r="A14" s="65"/>
      <c r="B14" s="6">
        <v>2</v>
      </c>
      <c r="C14" s="19" t="s">
        <v>9</v>
      </c>
      <c r="D14" s="19"/>
      <c r="E14" s="159"/>
      <c r="F14" s="160"/>
      <c r="G14" s="160"/>
      <c r="H14" s="160"/>
      <c r="I14" s="160"/>
      <c r="J14" s="131"/>
      <c r="K14" s="160"/>
      <c r="L14" s="160"/>
      <c r="M14" s="160"/>
      <c r="N14" s="160"/>
      <c r="O14" s="160"/>
      <c r="P14" s="160"/>
      <c r="Q14" s="160"/>
      <c r="R14" s="160"/>
      <c r="S14" s="160"/>
      <c r="T14" s="160"/>
      <c r="U14" s="160"/>
      <c r="V14" s="160"/>
      <c r="W14" s="160"/>
      <c r="X14" s="160"/>
      <c r="Y14" s="160"/>
      <c r="Z14" s="161"/>
      <c r="AA14" s="58"/>
      <c r="AG14" s="7"/>
      <c r="AI14" s="74"/>
      <c r="AJ14" s="74"/>
    </row>
    <row r="15" spans="1:36" ht="21" customHeight="1" x14ac:dyDescent="0.25">
      <c r="A15" s="65"/>
      <c r="B15" s="8">
        <f>B14+0.01</f>
        <v>2.0099999999999998</v>
      </c>
      <c r="C15" s="18" t="s">
        <v>73</v>
      </c>
      <c r="D15" s="18" t="s">
        <v>53</v>
      </c>
      <c r="E15" s="138">
        <f>'Performa Invoice (Explained)'!E15</f>
        <v>11965.44</v>
      </c>
      <c r="F15" s="9">
        <v>11870.597999999998</v>
      </c>
      <c r="G15" s="153">
        <v>0</v>
      </c>
      <c r="H15" s="142">
        <v>1</v>
      </c>
      <c r="I15" s="127">
        <v>11965.44</v>
      </c>
      <c r="J15" s="142">
        <v>7.9896564604413634E-3</v>
      </c>
      <c r="K15" s="158">
        <v>0</v>
      </c>
      <c r="L15" s="20">
        <f>I15/F15</f>
        <v>1.0079896564604414</v>
      </c>
      <c r="M15" s="156">
        <f t="shared" ref="M15:M19" si="0">IFERROR(K15/G15,0)</f>
        <v>0</v>
      </c>
      <c r="N15" s="127">
        <v>0</v>
      </c>
      <c r="O15" s="158"/>
      <c r="P15" s="20">
        <f>N15/F15</f>
        <v>0</v>
      </c>
      <c r="Q15" s="156">
        <f t="shared" ref="Q15:Q19" si="1">IFERROR(O15/G15,0)</f>
        <v>0</v>
      </c>
      <c r="R15" s="9">
        <f>I15+N15</f>
        <v>11965.44</v>
      </c>
      <c r="S15" s="153">
        <f t="shared" ref="S15:S19" si="2">K15+O15</f>
        <v>0</v>
      </c>
      <c r="T15" s="20">
        <f t="shared" ref="T15:T19" si="3">H15+P15</f>
        <v>1</v>
      </c>
      <c r="U15" s="156">
        <f t="shared" ref="U15:U19" si="4">M15+Q15</f>
        <v>0</v>
      </c>
      <c r="V15" s="9">
        <f>F15-R15</f>
        <v>-94.842000000002372</v>
      </c>
      <c r="W15" s="153">
        <f t="shared" ref="W15:W19" si="5">G15-S15</f>
        <v>0</v>
      </c>
      <c r="X15" s="21">
        <f>1-T15</f>
        <v>0</v>
      </c>
      <c r="Y15" s="156">
        <f t="shared" ref="Y15:Y19" si="6">IF(G15 = 0, 0, 1-U15)</f>
        <v>0</v>
      </c>
      <c r="Z15" s="27" t="s">
        <v>70</v>
      </c>
      <c r="AA15" s="58"/>
      <c r="AG15" s="9">
        <v>0</v>
      </c>
      <c r="AI15" s="74">
        <v>11965.44</v>
      </c>
      <c r="AJ15" s="74">
        <v>0</v>
      </c>
    </row>
    <row r="16" spans="1:36" ht="21" customHeight="1" x14ac:dyDescent="0.25">
      <c r="A16" s="65"/>
      <c r="B16" s="8">
        <f t="shared" ref="B16:B17" si="7">B15+0.01</f>
        <v>2.0199999999999996</v>
      </c>
      <c r="C16" s="18" t="s">
        <v>10</v>
      </c>
      <c r="D16" s="18" t="s">
        <v>53</v>
      </c>
      <c r="E16" s="138">
        <f>'Performa Invoice (Explained)'!E16</f>
        <v>11965.44</v>
      </c>
      <c r="F16" s="9">
        <v>11870.597999999998</v>
      </c>
      <c r="G16" s="153">
        <v>0</v>
      </c>
      <c r="H16" s="142">
        <v>0.96319999999999995</v>
      </c>
      <c r="I16" s="127">
        <v>11525.111808</v>
      </c>
      <c r="J16" s="142">
        <v>7.6956371026971615E-3</v>
      </c>
      <c r="K16" s="158">
        <v>0</v>
      </c>
      <c r="L16" s="20">
        <f>I16/F16</f>
        <v>0.97089563710269711</v>
      </c>
      <c r="M16" s="156">
        <f t="shared" si="0"/>
        <v>0</v>
      </c>
      <c r="N16" s="127">
        <v>0</v>
      </c>
      <c r="O16" s="158"/>
      <c r="P16" s="20">
        <f>N16/F16</f>
        <v>0</v>
      </c>
      <c r="Q16" s="156">
        <f t="shared" si="1"/>
        <v>0</v>
      </c>
      <c r="R16" s="9">
        <f>I16+N16</f>
        <v>11525.111808</v>
      </c>
      <c r="S16" s="153">
        <f t="shared" si="2"/>
        <v>0</v>
      </c>
      <c r="T16" s="20">
        <f t="shared" si="3"/>
        <v>0.96319999999999995</v>
      </c>
      <c r="U16" s="156">
        <f t="shared" si="4"/>
        <v>0</v>
      </c>
      <c r="V16" s="9">
        <f>F16-R16</f>
        <v>345.48619199999848</v>
      </c>
      <c r="W16" s="153">
        <f t="shared" si="5"/>
        <v>0</v>
      </c>
      <c r="X16" s="21">
        <f t="shared" ref="X16:X19" si="8">1-T16</f>
        <v>3.6800000000000055E-2</v>
      </c>
      <c r="Y16" s="156">
        <f t="shared" si="6"/>
        <v>0</v>
      </c>
      <c r="Z16" s="10"/>
      <c r="AA16" s="58"/>
      <c r="AG16" s="9">
        <v>0</v>
      </c>
      <c r="AI16" s="74">
        <v>11525.111808</v>
      </c>
      <c r="AJ16" s="74">
        <v>0</v>
      </c>
    </row>
    <row r="17" spans="1:36" ht="21" customHeight="1" x14ac:dyDescent="0.25">
      <c r="A17" s="65"/>
      <c r="B17" s="8">
        <f t="shared" si="7"/>
        <v>2.0299999999999994</v>
      </c>
      <c r="C17" s="18" t="s">
        <v>11</v>
      </c>
      <c r="D17" s="18" t="s">
        <v>53</v>
      </c>
      <c r="E17" s="138">
        <f>'Performa Invoice (Explained)'!E17</f>
        <v>11965.44</v>
      </c>
      <c r="F17" s="9">
        <v>11870.597999999998</v>
      </c>
      <c r="G17" s="153">
        <v>0</v>
      </c>
      <c r="H17" s="142">
        <v>0.88280000000000003</v>
      </c>
      <c r="I17" s="127">
        <v>10563.090432000001</v>
      </c>
      <c r="J17" s="142">
        <v>7.0532687232776059E-3</v>
      </c>
      <c r="K17" s="158">
        <v>0</v>
      </c>
      <c r="L17" s="20">
        <f>I17/F17</f>
        <v>0.88985326872327764</v>
      </c>
      <c r="M17" s="156">
        <f t="shared" si="0"/>
        <v>0</v>
      </c>
      <c r="N17" s="127">
        <v>835.25856800000099</v>
      </c>
      <c r="O17" s="158"/>
      <c r="P17" s="20">
        <f>N17/F17</f>
        <v>7.0363647054680914E-2</v>
      </c>
      <c r="Q17" s="156">
        <f t="shared" si="1"/>
        <v>0</v>
      </c>
      <c r="R17" s="9">
        <f>I17+N17</f>
        <v>11398.349000000002</v>
      </c>
      <c r="S17" s="153">
        <f t="shared" si="2"/>
        <v>0</v>
      </c>
      <c r="T17" s="20">
        <f t="shared" si="3"/>
        <v>0.95316364705468093</v>
      </c>
      <c r="U17" s="156">
        <f t="shared" si="4"/>
        <v>0</v>
      </c>
      <c r="V17" s="9">
        <f>F17-R17</f>
        <v>472.24899999999616</v>
      </c>
      <c r="W17" s="153">
        <f t="shared" si="5"/>
        <v>0</v>
      </c>
      <c r="X17" s="21">
        <f t="shared" si="8"/>
        <v>4.6836352945319071E-2</v>
      </c>
      <c r="Y17" s="156">
        <f t="shared" si="6"/>
        <v>0</v>
      </c>
      <c r="Z17" s="10"/>
      <c r="AA17" s="58"/>
      <c r="AG17" s="9">
        <v>0</v>
      </c>
      <c r="AI17" s="74">
        <v>10563.090432000001</v>
      </c>
      <c r="AJ17" s="74">
        <v>0</v>
      </c>
    </row>
    <row r="18" spans="1:36" ht="21" customHeight="1" x14ac:dyDescent="0.25">
      <c r="A18" s="65"/>
      <c r="B18" s="8">
        <v>2.0399999999999991</v>
      </c>
      <c r="C18" s="18" t="s">
        <v>71</v>
      </c>
      <c r="D18" s="18" t="s">
        <v>53</v>
      </c>
      <c r="E18" s="138">
        <f>'Performa Invoice (Explained)'!E18</f>
        <v>11965.44</v>
      </c>
      <c r="F18" s="9">
        <v>11870.597999999998</v>
      </c>
      <c r="G18" s="153">
        <v>0</v>
      </c>
      <c r="H18" s="142">
        <v>0.79979999999999996</v>
      </c>
      <c r="I18" s="127">
        <v>9569.9589120000001</v>
      </c>
      <c r="J18" s="142">
        <v>6.3901272370610052E-3</v>
      </c>
      <c r="K18" s="158">
        <v>0</v>
      </c>
      <c r="L18" s="20">
        <f>I18/F18</f>
        <v>0.80619012723706096</v>
      </c>
      <c r="M18" s="156">
        <f t="shared" si="0"/>
        <v>0</v>
      </c>
      <c r="N18" s="127">
        <v>636.50008800000069</v>
      </c>
      <c r="O18" s="158"/>
      <c r="P18" s="20">
        <f>N18/F18</f>
        <v>5.3619884019322432E-2</v>
      </c>
      <c r="Q18" s="156">
        <f t="shared" si="1"/>
        <v>0</v>
      </c>
      <c r="R18" s="9">
        <f>I18+N18</f>
        <v>10206.459000000001</v>
      </c>
      <c r="S18" s="153">
        <f t="shared" si="2"/>
        <v>0</v>
      </c>
      <c r="T18" s="20">
        <f t="shared" si="3"/>
        <v>0.85341988401932234</v>
      </c>
      <c r="U18" s="156">
        <f t="shared" si="4"/>
        <v>0</v>
      </c>
      <c r="V18" s="9">
        <f>F18-R18</f>
        <v>1664.1389999999974</v>
      </c>
      <c r="W18" s="153">
        <f t="shared" si="5"/>
        <v>0</v>
      </c>
      <c r="X18" s="21">
        <f t="shared" si="8"/>
        <v>0.14658011598067766</v>
      </c>
      <c r="Y18" s="156">
        <f t="shared" si="6"/>
        <v>0</v>
      </c>
      <c r="Z18" s="10"/>
      <c r="AA18" s="58"/>
      <c r="AC18" s="1">
        <f>5470</f>
        <v>5470</v>
      </c>
      <c r="AD18" s="1">
        <f>9198.45-7279.01</f>
        <v>1919.4400000000005</v>
      </c>
      <c r="AE18" s="1">
        <f>10948.64-9331.45</f>
        <v>1617.1899999999987</v>
      </c>
      <c r="AF18" s="1">
        <v>30</v>
      </c>
      <c r="AG18" s="9">
        <v>0</v>
      </c>
      <c r="AI18" s="74">
        <v>9569.9589120000001</v>
      </c>
      <c r="AJ18" s="74">
        <v>0</v>
      </c>
    </row>
    <row r="19" spans="1:36" ht="21" customHeight="1" x14ac:dyDescent="0.25">
      <c r="A19" s="65"/>
      <c r="B19" s="8">
        <f>B18+0.01</f>
        <v>2.0499999999999989</v>
      </c>
      <c r="C19" s="18" t="s">
        <v>72</v>
      </c>
      <c r="D19" s="18" t="s">
        <v>53</v>
      </c>
      <c r="E19" s="138">
        <f>'Performa Invoice (Explained)'!E19</f>
        <v>11965.44</v>
      </c>
      <c r="F19" s="9">
        <v>11870.597999999998</v>
      </c>
      <c r="G19" s="153">
        <v>0</v>
      </c>
      <c r="H19" s="142">
        <v>0.71039999999999992</v>
      </c>
      <c r="I19" s="127">
        <v>8500.248576</v>
      </c>
      <c r="J19" s="142">
        <v>5.6758519494976012E-3</v>
      </c>
      <c r="K19" s="158">
        <v>0</v>
      </c>
      <c r="L19" s="20">
        <f>I19/F19</f>
        <v>0.71607585194949752</v>
      </c>
      <c r="M19" s="156">
        <f t="shared" si="0"/>
        <v>0</v>
      </c>
      <c r="N19" s="127">
        <v>1706.2104240000008</v>
      </c>
      <c r="O19" s="158"/>
      <c r="P19" s="20">
        <f>N19/F19</f>
        <v>0.14373415930688588</v>
      </c>
      <c r="Q19" s="156">
        <f t="shared" si="1"/>
        <v>0</v>
      </c>
      <c r="R19" s="9">
        <f>I19+N19</f>
        <v>10206.459000000001</v>
      </c>
      <c r="S19" s="153">
        <f t="shared" si="2"/>
        <v>0</v>
      </c>
      <c r="T19" s="20">
        <f t="shared" si="3"/>
        <v>0.85413415930688585</v>
      </c>
      <c r="U19" s="156">
        <f t="shared" si="4"/>
        <v>0</v>
      </c>
      <c r="V19" s="9">
        <f>F19-R19</f>
        <v>1664.1389999999974</v>
      </c>
      <c r="W19" s="153">
        <f t="shared" si="5"/>
        <v>0</v>
      </c>
      <c r="X19" s="21">
        <f t="shared" si="8"/>
        <v>0.14586584069311415</v>
      </c>
      <c r="Y19" s="156">
        <f t="shared" si="6"/>
        <v>0</v>
      </c>
      <c r="Z19" s="10"/>
      <c r="AA19" s="58"/>
      <c r="AG19" s="9">
        <v>63.416831999999999</v>
      </c>
      <c r="AI19" s="74">
        <v>8202.3091199999999</v>
      </c>
      <c r="AJ19" s="74">
        <v>297.69088000000011</v>
      </c>
    </row>
    <row r="20" spans="1:36" ht="21" customHeight="1" x14ac:dyDescent="0.25">
      <c r="A20" s="65"/>
      <c r="B20" s="6">
        <v>3</v>
      </c>
      <c r="C20" s="19" t="s">
        <v>12</v>
      </c>
      <c r="D20" s="19"/>
      <c r="E20" s="159"/>
      <c r="F20" s="160"/>
      <c r="G20" s="160"/>
      <c r="H20" s="160"/>
      <c r="I20" s="160"/>
      <c r="J20" s="131"/>
      <c r="K20" s="160"/>
      <c r="L20" s="160"/>
      <c r="M20" s="160"/>
      <c r="N20" s="160"/>
      <c r="O20" s="160"/>
      <c r="P20" s="160"/>
      <c r="Q20" s="160"/>
      <c r="R20" s="160"/>
      <c r="S20" s="160"/>
      <c r="T20" s="160"/>
      <c r="U20" s="160"/>
      <c r="V20" s="160"/>
      <c r="W20" s="160"/>
      <c r="X20" s="160"/>
      <c r="Y20" s="160"/>
      <c r="Z20" s="161"/>
      <c r="AA20" s="58"/>
      <c r="AG20" s="7"/>
      <c r="AI20" s="74"/>
      <c r="AJ20" s="74"/>
    </row>
    <row r="21" spans="1:36" ht="21" customHeight="1" x14ac:dyDescent="0.25">
      <c r="A21" s="65"/>
      <c r="B21" s="8">
        <f>B20+0.01</f>
        <v>3.01</v>
      </c>
      <c r="C21" s="18" t="s">
        <v>13</v>
      </c>
      <c r="D21" s="18" t="s">
        <v>54</v>
      </c>
      <c r="E21" s="137">
        <f>'Performa Invoice (Explained)'!E21</f>
        <v>213.12</v>
      </c>
      <c r="F21" s="9">
        <v>213.12</v>
      </c>
      <c r="G21" s="153">
        <v>0</v>
      </c>
      <c r="H21" s="141">
        <v>0</v>
      </c>
      <c r="I21" s="127">
        <v>0</v>
      </c>
      <c r="J21" s="141">
        <v>0</v>
      </c>
      <c r="K21" s="158">
        <v>0</v>
      </c>
      <c r="L21" s="20">
        <f>I21/F21</f>
        <v>0</v>
      </c>
      <c r="M21" s="156">
        <f t="shared" ref="M21:M25" si="9">IFERROR(K21/G21,0)</f>
        <v>0</v>
      </c>
      <c r="N21" s="127">
        <v>0</v>
      </c>
      <c r="O21" s="158"/>
      <c r="P21" s="20">
        <f>N21/F21</f>
        <v>0</v>
      </c>
      <c r="Q21" s="156">
        <f t="shared" ref="Q21:Q25" si="10">IFERROR(O21/G21,0)</f>
        <v>0</v>
      </c>
      <c r="R21" s="22">
        <f>I21+N21</f>
        <v>0</v>
      </c>
      <c r="S21" s="153">
        <f t="shared" ref="S21:S25" si="11">K21+O21</f>
        <v>0</v>
      </c>
      <c r="T21" s="20">
        <f t="shared" ref="T21:T25" si="12">H21+P21</f>
        <v>0</v>
      </c>
      <c r="U21" s="156">
        <f t="shared" ref="U21:U25" si="13">M21+Q21</f>
        <v>0</v>
      </c>
      <c r="V21" s="9">
        <f>F21-R21</f>
        <v>213.12</v>
      </c>
      <c r="W21" s="153">
        <f t="shared" ref="W21:W25" si="14">G21-S21</f>
        <v>0</v>
      </c>
      <c r="X21" s="21">
        <f t="shared" ref="X21:X25" si="15">1-T21</f>
        <v>1</v>
      </c>
      <c r="Y21" s="156">
        <f t="shared" ref="Y21:Y25" si="16">IF(G21 = 0, 0, 1-U21)</f>
        <v>0</v>
      </c>
      <c r="Z21" s="10"/>
      <c r="AA21" s="58"/>
      <c r="AD21" s="36"/>
      <c r="AG21" s="9">
        <v>0</v>
      </c>
      <c r="AI21" s="74">
        <v>0</v>
      </c>
      <c r="AJ21" s="74">
        <v>0</v>
      </c>
    </row>
    <row r="22" spans="1:36" ht="21" customHeight="1" x14ac:dyDescent="0.25">
      <c r="A22" s="65"/>
      <c r="B22" s="8">
        <f t="shared" ref="B22:B25" si="17">B21+0.01</f>
        <v>3.0199999999999996</v>
      </c>
      <c r="C22" s="18" t="s">
        <v>14</v>
      </c>
      <c r="D22" s="18" t="s">
        <v>54</v>
      </c>
      <c r="E22" s="137">
        <f>'Performa Invoice (Explained)'!E22</f>
        <v>213.12</v>
      </c>
      <c r="F22" s="9">
        <v>213.12</v>
      </c>
      <c r="G22" s="153">
        <v>0</v>
      </c>
      <c r="H22" s="141">
        <v>0</v>
      </c>
      <c r="I22" s="127">
        <v>0</v>
      </c>
      <c r="J22" s="141">
        <v>0</v>
      </c>
      <c r="K22" s="158">
        <v>0</v>
      </c>
      <c r="L22" s="20">
        <f>I22/F22</f>
        <v>0</v>
      </c>
      <c r="M22" s="156">
        <f t="shared" si="9"/>
        <v>0</v>
      </c>
      <c r="N22" s="127">
        <v>0</v>
      </c>
      <c r="O22" s="158"/>
      <c r="P22" s="20">
        <f>N22/F22</f>
        <v>0</v>
      </c>
      <c r="Q22" s="156">
        <f t="shared" si="10"/>
        <v>0</v>
      </c>
      <c r="R22" s="9">
        <f>I22+N22</f>
        <v>0</v>
      </c>
      <c r="S22" s="153">
        <f t="shared" si="11"/>
        <v>0</v>
      </c>
      <c r="T22" s="20">
        <f t="shared" si="12"/>
        <v>0</v>
      </c>
      <c r="U22" s="156">
        <f t="shared" si="13"/>
        <v>0</v>
      </c>
      <c r="V22" s="9">
        <f>F22-R22</f>
        <v>213.12</v>
      </c>
      <c r="W22" s="153">
        <f t="shared" si="14"/>
        <v>0</v>
      </c>
      <c r="X22" s="21">
        <f t="shared" si="15"/>
        <v>1</v>
      </c>
      <c r="Y22" s="156">
        <f t="shared" si="16"/>
        <v>0</v>
      </c>
      <c r="Z22" s="10"/>
      <c r="AA22" s="58"/>
      <c r="AG22" s="9">
        <v>0</v>
      </c>
      <c r="AI22" s="74">
        <v>0</v>
      </c>
      <c r="AJ22" s="74">
        <v>0</v>
      </c>
    </row>
    <row r="23" spans="1:36" ht="21" customHeight="1" x14ac:dyDescent="0.25">
      <c r="A23" s="65"/>
      <c r="B23" s="8">
        <f t="shared" si="17"/>
        <v>3.0299999999999994</v>
      </c>
      <c r="C23" s="18" t="s">
        <v>15</v>
      </c>
      <c r="D23" s="18" t="s">
        <v>53</v>
      </c>
      <c r="E23" s="139">
        <f>'Performa Invoice (Explained)'!E23</f>
        <v>308.62</v>
      </c>
      <c r="F23" s="9">
        <f>115</f>
        <v>115</v>
      </c>
      <c r="G23" s="153">
        <f>308.62 - F23</f>
        <v>193.62</v>
      </c>
      <c r="H23" s="143">
        <v>0</v>
      </c>
      <c r="I23" s="127">
        <v>0</v>
      </c>
      <c r="J23" s="143">
        <v>0</v>
      </c>
      <c r="K23" s="158">
        <v>0</v>
      </c>
      <c r="L23" s="20">
        <f>I23/F23</f>
        <v>0</v>
      </c>
      <c r="M23" s="156">
        <f t="shared" si="9"/>
        <v>0</v>
      </c>
      <c r="N23" s="127">
        <v>0</v>
      </c>
      <c r="O23" s="158"/>
      <c r="P23" s="20">
        <f>N23/F23</f>
        <v>0</v>
      </c>
      <c r="Q23" s="156">
        <f t="shared" si="10"/>
        <v>0</v>
      </c>
      <c r="R23" s="9">
        <f>I23+N23</f>
        <v>0</v>
      </c>
      <c r="S23" s="153">
        <f t="shared" si="11"/>
        <v>0</v>
      </c>
      <c r="T23" s="20">
        <f t="shared" si="12"/>
        <v>0</v>
      </c>
      <c r="U23" s="156">
        <f t="shared" si="13"/>
        <v>0</v>
      </c>
      <c r="V23" s="9">
        <f>F23-R23</f>
        <v>115</v>
      </c>
      <c r="W23" s="153">
        <f t="shared" si="14"/>
        <v>193.62</v>
      </c>
      <c r="X23" s="21">
        <f t="shared" si="15"/>
        <v>1</v>
      </c>
      <c r="Y23" s="156">
        <f t="shared" si="16"/>
        <v>1</v>
      </c>
      <c r="Z23" s="10"/>
      <c r="AA23" s="58"/>
      <c r="AG23" s="9">
        <v>0</v>
      </c>
      <c r="AI23" s="74">
        <v>0</v>
      </c>
      <c r="AJ23" s="74">
        <v>0</v>
      </c>
    </row>
    <row r="24" spans="1:36" ht="21" customHeight="1" x14ac:dyDescent="0.25">
      <c r="A24" s="65"/>
      <c r="B24" s="8">
        <f t="shared" si="17"/>
        <v>3.0399999999999991</v>
      </c>
      <c r="C24" s="18" t="s">
        <v>16</v>
      </c>
      <c r="D24" s="18" t="s">
        <v>53</v>
      </c>
      <c r="E24" s="139">
        <f>'Performa Invoice (Explained)'!E24</f>
        <v>1396.26</v>
      </c>
      <c r="F24" s="9">
        <v>867</v>
      </c>
      <c r="G24" s="153">
        <f>1431.36-F24</f>
        <v>564.3599999999999</v>
      </c>
      <c r="H24" s="143">
        <v>0</v>
      </c>
      <c r="I24" s="127">
        <v>0</v>
      </c>
      <c r="J24" s="143">
        <v>0</v>
      </c>
      <c r="K24" s="158">
        <v>0</v>
      </c>
      <c r="L24" s="20">
        <f>I24/F24</f>
        <v>0</v>
      </c>
      <c r="M24" s="156">
        <f t="shared" si="9"/>
        <v>0</v>
      </c>
      <c r="N24" s="127">
        <v>0</v>
      </c>
      <c r="O24" s="158"/>
      <c r="P24" s="20">
        <f>N24/F24</f>
        <v>0</v>
      </c>
      <c r="Q24" s="156">
        <f t="shared" si="10"/>
        <v>0</v>
      </c>
      <c r="R24" s="9">
        <f>I24+N24</f>
        <v>0</v>
      </c>
      <c r="S24" s="153">
        <f t="shared" si="11"/>
        <v>0</v>
      </c>
      <c r="T24" s="20">
        <f t="shared" si="12"/>
        <v>0</v>
      </c>
      <c r="U24" s="156">
        <f t="shared" si="13"/>
        <v>0</v>
      </c>
      <c r="V24" s="9">
        <f>F24-R24</f>
        <v>867</v>
      </c>
      <c r="W24" s="153">
        <f t="shared" si="14"/>
        <v>564.3599999999999</v>
      </c>
      <c r="X24" s="21">
        <f t="shared" si="15"/>
        <v>1</v>
      </c>
      <c r="Y24" s="156">
        <f t="shared" si="16"/>
        <v>1</v>
      </c>
      <c r="Z24" s="10"/>
      <c r="AA24" s="58"/>
      <c r="AG24" s="9">
        <v>0</v>
      </c>
      <c r="AI24" s="74">
        <v>0</v>
      </c>
      <c r="AJ24" s="74">
        <v>0</v>
      </c>
    </row>
    <row r="25" spans="1:36" ht="21" customHeight="1" x14ac:dyDescent="0.25">
      <c r="A25" s="65"/>
      <c r="B25" s="8">
        <f t="shared" si="17"/>
        <v>3.0499999999999989</v>
      </c>
      <c r="C25" s="18" t="s">
        <v>17</v>
      </c>
      <c r="D25" s="18" t="s">
        <v>52</v>
      </c>
      <c r="E25" s="139">
        <f>'Performa Invoice (Explained)'!E25</f>
        <v>12</v>
      </c>
      <c r="F25" s="9">
        <f>4*3</f>
        <v>12</v>
      </c>
      <c r="G25" s="153">
        <v>0</v>
      </c>
      <c r="H25" s="143">
        <v>0</v>
      </c>
      <c r="I25" s="127">
        <v>0</v>
      </c>
      <c r="J25" s="143">
        <v>0</v>
      </c>
      <c r="K25" s="158">
        <v>0</v>
      </c>
      <c r="L25" s="20">
        <f>I25/F25</f>
        <v>0</v>
      </c>
      <c r="M25" s="156">
        <f t="shared" si="9"/>
        <v>0</v>
      </c>
      <c r="N25" s="127">
        <v>0</v>
      </c>
      <c r="O25" s="158"/>
      <c r="P25" s="20">
        <f>N25/F25</f>
        <v>0</v>
      </c>
      <c r="Q25" s="156">
        <f t="shared" si="10"/>
        <v>0</v>
      </c>
      <c r="R25" s="9">
        <f>I25+N25</f>
        <v>0</v>
      </c>
      <c r="S25" s="153">
        <f t="shared" si="11"/>
        <v>0</v>
      </c>
      <c r="T25" s="20">
        <f t="shared" si="12"/>
        <v>0</v>
      </c>
      <c r="U25" s="156">
        <f t="shared" si="13"/>
        <v>0</v>
      </c>
      <c r="V25" s="9">
        <f>F25-R25</f>
        <v>12</v>
      </c>
      <c r="W25" s="153">
        <f t="shared" si="14"/>
        <v>0</v>
      </c>
      <c r="X25" s="21">
        <f t="shared" si="15"/>
        <v>1</v>
      </c>
      <c r="Y25" s="156">
        <f t="shared" si="16"/>
        <v>0</v>
      </c>
      <c r="Z25" s="10"/>
      <c r="AA25" s="58"/>
      <c r="AG25" s="9">
        <v>0</v>
      </c>
      <c r="AI25" s="74">
        <v>0</v>
      </c>
      <c r="AJ25" s="74">
        <v>0</v>
      </c>
    </row>
    <row r="26" spans="1:36" ht="21" customHeight="1" x14ac:dyDescent="0.25">
      <c r="A26" s="65"/>
      <c r="B26" s="6">
        <v>4</v>
      </c>
      <c r="C26" s="19" t="s">
        <v>18</v>
      </c>
      <c r="D26" s="19"/>
      <c r="E26" s="159"/>
      <c r="F26" s="160"/>
      <c r="G26" s="160"/>
      <c r="H26" s="160"/>
      <c r="I26" s="160"/>
      <c r="J26" s="131"/>
      <c r="K26" s="160"/>
      <c r="L26" s="160"/>
      <c r="M26" s="160"/>
      <c r="N26" s="160"/>
      <c r="O26" s="160"/>
      <c r="P26" s="160"/>
      <c r="Q26" s="160"/>
      <c r="R26" s="160"/>
      <c r="S26" s="160"/>
      <c r="T26" s="160"/>
      <c r="U26" s="160"/>
      <c r="V26" s="160"/>
      <c r="W26" s="160"/>
      <c r="X26" s="160"/>
      <c r="Y26" s="160"/>
      <c r="Z26" s="161"/>
      <c r="AA26" s="58"/>
      <c r="AG26" s="7"/>
      <c r="AI26" s="74"/>
      <c r="AJ26" s="74"/>
    </row>
    <row r="27" spans="1:36" ht="21" customHeight="1" x14ac:dyDescent="0.25">
      <c r="A27" s="65"/>
      <c r="B27" s="8">
        <f>B26+0.01</f>
        <v>4.01</v>
      </c>
      <c r="C27" s="18" t="s">
        <v>19</v>
      </c>
      <c r="D27" s="18" t="s">
        <v>52</v>
      </c>
      <c r="E27" s="138">
        <f>'Performa Invoice (Explained)'!E27</f>
        <v>179</v>
      </c>
      <c r="F27" s="9">
        <v>172</v>
      </c>
      <c r="G27" s="153">
        <v>0</v>
      </c>
      <c r="H27" s="142">
        <v>0.7039106145251397</v>
      </c>
      <c r="I27" s="127">
        <v>126</v>
      </c>
      <c r="J27" s="142">
        <v>2.864752500974399E-2</v>
      </c>
      <c r="K27" s="158">
        <v>0</v>
      </c>
      <c r="L27" s="20">
        <f t="shared" ref="L27:L47" si="18">I27/F27</f>
        <v>0.73255813953488369</v>
      </c>
      <c r="M27" s="156">
        <f t="shared" ref="M27:M47" si="19">IFERROR(K27/G27,0)</f>
        <v>0</v>
      </c>
      <c r="N27" s="127">
        <v>28</v>
      </c>
      <c r="O27" s="158"/>
      <c r="P27" s="20">
        <f t="shared" ref="P27:P47" si="20">N27/F27</f>
        <v>0.16279069767441862</v>
      </c>
      <c r="Q27" s="156">
        <f t="shared" ref="Q27:Q33" si="21">IFERROR(O27/G27,0)</f>
        <v>0</v>
      </c>
      <c r="R27" s="9">
        <f t="shared" ref="R27:R47" si="22">I27+N27</f>
        <v>154</v>
      </c>
      <c r="S27" s="153">
        <f t="shared" ref="S27:S47" si="23">K27+O27</f>
        <v>0</v>
      </c>
      <c r="T27" s="20">
        <f t="shared" ref="T27:T47" si="24">H27+P27</f>
        <v>0.86670131219955837</v>
      </c>
      <c r="U27" s="156">
        <f t="shared" ref="U27:U47" si="25">M27+Q27</f>
        <v>0</v>
      </c>
      <c r="V27" s="9">
        <f t="shared" ref="V27:V47" si="26">F27-R27</f>
        <v>18</v>
      </c>
      <c r="W27" s="153">
        <f t="shared" ref="W27:W47" si="27">G27-S27</f>
        <v>0</v>
      </c>
      <c r="X27" s="21">
        <f t="shared" ref="X27:X47" si="28">1-T27</f>
        <v>0.13329868780044163</v>
      </c>
      <c r="Y27" s="156">
        <f t="shared" ref="Y27:Y47" si="29">IF(G27 = 0, 0, 1-U27)</f>
        <v>0</v>
      </c>
      <c r="Z27" s="10"/>
      <c r="AA27" s="58"/>
      <c r="AG27" s="9">
        <v>0</v>
      </c>
      <c r="AI27" s="74">
        <v>90</v>
      </c>
      <c r="AJ27" s="74">
        <v>35.996900000000004</v>
      </c>
    </row>
    <row r="28" spans="1:36" ht="21" customHeight="1" x14ac:dyDescent="0.25">
      <c r="A28" s="65"/>
      <c r="B28" s="8">
        <f t="shared" ref="B28:B47" si="30">B27+0.01</f>
        <v>4.0199999999999996</v>
      </c>
      <c r="C28" s="18" t="s">
        <v>20</v>
      </c>
      <c r="D28" s="18" t="s">
        <v>52</v>
      </c>
      <c r="E28" s="138">
        <f>'Performa Invoice (Explained)'!E28</f>
        <v>179</v>
      </c>
      <c r="F28" s="9">
        <v>172</v>
      </c>
      <c r="G28" s="153">
        <v>0</v>
      </c>
      <c r="H28" s="142">
        <v>1</v>
      </c>
      <c r="I28" s="127">
        <v>179</v>
      </c>
      <c r="J28" s="142">
        <v>4.0697674418604723E-2</v>
      </c>
      <c r="K28" s="158">
        <v>0</v>
      </c>
      <c r="L28" s="20">
        <f t="shared" si="18"/>
        <v>1.0406976744186047</v>
      </c>
      <c r="M28" s="156">
        <f t="shared" si="19"/>
        <v>0</v>
      </c>
      <c r="N28" s="127">
        <v>0</v>
      </c>
      <c r="O28" s="158"/>
      <c r="P28" s="20">
        <f t="shared" si="20"/>
        <v>0</v>
      </c>
      <c r="Q28" s="156">
        <f t="shared" si="21"/>
        <v>0</v>
      </c>
      <c r="R28" s="9">
        <f t="shared" si="22"/>
        <v>179</v>
      </c>
      <c r="S28" s="153">
        <f t="shared" si="23"/>
        <v>0</v>
      </c>
      <c r="T28" s="20">
        <f t="shared" si="24"/>
        <v>1</v>
      </c>
      <c r="U28" s="156">
        <f t="shared" si="25"/>
        <v>0</v>
      </c>
      <c r="V28" s="9">
        <f t="shared" si="26"/>
        <v>-7</v>
      </c>
      <c r="W28" s="153">
        <f t="shared" si="27"/>
        <v>0</v>
      </c>
      <c r="X28" s="21">
        <f t="shared" si="28"/>
        <v>0</v>
      </c>
      <c r="Y28" s="156">
        <f t="shared" si="29"/>
        <v>0</v>
      </c>
      <c r="Z28" s="27" t="s">
        <v>70</v>
      </c>
      <c r="AA28" s="58"/>
      <c r="AG28" s="9">
        <v>0</v>
      </c>
      <c r="AI28" s="74">
        <v>179</v>
      </c>
      <c r="AJ28" s="74">
        <v>0</v>
      </c>
    </row>
    <row r="29" spans="1:36" ht="21" customHeight="1" x14ac:dyDescent="0.25">
      <c r="A29" s="65"/>
      <c r="B29" s="8">
        <f t="shared" si="30"/>
        <v>4.0299999999999994</v>
      </c>
      <c r="C29" s="18" t="s">
        <v>21</v>
      </c>
      <c r="D29" s="18" t="s">
        <v>52</v>
      </c>
      <c r="E29" s="138">
        <f>'Performa Invoice (Explained)'!E29</f>
        <v>179</v>
      </c>
      <c r="F29" s="9">
        <v>172</v>
      </c>
      <c r="G29" s="153">
        <v>0</v>
      </c>
      <c r="H29" s="142">
        <v>0.56983240223463683</v>
      </c>
      <c r="I29" s="127">
        <v>102</v>
      </c>
      <c r="J29" s="142">
        <v>2.3190853579316717E-2</v>
      </c>
      <c r="K29" s="158">
        <v>0</v>
      </c>
      <c r="L29" s="20">
        <f t="shared" si="18"/>
        <v>0.59302325581395354</v>
      </c>
      <c r="M29" s="156">
        <f t="shared" si="19"/>
        <v>0</v>
      </c>
      <c r="N29" s="127">
        <v>24</v>
      </c>
      <c r="O29" s="158"/>
      <c r="P29" s="20">
        <f t="shared" si="20"/>
        <v>0.13953488372093023</v>
      </c>
      <c r="Q29" s="156">
        <f t="shared" si="21"/>
        <v>0</v>
      </c>
      <c r="R29" s="9">
        <f t="shared" si="22"/>
        <v>126</v>
      </c>
      <c r="S29" s="153">
        <f t="shared" si="23"/>
        <v>0</v>
      </c>
      <c r="T29" s="20">
        <f t="shared" si="24"/>
        <v>0.70936728595556708</v>
      </c>
      <c r="U29" s="156">
        <f t="shared" si="25"/>
        <v>0</v>
      </c>
      <c r="V29" s="9">
        <f t="shared" si="26"/>
        <v>46</v>
      </c>
      <c r="W29" s="153">
        <f t="shared" si="27"/>
        <v>0</v>
      </c>
      <c r="X29" s="21">
        <f t="shared" si="28"/>
        <v>0.29063271404443292</v>
      </c>
      <c r="Y29" s="156">
        <f t="shared" si="29"/>
        <v>0</v>
      </c>
      <c r="Z29" s="10"/>
      <c r="AA29" s="58"/>
      <c r="AG29" s="9">
        <v>102</v>
      </c>
      <c r="AI29" s="74">
        <v>0</v>
      </c>
      <c r="AJ29" s="74">
        <v>102</v>
      </c>
    </row>
    <row r="30" spans="1:36" ht="21" customHeight="1" x14ac:dyDescent="0.25">
      <c r="A30" s="65"/>
      <c r="B30" s="8">
        <f t="shared" si="30"/>
        <v>4.0399999999999991</v>
      </c>
      <c r="C30" s="18" t="s">
        <v>22</v>
      </c>
      <c r="D30" s="18" t="s">
        <v>52</v>
      </c>
      <c r="E30" s="138">
        <f>'Performa Invoice (Explained)'!E30</f>
        <v>179</v>
      </c>
      <c r="F30" s="9">
        <v>172</v>
      </c>
      <c r="G30" s="153">
        <v>0</v>
      </c>
      <c r="H30" s="142">
        <v>0.56983240223463683</v>
      </c>
      <c r="I30" s="127">
        <v>102</v>
      </c>
      <c r="J30" s="142">
        <v>2.3190853579316717E-2</v>
      </c>
      <c r="K30" s="158">
        <v>0</v>
      </c>
      <c r="L30" s="20">
        <f t="shared" si="18"/>
        <v>0.59302325581395354</v>
      </c>
      <c r="M30" s="156">
        <f t="shared" si="19"/>
        <v>0</v>
      </c>
      <c r="N30" s="127">
        <v>24</v>
      </c>
      <c r="O30" s="158"/>
      <c r="P30" s="20">
        <f t="shared" si="20"/>
        <v>0.13953488372093023</v>
      </c>
      <c r="Q30" s="156">
        <f t="shared" si="21"/>
        <v>0</v>
      </c>
      <c r="R30" s="9">
        <f t="shared" si="22"/>
        <v>126</v>
      </c>
      <c r="S30" s="153">
        <f t="shared" si="23"/>
        <v>0</v>
      </c>
      <c r="T30" s="20">
        <f t="shared" si="24"/>
        <v>0.70936728595556708</v>
      </c>
      <c r="U30" s="156">
        <f t="shared" si="25"/>
        <v>0</v>
      </c>
      <c r="V30" s="9">
        <f t="shared" si="26"/>
        <v>46</v>
      </c>
      <c r="W30" s="153">
        <f t="shared" si="27"/>
        <v>0</v>
      </c>
      <c r="X30" s="21">
        <f t="shared" si="28"/>
        <v>0.29063271404443292</v>
      </c>
      <c r="Y30" s="156">
        <f t="shared" si="29"/>
        <v>0</v>
      </c>
      <c r="Z30" s="10"/>
      <c r="AA30" s="58"/>
      <c r="AG30" s="9">
        <v>102</v>
      </c>
      <c r="AI30" s="74">
        <v>0</v>
      </c>
      <c r="AJ30" s="74">
        <v>102</v>
      </c>
    </row>
    <row r="31" spans="1:36" ht="21" customHeight="1" x14ac:dyDescent="0.25">
      <c r="A31" s="65"/>
      <c r="B31" s="8">
        <f t="shared" si="30"/>
        <v>4.0499999999999989</v>
      </c>
      <c r="C31" s="18" t="s">
        <v>23</v>
      </c>
      <c r="D31" s="18" t="s">
        <v>52</v>
      </c>
      <c r="E31" s="138">
        <f>'Performa Invoice (Explained)'!E31</f>
        <v>179</v>
      </c>
      <c r="F31" s="9">
        <v>172</v>
      </c>
      <c r="G31" s="153">
        <v>0</v>
      </c>
      <c r="H31" s="142">
        <v>0.53072625698324027</v>
      </c>
      <c r="I31" s="127">
        <v>95</v>
      </c>
      <c r="J31" s="142">
        <v>2.1599324412108545E-2</v>
      </c>
      <c r="K31" s="158">
        <v>0</v>
      </c>
      <c r="L31" s="20">
        <f t="shared" si="18"/>
        <v>0.55232558139534882</v>
      </c>
      <c r="M31" s="156">
        <f t="shared" si="19"/>
        <v>0</v>
      </c>
      <c r="N31" s="127">
        <v>27</v>
      </c>
      <c r="O31" s="158"/>
      <c r="P31" s="20">
        <f t="shared" si="20"/>
        <v>0.15697674418604651</v>
      </c>
      <c r="Q31" s="156">
        <f t="shared" si="21"/>
        <v>0</v>
      </c>
      <c r="R31" s="9">
        <f t="shared" si="22"/>
        <v>122</v>
      </c>
      <c r="S31" s="153">
        <f t="shared" si="23"/>
        <v>0</v>
      </c>
      <c r="T31" s="20">
        <f t="shared" si="24"/>
        <v>0.68770300116928684</v>
      </c>
      <c r="U31" s="156">
        <f t="shared" si="25"/>
        <v>0</v>
      </c>
      <c r="V31" s="9">
        <f t="shared" si="26"/>
        <v>50</v>
      </c>
      <c r="W31" s="153">
        <f t="shared" si="27"/>
        <v>0</v>
      </c>
      <c r="X31" s="21">
        <f t="shared" si="28"/>
        <v>0.31229699883071316</v>
      </c>
      <c r="Y31" s="156">
        <f t="shared" si="29"/>
        <v>0</v>
      </c>
      <c r="Z31" s="10"/>
      <c r="AA31" s="58"/>
      <c r="AG31" s="9">
        <v>95</v>
      </c>
      <c r="AI31" s="74">
        <v>0</v>
      </c>
      <c r="AJ31" s="74">
        <v>94.995299999999986</v>
      </c>
    </row>
    <row r="32" spans="1:36" ht="21" customHeight="1" x14ac:dyDescent="0.25">
      <c r="A32" s="65"/>
      <c r="B32" s="8">
        <f t="shared" si="30"/>
        <v>4.0599999999999987</v>
      </c>
      <c r="C32" s="18" t="s">
        <v>24</v>
      </c>
      <c r="D32" s="18" t="s">
        <v>52</v>
      </c>
      <c r="E32" s="138">
        <f>'Performa Invoice (Explained)'!E32</f>
        <v>179</v>
      </c>
      <c r="F32" s="9">
        <v>172</v>
      </c>
      <c r="G32" s="153">
        <v>0</v>
      </c>
      <c r="H32" s="142">
        <v>0.53072625698324027</v>
      </c>
      <c r="I32" s="127">
        <v>95</v>
      </c>
      <c r="J32" s="142">
        <v>2.1599324412108545E-2</v>
      </c>
      <c r="K32" s="158">
        <v>0</v>
      </c>
      <c r="L32" s="20">
        <f t="shared" si="18"/>
        <v>0.55232558139534882</v>
      </c>
      <c r="M32" s="156">
        <f t="shared" si="19"/>
        <v>0</v>
      </c>
      <c r="N32" s="127">
        <v>20</v>
      </c>
      <c r="O32" s="158"/>
      <c r="P32" s="20">
        <f t="shared" si="20"/>
        <v>0.11627906976744186</v>
      </c>
      <c r="Q32" s="156">
        <f t="shared" si="21"/>
        <v>0</v>
      </c>
      <c r="R32" s="9">
        <f t="shared" si="22"/>
        <v>115</v>
      </c>
      <c r="S32" s="153">
        <f t="shared" si="23"/>
        <v>0</v>
      </c>
      <c r="T32" s="20">
        <f t="shared" si="24"/>
        <v>0.64700532675068212</v>
      </c>
      <c r="U32" s="156">
        <f t="shared" si="25"/>
        <v>0</v>
      </c>
      <c r="V32" s="9">
        <f t="shared" si="26"/>
        <v>57</v>
      </c>
      <c r="W32" s="153">
        <f t="shared" si="27"/>
        <v>0</v>
      </c>
      <c r="X32" s="21">
        <f t="shared" si="28"/>
        <v>0.35299467324931788</v>
      </c>
      <c r="Y32" s="156">
        <f t="shared" si="29"/>
        <v>0</v>
      </c>
      <c r="Z32" s="10"/>
      <c r="AA32" s="58"/>
      <c r="AG32" s="9">
        <v>5.9965000000000002</v>
      </c>
      <c r="AI32" s="74">
        <v>89</v>
      </c>
      <c r="AJ32" s="74">
        <v>5.9965000000000002</v>
      </c>
    </row>
    <row r="33" spans="1:36" ht="21" customHeight="1" x14ac:dyDescent="0.25">
      <c r="A33" s="65"/>
      <c r="B33" s="8">
        <f t="shared" si="30"/>
        <v>4.0699999999999985</v>
      </c>
      <c r="C33" s="18" t="s">
        <v>25</v>
      </c>
      <c r="D33" s="18" t="s">
        <v>52</v>
      </c>
      <c r="E33" s="138">
        <f>'Performa Invoice (Explained)'!E33</f>
        <v>179</v>
      </c>
      <c r="F33" s="9">
        <v>172</v>
      </c>
      <c r="G33" s="153">
        <v>0</v>
      </c>
      <c r="H33" s="142">
        <v>0.53072625698324027</v>
      </c>
      <c r="I33" s="127">
        <v>95</v>
      </c>
      <c r="J33" s="142">
        <v>2.1599324412108545E-2</v>
      </c>
      <c r="K33" s="158">
        <v>0</v>
      </c>
      <c r="L33" s="20">
        <f t="shared" si="18"/>
        <v>0.55232558139534882</v>
      </c>
      <c r="M33" s="156">
        <f t="shared" si="19"/>
        <v>0</v>
      </c>
      <c r="N33" s="127">
        <v>20</v>
      </c>
      <c r="O33" s="158"/>
      <c r="P33" s="20">
        <f t="shared" si="20"/>
        <v>0.11627906976744186</v>
      </c>
      <c r="Q33" s="156">
        <f t="shared" si="21"/>
        <v>0</v>
      </c>
      <c r="R33" s="9">
        <f t="shared" si="22"/>
        <v>115</v>
      </c>
      <c r="S33" s="153">
        <f t="shared" si="23"/>
        <v>0</v>
      </c>
      <c r="T33" s="20">
        <f t="shared" si="24"/>
        <v>0.64700532675068212</v>
      </c>
      <c r="U33" s="156">
        <f t="shared" si="25"/>
        <v>0</v>
      </c>
      <c r="V33" s="9">
        <f t="shared" si="26"/>
        <v>57</v>
      </c>
      <c r="W33" s="153">
        <f t="shared" si="27"/>
        <v>0</v>
      </c>
      <c r="X33" s="21">
        <f t="shared" si="28"/>
        <v>0.35299467324931788</v>
      </c>
      <c r="Y33" s="156">
        <f t="shared" si="29"/>
        <v>0</v>
      </c>
      <c r="Z33" s="10"/>
      <c r="AA33" s="58"/>
      <c r="AG33" s="9">
        <v>95</v>
      </c>
      <c r="AI33" s="74">
        <v>0</v>
      </c>
      <c r="AJ33" s="74">
        <v>94.995299999999986</v>
      </c>
    </row>
    <row r="34" spans="1:36" ht="21" customHeight="1" x14ac:dyDescent="0.25">
      <c r="A34" s="65"/>
      <c r="B34" s="8">
        <f t="shared" si="30"/>
        <v>4.0799999999999983</v>
      </c>
      <c r="C34" s="18" t="s">
        <v>55</v>
      </c>
      <c r="D34" s="18" t="s">
        <v>52</v>
      </c>
      <c r="E34" s="138">
        <f>'Performa Invoice (Explained)'!E34</f>
        <v>179</v>
      </c>
      <c r="F34" s="9">
        <v>172</v>
      </c>
      <c r="G34" s="153">
        <v>0</v>
      </c>
      <c r="H34" s="142">
        <v>1.11731843575419E-2</v>
      </c>
      <c r="I34" s="127">
        <v>2</v>
      </c>
      <c r="J34" s="142">
        <v>4.5472261920228609E-4</v>
      </c>
      <c r="K34" s="158">
        <v>0</v>
      </c>
      <c r="L34" s="20">
        <f t="shared" si="18"/>
        <v>1.1627906976744186E-2</v>
      </c>
      <c r="M34" s="156">
        <f t="shared" si="19"/>
        <v>0</v>
      </c>
      <c r="N34" s="127">
        <v>66</v>
      </c>
      <c r="O34" s="158"/>
      <c r="P34" s="20">
        <f t="shared" si="20"/>
        <v>0.38372093023255816</v>
      </c>
      <c r="Q34" s="156">
        <f>IFERROR(O34/G34,0)</f>
        <v>0</v>
      </c>
      <c r="R34" s="9">
        <f t="shared" si="22"/>
        <v>68</v>
      </c>
      <c r="S34" s="153">
        <f t="shared" si="23"/>
        <v>0</v>
      </c>
      <c r="T34" s="20">
        <f t="shared" si="24"/>
        <v>0.39489411459010004</v>
      </c>
      <c r="U34" s="156">
        <f t="shared" si="25"/>
        <v>0</v>
      </c>
      <c r="V34" s="9">
        <f t="shared" si="26"/>
        <v>104</v>
      </c>
      <c r="W34" s="153">
        <f t="shared" si="27"/>
        <v>0</v>
      </c>
      <c r="X34" s="21">
        <f t="shared" si="28"/>
        <v>0.60510588540989996</v>
      </c>
      <c r="Y34" s="156">
        <f t="shared" si="29"/>
        <v>0</v>
      </c>
      <c r="Z34" s="10"/>
      <c r="AA34" s="58"/>
      <c r="AG34" s="9">
        <v>2</v>
      </c>
      <c r="AI34" s="74">
        <v>0</v>
      </c>
      <c r="AJ34" s="74">
        <v>2.0047999999999999</v>
      </c>
    </row>
    <row r="35" spans="1:36" ht="21" customHeight="1" x14ac:dyDescent="0.25">
      <c r="A35" s="65"/>
      <c r="B35" s="8">
        <f t="shared" si="30"/>
        <v>4.0899999999999981</v>
      </c>
      <c r="C35" s="18" t="s">
        <v>26</v>
      </c>
      <c r="D35" s="18" t="s">
        <v>52</v>
      </c>
      <c r="E35" s="138">
        <f>'Performa Invoice (Explained)'!E35</f>
        <v>179</v>
      </c>
      <c r="F35" s="9">
        <v>172</v>
      </c>
      <c r="G35" s="153">
        <v>0</v>
      </c>
      <c r="H35" s="142">
        <v>0</v>
      </c>
      <c r="I35" s="127">
        <v>0</v>
      </c>
      <c r="J35" s="142">
        <v>0</v>
      </c>
      <c r="K35" s="158">
        <v>0</v>
      </c>
      <c r="L35" s="20">
        <f t="shared" si="18"/>
        <v>0</v>
      </c>
      <c r="M35" s="156">
        <f t="shared" si="19"/>
        <v>0</v>
      </c>
      <c r="N35" s="127">
        <v>59</v>
      </c>
      <c r="O35" s="158"/>
      <c r="P35" s="20">
        <f t="shared" si="20"/>
        <v>0.34302325581395349</v>
      </c>
      <c r="Q35" s="156">
        <f t="shared" ref="Q35:Q47" si="31">IFERROR(O35/G35,0)</f>
        <v>0</v>
      </c>
      <c r="R35" s="9">
        <f t="shared" si="22"/>
        <v>59</v>
      </c>
      <c r="S35" s="153">
        <f t="shared" si="23"/>
        <v>0</v>
      </c>
      <c r="T35" s="20">
        <f t="shared" si="24"/>
        <v>0.34302325581395349</v>
      </c>
      <c r="U35" s="156">
        <f t="shared" si="25"/>
        <v>0</v>
      </c>
      <c r="V35" s="9">
        <f t="shared" si="26"/>
        <v>113</v>
      </c>
      <c r="W35" s="153">
        <f t="shared" si="27"/>
        <v>0</v>
      </c>
      <c r="X35" s="21">
        <f t="shared" si="28"/>
        <v>0.65697674418604657</v>
      </c>
      <c r="Y35" s="156">
        <f t="shared" si="29"/>
        <v>0</v>
      </c>
      <c r="Z35" s="10"/>
      <c r="AA35" s="58"/>
      <c r="AG35" s="9">
        <v>0</v>
      </c>
      <c r="AI35" s="74">
        <v>0</v>
      </c>
      <c r="AJ35" s="74">
        <v>0</v>
      </c>
    </row>
    <row r="36" spans="1:36" ht="21" customHeight="1" x14ac:dyDescent="0.25">
      <c r="A36" s="65"/>
      <c r="B36" s="8">
        <f t="shared" si="30"/>
        <v>4.0999999999999979</v>
      </c>
      <c r="C36" s="18" t="s">
        <v>27</v>
      </c>
      <c r="D36" s="18" t="s">
        <v>52</v>
      </c>
      <c r="E36" s="138">
        <f>'Performa Invoice (Explained)'!E36</f>
        <v>179</v>
      </c>
      <c r="F36" s="9">
        <v>172</v>
      </c>
      <c r="G36" s="153">
        <v>0</v>
      </c>
      <c r="H36" s="142">
        <v>0</v>
      </c>
      <c r="I36" s="127">
        <v>0</v>
      </c>
      <c r="J36" s="142">
        <v>0</v>
      </c>
      <c r="K36" s="158">
        <v>0</v>
      </c>
      <c r="L36" s="20">
        <f t="shared" si="18"/>
        <v>0</v>
      </c>
      <c r="M36" s="156">
        <f t="shared" si="19"/>
        <v>0</v>
      </c>
      <c r="N36" s="127">
        <v>52</v>
      </c>
      <c r="O36" s="158"/>
      <c r="P36" s="20">
        <f t="shared" si="20"/>
        <v>0.30232558139534882</v>
      </c>
      <c r="Q36" s="156">
        <f t="shared" si="31"/>
        <v>0</v>
      </c>
      <c r="R36" s="9">
        <f t="shared" si="22"/>
        <v>52</v>
      </c>
      <c r="S36" s="153">
        <f t="shared" si="23"/>
        <v>0</v>
      </c>
      <c r="T36" s="20">
        <f t="shared" si="24"/>
        <v>0.30232558139534882</v>
      </c>
      <c r="U36" s="156">
        <f t="shared" si="25"/>
        <v>0</v>
      </c>
      <c r="V36" s="9">
        <f t="shared" si="26"/>
        <v>120</v>
      </c>
      <c r="W36" s="153">
        <f t="shared" si="27"/>
        <v>0</v>
      </c>
      <c r="X36" s="21">
        <f t="shared" si="28"/>
        <v>0.69767441860465118</v>
      </c>
      <c r="Y36" s="156">
        <f t="shared" si="29"/>
        <v>0</v>
      </c>
      <c r="Z36" s="10"/>
      <c r="AA36" s="58"/>
      <c r="AG36" s="9">
        <v>0</v>
      </c>
      <c r="AI36" s="74">
        <v>0</v>
      </c>
      <c r="AJ36" s="74">
        <v>0</v>
      </c>
    </row>
    <row r="37" spans="1:36" ht="21" customHeight="1" x14ac:dyDescent="0.25">
      <c r="A37" s="65"/>
      <c r="B37" s="8">
        <f t="shared" si="30"/>
        <v>4.1099999999999977</v>
      </c>
      <c r="C37" s="18" t="s">
        <v>28</v>
      </c>
      <c r="D37" s="18" t="s">
        <v>52</v>
      </c>
      <c r="E37" s="138">
        <f>'Performa Invoice (Explained)'!E37</f>
        <v>179</v>
      </c>
      <c r="F37" s="9">
        <v>172</v>
      </c>
      <c r="G37" s="153">
        <v>0</v>
      </c>
      <c r="H37" s="142">
        <v>0</v>
      </c>
      <c r="I37" s="127">
        <v>0</v>
      </c>
      <c r="J37" s="142">
        <v>0</v>
      </c>
      <c r="K37" s="158">
        <v>0</v>
      </c>
      <c r="L37" s="20">
        <f t="shared" si="18"/>
        <v>0</v>
      </c>
      <c r="M37" s="156">
        <f t="shared" si="19"/>
        <v>0</v>
      </c>
      <c r="N37" s="127">
        <v>0</v>
      </c>
      <c r="O37" s="158"/>
      <c r="P37" s="20">
        <f t="shared" si="20"/>
        <v>0</v>
      </c>
      <c r="Q37" s="156">
        <f t="shared" si="31"/>
        <v>0</v>
      </c>
      <c r="R37" s="9">
        <f t="shared" si="22"/>
        <v>0</v>
      </c>
      <c r="S37" s="153">
        <f t="shared" si="23"/>
        <v>0</v>
      </c>
      <c r="T37" s="20">
        <f t="shared" si="24"/>
        <v>0</v>
      </c>
      <c r="U37" s="156">
        <f t="shared" si="25"/>
        <v>0</v>
      </c>
      <c r="V37" s="9">
        <f t="shared" si="26"/>
        <v>172</v>
      </c>
      <c r="W37" s="153">
        <f t="shared" si="27"/>
        <v>0</v>
      </c>
      <c r="X37" s="21">
        <f t="shared" si="28"/>
        <v>1</v>
      </c>
      <c r="Y37" s="156">
        <f t="shared" si="29"/>
        <v>0</v>
      </c>
      <c r="Z37" s="10"/>
      <c r="AA37" s="58"/>
      <c r="AG37" s="9">
        <v>0</v>
      </c>
      <c r="AI37" s="74">
        <v>0</v>
      </c>
      <c r="AJ37" s="74">
        <v>0</v>
      </c>
    </row>
    <row r="38" spans="1:36" ht="21" customHeight="1" x14ac:dyDescent="0.25">
      <c r="A38" s="65"/>
      <c r="B38" s="8">
        <f t="shared" si="30"/>
        <v>4.1199999999999974</v>
      </c>
      <c r="C38" s="23" t="s">
        <v>29</v>
      </c>
      <c r="D38" s="18" t="s">
        <v>52</v>
      </c>
      <c r="E38" s="138">
        <f>'Performa Invoice (Explained)'!E38</f>
        <v>179</v>
      </c>
      <c r="F38" s="9">
        <v>172</v>
      </c>
      <c r="G38" s="153">
        <v>0</v>
      </c>
      <c r="H38" s="142">
        <v>0</v>
      </c>
      <c r="I38" s="127">
        <v>0</v>
      </c>
      <c r="J38" s="142">
        <v>0</v>
      </c>
      <c r="K38" s="158">
        <v>0</v>
      </c>
      <c r="L38" s="20">
        <f t="shared" si="18"/>
        <v>0</v>
      </c>
      <c r="M38" s="156">
        <f t="shared" si="19"/>
        <v>0</v>
      </c>
      <c r="N38" s="127">
        <v>0</v>
      </c>
      <c r="O38" s="158"/>
      <c r="P38" s="20">
        <f t="shared" si="20"/>
        <v>0</v>
      </c>
      <c r="Q38" s="156">
        <f t="shared" si="31"/>
        <v>0</v>
      </c>
      <c r="R38" s="9">
        <f t="shared" si="22"/>
        <v>0</v>
      </c>
      <c r="S38" s="153">
        <f t="shared" si="23"/>
        <v>0</v>
      </c>
      <c r="T38" s="20">
        <f t="shared" si="24"/>
        <v>0</v>
      </c>
      <c r="U38" s="156">
        <f t="shared" si="25"/>
        <v>0</v>
      </c>
      <c r="V38" s="9">
        <f t="shared" si="26"/>
        <v>172</v>
      </c>
      <c r="W38" s="153">
        <f t="shared" si="27"/>
        <v>0</v>
      </c>
      <c r="X38" s="21">
        <f t="shared" si="28"/>
        <v>1</v>
      </c>
      <c r="Y38" s="156">
        <f t="shared" si="29"/>
        <v>0</v>
      </c>
      <c r="Z38" s="11"/>
      <c r="AA38" s="58"/>
      <c r="AG38" s="9">
        <v>0</v>
      </c>
      <c r="AI38" s="74">
        <v>0</v>
      </c>
      <c r="AJ38" s="74">
        <v>0</v>
      </c>
    </row>
    <row r="39" spans="1:36" ht="21" customHeight="1" x14ac:dyDescent="0.25">
      <c r="A39" s="65"/>
      <c r="B39" s="8">
        <f t="shared" si="30"/>
        <v>4.1299999999999972</v>
      </c>
      <c r="C39" s="23" t="s">
        <v>30</v>
      </c>
      <c r="D39" s="18" t="s">
        <v>52</v>
      </c>
      <c r="E39" s="138">
        <f>'Performa Invoice (Explained)'!E39</f>
        <v>179</v>
      </c>
      <c r="F39" s="9">
        <v>172</v>
      </c>
      <c r="G39" s="153">
        <v>0</v>
      </c>
      <c r="H39" s="142">
        <v>0</v>
      </c>
      <c r="I39" s="127">
        <v>0</v>
      </c>
      <c r="J39" s="142">
        <v>0</v>
      </c>
      <c r="K39" s="158">
        <v>0</v>
      </c>
      <c r="L39" s="20">
        <f t="shared" si="18"/>
        <v>0</v>
      </c>
      <c r="M39" s="156">
        <f t="shared" si="19"/>
        <v>0</v>
      </c>
      <c r="N39" s="127">
        <v>0</v>
      </c>
      <c r="O39" s="158"/>
      <c r="P39" s="20">
        <f t="shared" si="20"/>
        <v>0</v>
      </c>
      <c r="Q39" s="156">
        <f t="shared" si="31"/>
        <v>0</v>
      </c>
      <c r="R39" s="9">
        <f t="shared" si="22"/>
        <v>0</v>
      </c>
      <c r="S39" s="153">
        <f t="shared" si="23"/>
        <v>0</v>
      </c>
      <c r="T39" s="20">
        <f t="shared" si="24"/>
        <v>0</v>
      </c>
      <c r="U39" s="156">
        <f t="shared" si="25"/>
        <v>0</v>
      </c>
      <c r="V39" s="9">
        <f t="shared" si="26"/>
        <v>172</v>
      </c>
      <c r="W39" s="153">
        <f t="shared" si="27"/>
        <v>0</v>
      </c>
      <c r="X39" s="21">
        <f t="shared" si="28"/>
        <v>1</v>
      </c>
      <c r="Y39" s="156">
        <f t="shared" si="29"/>
        <v>0</v>
      </c>
      <c r="Z39" s="11"/>
      <c r="AA39" s="58"/>
      <c r="AG39" s="9">
        <v>0</v>
      </c>
      <c r="AI39" s="74">
        <v>0</v>
      </c>
      <c r="AJ39" s="74">
        <v>0</v>
      </c>
    </row>
    <row r="40" spans="1:36" ht="21" customHeight="1" x14ac:dyDescent="0.25">
      <c r="A40" s="65"/>
      <c r="B40" s="8">
        <f t="shared" si="30"/>
        <v>4.139999999999997</v>
      </c>
      <c r="C40" s="23" t="s">
        <v>31</v>
      </c>
      <c r="D40" s="18" t="s">
        <v>52</v>
      </c>
      <c r="E40" s="138">
        <f>'Performa Invoice (Explained)'!E40</f>
        <v>179</v>
      </c>
      <c r="F40" s="9">
        <v>172</v>
      </c>
      <c r="G40" s="153">
        <v>0</v>
      </c>
      <c r="H40" s="142">
        <v>0</v>
      </c>
      <c r="I40" s="127">
        <v>0</v>
      </c>
      <c r="J40" s="142">
        <v>0</v>
      </c>
      <c r="K40" s="158">
        <v>0</v>
      </c>
      <c r="L40" s="20">
        <f t="shared" si="18"/>
        <v>0</v>
      </c>
      <c r="M40" s="156">
        <f t="shared" si="19"/>
        <v>0</v>
      </c>
      <c r="N40" s="127">
        <v>0</v>
      </c>
      <c r="O40" s="158"/>
      <c r="P40" s="20">
        <f t="shared" si="20"/>
        <v>0</v>
      </c>
      <c r="Q40" s="156">
        <f t="shared" si="31"/>
        <v>0</v>
      </c>
      <c r="R40" s="9">
        <f t="shared" si="22"/>
        <v>0</v>
      </c>
      <c r="S40" s="153">
        <f t="shared" si="23"/>
        <v>0</v>
      </c>
      <c r="T40" s="20">
        <f t="shared" si="24"/>
        <v>0</v>
      </c>
      <c r="U40" s="156">
        <f t="shared" si="25"/>
        <v>0</v>
      </c>
      <c r="V40" s="9">
        <f t="shared" si="26"/>
        <v>172</v>
      </c>
      <c r="W40" s="153">
        <f t="shared" si="27"/>
        <v>0</v>
      </c>
      <c r="X40" s="21">
        <f t="shared" si="28"/>
        <v>1</v>
      </c>
      <c r="Y40" s="156">
        <f t="shared" si="29"/>
        <v>0</v>
      </c>
      <c r="Z40" s="11"/>
      <c r="AA40" s="58"/>
      <c r="AG40" s="9">
        <v>0</v>
      </c>
      <c r="AI40" s="74">
        <v>0</v>
      </c>
      <c r="AJ40" s="74">
        <v>0</v>
      </c>
    </row>
    <row r="41" spans="1:36" ht="21" customHeight="1" x14ac:dyDescent="0.25">
      <c r="A41" s="65"/>
      <c r="B41" s="8">
        <f t="shared" si="30"/>
        <v>4.1499999999999968</v>
      </c>
      <c r="C41" s="23" t="s">
        <v>32</v>
      </c>
      <c r="D41" s="18" t="s">
        <v>52</v>
      </c>
      <c r="E41" s="138">
        <f>'Performa Invoice (Explained)'!E41</f>
        <v>179</v>
      </c>
      <c r="F41" s="9">
        <v>172</v>
      </c>
      <c r="G41" s="153">
        <v>0</v>
      </c>
      <c r="H41" s="142">
        <v>0</v>
      </c>
      <c r="I41" s="127">
        <v>0</v>
      </c>
      <c r="J41" s="142">
        <v>0</v>
      </c>
      <c r="K41" s="158">
        <v>0</v>
      </c>
      <c r="L41" s="20">
        <f t="shared" si="18"/>
        <v>0</v>
      </c>
      <c r="M41" s="156">
        <f t="shared" si="19"/>
        <v>0</v>
      </c>
      <c r="N41" s="127">
        <v>0</v>
      </c>
      <c r="O41" s="158"/>
      <c r="P41" s="20">
        <f t="shared" si="20"/>
        <v>0</v>
      </c>
      <c r="Q41" s="156">
        <f t="shared" si="31"/>
        <v>0</v>
      </c>
      <c r="R41" s="9">
        <f t="shared" si="22"/>
        <v>0</v>
      </c>
      <c r="S41" s="153">
        <f t="shared" si="23"/>
        <v>0</v>
      </c>
      <c r="T41" s="20">
        <f t="shared" si="24"/>
        <v>0</v>
      </c>
      <c r="U41" s="156">
        <f t="shared" si="25"/>
        <v>0</v>
      </c>
      <c r="V41" s="9">
        <f t="shared" si="26"/>
        <v>172</v>
      </c>
      <c r="W41" s="153">
        <f t="shared" si="27"/>
        <v>0</v>
      </c>
      <c r="X41" s="21">
        <f t="shared" si="28"/>
        <v>1</v>
      </c>
      <c r="Y41" s="156">
        <f t="shared" si="29"/>
        <v>0</v>
      </c>
      <c r="Z41" s="11"/>
      <c r="AA41" s="58"/>
      <c r="AG41" s="9">
        <v>0</v>
      </c>
      <c r="AI41" s="74">
        <v>0</v>
      </c>
      <c r="AJ41" s="74">
        <v>0</v>
      </c>
    </row>
    <row r="42" spans="1:36" ht="21" customHeight="1" x14ac:dyDescent="0.25">
      <c r="A42" s="65"/>
      <c r="B42" s="8">
        <f t="shared" si="30"/>
        <v>4.1599999999999966</v>
      </c>
      <c r="C42" s="23" t="s">
        <v>33</v>
      </c>
      <c r="D42" s="18" t="s">
        <v>52</v>
      </c>
      <c r="E42" s="137">
        <f>'Performa Invoice (Explained)'!E42</f>
        <v>179</v>
      </c>
      <c r="F42" s="9">
        <v>172</v>
      </c>
      <c r="G42" s="153">
        <v>0</v>
      </c>
      <c r="H42" s="141">
        <v>0</v>
      </c>
      <c r="I42" s="127">
        <v>0</v>
      </c>
      <c r="J42" s="141">
        <v>0</v>
      </c>
      <c r="K42" s="158">
        <v>0</v>
      </c>
      <c r="L42" s="20">
        <f t="shared" si="18"/>
        <v>0</v>
      </c>
      <c r="M42" s="156">
        <f t="shared" si="19"/>
        <v>0</v>
      </c>
      <c r="N42" s="127">
        <v>0</v>
      </c>
      <c r="O42" s="158"/>
      <c r="P42" s="20">
        <f t="shared" si="20"/>
        <v>0</v>
      </c>
      <c r="Q42" s="156">
        <f t="shared" si="31"/>
        <v>0</v>
      </c>
      <c r="R42" s="9">
        <f t="shared" si="22"/>
        <v>0</v>
      </c>
      <c r="S42" s="153">
        <f t="shared" si="23"/>
        <v>0</v>
      </c>
      <c r="T42" s="20">
        <f t="shared" si="24"/>
        <v>0</v>
      </c>
      <c r="U42" s="156">
        <f t="shared" si="25"/>
        <v>0</v>
      </c>
      <c r="V42" s="9">
        <f t="shared" si="26"/>
        <v>172</v>
      </c>
      <c r="W42" s="153">
        <f t="shared" si="27"/>
        <v>0</v>
      </c>
      <c r="X42" s="21">
        <f t="shared" si="28"/>
        <v>1</v>
      </c>
      <c r="Y42" s="156">
        <f t="shared" si="29"/>
        <v>0</v>
      </c>
      <c r="Z42" s="11"/>
      <c r="AA42" s="58"/>
      <c r="AG42" s="9">
        <v>0</v>
      </c>
      <c r="AI42" s="74">
        <v>0</v>
      </c>
      <c r="AJ42" s="74">
        <v>0</v>
      </c>
    </row>
    <row r="43" spans="1:36" ht="21" customHeight="1" x14ac:dyDescent="0.25">
      <c r="A43" s="65"/>
      <c r="B43" s="8">
        <f t="shared" si="30"/>
        <v>4.1699999999999964</v>
      </c>
      <c r="C43" s="23" t="s">
        <v>56</v>
      </c>
      <c r="D43" s="18" t="s">
        <v>52</v>
      </c>
      <c r="E43" s="138">
        <f>'Performa Invoice (Explained)'!E43</f>
        <v>179</v>
      </c>
      <c r="F43" s="9">
        <v>172</v>
      </c>
      <c r="G43" s="153">
        <v>0</v>
      </c>
      <c r="H43" s="142">
        <v>0</v>
      </c>
      <c r="I43" s="127">
        <v>0</v>
      </c>
      <c r="J43" s="142">
        <v>0</v>
      </c>
      <c r="K43" s="158">
        <v>0</v>
      </c>
      <c r="L43" s="20">
        <f t="shared" si="18"/>
        <v>0</v>
      </c>
      <c r="M43" s="156">
        <f t="shared" si="19"/>
        <v>0</v>
      </c>
      <c r="N43" s="127">
        <v>0</v>
      </c>
      <c r="O43" s="158"/>
      <c r="P43" s="20">
        <f t="shared" si="20"/>
        <v>0</v>
      </c>
      <c r="Q43" s="156">
        <f t="shared" si="31"/>
        <v>0</v>
      </c>
      <c r="R43" s="9">
        <f t="shared" si="22"/>
        <v>0</v>
      </c>
      <c r="S43" s="153">
        <f t="shared" si="23"/>
        <v>0</v>
      </c>
      <c r="T43" s="20">
        <f t="shared" si="24"/>
        <v>0</v>
      </c>
      <c r="U43" s="156">
        <f t="shared" si="25"/>
        <v>0</v>
      </c>
      <c r="V43" s="9">
        <f t="shared" si="26"/>
        <v>172</v>
      </c>
      <c r="W43" s="153">
        <f t="shared" si="27"/>
        <v>0</v>
      </c>
      <c r="X43" s="21">
        <f t="shared" si="28"/>
        <v>1</v>
      </c>
      <c r="Y43" s="156">
        <f t="shared" si="29"/>
        <v>0</v>
      </c>
      <c r="Z43" s="11"/>
      <c r="AA43" s="58"/>
      <c r="AG43" s="9">
        <v>0</v>
      </c>
      <c r="AI43" s="74">
        <v>0</v>
      </c>
      <c r="AJ43" s="74">
        <v>0</v>
      </c>
    </row>
    <row r="44" spans="1:36" ht="21" customHeight="1" x14ac:dyDescent="0.25">
      <c r="A44" s="65"/>
      <c r="B44" s="8">
        <f t="shared" si="30"/>
        <v>4.1799999999999962</v>
      </c>
      <c r="C44" s="23" t="s">
        <v>34</v>
      </c>
      <c r="D44" s="18" t="s">
        <v>53</v>
      </c>
      <c r="E44" s="138">
        <f>'Performa Invoice (Explained)'!E44</f>
        <v>36055.08</v>
      </c>
      <c r="F44" s="9">
        <v>36055.08</v>
      </c>
      <c r="G44" s="153">
        <v>0</v>
      </c>
      <c r="H44" s="142">
        <v>0</v>
      </c>
      <c r="I44" s="127">
        <v>0</v>
      </c>
      <c r="J44" s="142">
        <v>0</v>
      </c>
      <c r="K44" s="158">
        <v>0</v>
      </c>
      <c r="L44" s="20">
        <f t="shared" si="18"/>
        <v>0</v>
      </c>
      <c r="M44" s="156">
        <f t="shared" si="19"/>
        <v>0</v>
      </c>
      <c r="N44" s="127">
        <v>0</v>
      </c>
      <c r="O44" s="158"/>
      <c r="P44" s="20">
        <f t="shared" si="20"/>
        <v>0</v>
      </c>
      <c r="Q44" s="156">
        <f t="shared" si="31"/>
        <v>0</v>
      </c>
      <c r="R44" s="9">
        <f t="shared" si="22"/>
        <v>0</v>
      </c>
      <c r="S44" s="153">
        <f t="shared" si="23"/>
        <v>0</v>
      </c>
      <c r="T44" s="20">
        <f t="shared" si="24"/>
        <v>0</v>
      </c>
      <c r="U44" s="156">
        <f t="shared" si="25"/>
        <v>0</v>
      </c>
      <c r="V44" s="9">
        <f t="shared" si="26"/>
        <v>36055.08</v>
      </c>
      <c r="W44" s="153">
        <f t="shared" si="27"/>
        <v>0</v>
      </c>
      <c r="X44" s="21">
        <f t="shared" si="28"/>
        <v>1</v>
      </c>
      <c r="Y44" s="156">
        <f t="shared" si="29"/>
        <v>0</v>
      </c>
      <c r="Z44" s="40"/>
      <c r="AA44" s="58"/>
      <c r="AG44" s="9">
        <v>0</v>
      </c>
      <c r="AI44" s="74">
        <v>0</v>
      </c>
      <c r="AJ44" s="74">
        <v>0</v>
      </c>
    </row>
    <row r="45" spans="1:36" ht="21" customHeight="1" x14ac:dyDescent="0.25">
      <c r="A45" s="65"/>
      <c r="B45" s="8">
        <f t="shared" si="30"/>
        <v>4.1899999999999959</v>
      </c>
      <c r="C45" s="23" t="s">
        <v>35</v>
      </c>
      <c r="D45" s="18" t="s">
        <v>53</v>
      </c>
      <c r="E45" s="138">
        <f>'Performa Invoice (Explained)'!E45</f>
        <v>12018.36</v>
      </c>
      <c r="F45" s="9">
        <v>12018.36</v>
      </c>
      <c r="G45" s="153">
        <v>0</v>
      </c>
      <c r="H45" s="142">
        <v>0</v>
      </c>
      <c r="I45" s="127">
        <v>0</v>
      </c>
      <c r="J45" s="142">
        <v>0</v>
      </c>
      <c r="K45" s="158">
        <v>0</v>
      </c>
      <c r="L45" s="20">
        <f t="shared" si="18"/>
        <v>0</v>
      </c>
      <c r="M45" s="156">
        <f t="shared" si="19"/>
        <v>0</v>
      </c>
      <c r="N45" s="127">
        <v>0</v>
      </c>
      <c r="O45" s="158"/>
      <c r="P45" s="20">
        <f t="shared" si="20"/>
        <v>0</v>
      </c>
      <c r="Q45" s="156">
        <f t="shared" si="31"/>
        <v>0</v>
      </c>
      <c r="R45" s="9">
        <f t="shared" si="22"/>
        <v>0</v>
      </c>
      <c r="S45" s="153">
        <f t="shared" si="23"/>
        <v>0</v>
      </c>
      <c r="T45" s="20">
        <f t="shared" si="24"/>
        <v>0</v>
      </c>
      <c r="U45" s="156">
        <f t="shared" si="25"/>
        <v>0</v>
      </c>
      <c r="V45" s="9">
        <f t="shared" si="26"/>
        <v>12018.36</v>
      </c>
      <c r="W45" s="153">
        <f t="shared" si="27"/>
        <v>0</v>
      </c>
      <c r="X45" s="21">
        <f t="shared" si="28"/>
        <v>1</v>
      </c>
      <c r="Y45" s="156">
        <f t="shared" si="29"/>
        <v>0</v>
      </c>
      <c r="Z45" s="11"/>
      <c r="AA45" s="58"/>
      <c r="AG45" s="9">
        <v>0</v>
      </c>
      <c r="AI45" s="74">
        <v>0</v>
      </c>
      <c r="AJ45" s="74">
        <v>0</v>
      </c>
    </row>
    <row r="46" spans="1:36" ht="21" customHeight="1" x14ac:dyDescent="0.25">
      <c r="A46" s="65"/>
      <c r="B46" s="8">
        <f t="shared" si="30"/>
        <v>4.1999999999999957</v>
      </c>
      <c r="C46" s="23" t="s">
        <v>74</v>
      </c>
      <c r="D46" s="18" t="s">
        <v>76</v>
      </c>
      <c r="E46" s="137">
        <f>'Performa Invoice (Explained)'!E46</f>
        <v>1</v>
      </c>
      <c r="F46" s="9">
        <v>1</v>
      </c>
      <c r="G46" s="153">
        <v>0</v>
      </c>
      <c r="H46" s="141">
        <v>0</v>
      </c>
      <c r="I46" s="127">
        <v>0</v>
      </c>
      <c r="J46" s="141">
        <v>0</v>
      </c>
      <c r="K46" s="158">
        <v>0</v>
      </c>
      <c r="L46" s="20">
        <f t="shared" si="18"/>
        <v>0</v>
      </c>
      <c r="M46" s="156">
        <f t="shared" si="19"/>
        <v>0</v>
      </c>
      <c r="N46" s="127">
        <v>0</v>
      </c>
      <c r="O46" s="158"/>
      <c r="P46" s="20">
        <f t="shared" si="20"/>
        <v>0</v>
      </c>
      <c r="Q46" s="156">
        <f t="shared" si="31"/>
        <v>0</v>
      </c>
      <c r="R46" s="9">
        <f t="shared" si="22"/>
        <v>0</v>
      </c>
      <c r="S46" s="153">
        <f t="shared" si="23"/>
        <v>0</v>
      </c>
      <c r="T46" s="20">
        <f t="shared" si="24"/>
        <v>0</v>
      </c>
      <c r="U46" s="156">
        <f t="shared" si="25"/>
        <v>0</v>
      </c>
      <c r="V46" s="9">
        <f t="shared" si="26"/>
        <v>1</v>
      </c>
      <c r="W46" s="153">
        <f t="shared" si="27"/>
        <v>0</v>
      </c>
      <c r="X46" s="21">
        <f t="shared" si="28"/>
        <v>1</v>
      </c>
      <c r="Y46" s="156">
        <f t="shared" si="29"/>
        <v>0</v>
      </c>
      <c r="Z46" s="11"/>
      <c r="AA46" s="58"/>
      <c r="AG46" s="9">
        <v>0</v>
      </c>
      <c r="AI46" s="74">
        <v>0</v>
      </c>
      <c r="AJ46" s="74">
        <v>0</v>
      </c>
    </row>
    <row r="47" spans="1:36" ht="21" customHeight="1" x14ac:dyDescent="0.25">
      <c r="A47" s="65"/>
      <c r="B47" s="8">
        <f t="shared" si="30"/>
        <v>4.2099999999999955</v>
      </c>
      <c r="C47" s="23" t="s">
        <v>75</v>
      </c>
      <c r="D47" s="18" t="s">
        <v>77</v>
      </c>
      <c r="E47" s="137">
        <f>'Performa Invoice (Explained)'!E47</f>
        <v>1</v>
      </c>
      <c r="F47" s="9">
        <v>1</v>
      </c>
      <c r="G47" s="153">
        <v>0</v>
      </c>
      <c r="H47" s="141">
        <v>0</v>
      </c>
      <c r="I47" s="127">
        <v>0</v>
      </c>
      <c r="J47" s="141">
        <v>0</v>
      </c>
      <c r="K47" s="158">
        <v>0</v>
      </c>
      <c r="L47" s="20">
        <f t="shared" si="18"/>
        <v>0</v>
      </c>
      <c r="M47" s="156">
        <f t="shared" si="19"/>
        <v>0</v>
      </c>
      <c r="N47" s="127">
        <v>0</v>
      </c>
      <c r="O47" s="158"/>
      <c r="P47" s="20">
        <f t="shared" si="20"/>
        <v>0</v>
      </c>
      <c r="Q47" s="156">
        <f t="shared" si="31"/>
        <v>0</v>
      </c>
      <c r="R47" s="9">
        <f t="shared" si="22"/>
        <v>0</v>
      </c>
      <c r="S47" s="153">
        <f t="shared" si="23"/>
        <v>0</v>
      </c>
      <c r="T47" s="20">
        <f t="shared" si="24"/>
        <v>0</v>
      </c>
      <c r="U47" s="156">
        <f t="shared" si="25"/>
        <v>0</v>
      </c>
      <c r="V47" s="9">
        <f t="shared" si="26"/>
        <v>1</v>
      </c>
      <c r="W47" s="153">
        <f t="shared" si="27"/>
        <v>0</v>
      </c>
      <c r="X47" s="21">
        <f t="shared" si="28"/>
        <v>1</v>
      </c>
      <c r="Y47" s="156">
        <f t="shared" si="29"/>
        <v>0</v>
      </c>
      <c r="Z47" s="11"/>
      <c r="AA47" s="58"/>
      <c r="AG47" s="9">
        <v>0</v>
      </c>
      <c r="AI47" s="74">
        <v>0</v>
      </c>
      <c r="AJ47" s="74">
        <v>0</v>
      </c>
    </row>
    <row r="48" spans="1:36" ht="21" customHeight="1" x14ac:dyDescent="0.25">
      <c r="A48" s="65"/>
      <c r="B48" s="12">
        <v>5</v>
      </c>
      <c r="C48" s="24" t="s">
        <v>36</v>
      </c>
      <c r="D48" s="24"/>
      <c r="E48" s="159"/>
      <c r="F48" s="160"/>
      <c r="G48" s="160"/>
      <c r="H48" s="160"/>
      <c r="I48" s="160"/>
      <c r="J48" s="132"/>
      <c r="K48" s="160"/>
      <c r="L48" s="160"/>
      <c r="M48" s="160"/>
      <c r="N48" s="160"/>
      <c r="O48" s="160"/>
      <c r="P48" s="160"/>
      <c r="Q48" s="160"/>
      <c r="R48" s="160"/>
      <c r="S48" s="160"/>
      <c r="T48" s="160"/>
      <c r="U48" s="160"/>
      <c r="V48" s="160"/>
      <c r="W48" s="160"/>
      <c r="X48" s="160"/>
      <c r="Y48" s="160"/>
      <c r="Z48" s="161"/>
      <c r="AA48" s="58"/>
      <c r="AG48" s="13"/>
      <c r="AI48" s="74"/>
      <c r="AJ48" s="74"/>
    </row>
    <row r="49" spans="1:36" ht="21" customHeight="1" x14ac:dyDescent="0.25">
      <c r="A49" s="65"/>
      <c r="B49" s="8">
        <f>B48+0.01</f>
        <v>5.01</v>
      </c>
      <c r="C49" s="23" t="s">
        <v>37</v>
      </c>
      <c r="D49" s="18" t="s">
        <v>52</v>
      </c>
      <c r="E49" s="137">
        <f>'Performa Invoice (Explained)'!E49</f>
        <v>14</v>
      </c>
      <c r="F49" s="9">
        <v>5</v>
      </c>
      <c r="G49" s="153">
        <v>9</v>
      </c>
      <c r="H49" s="141">
        <v>0</v>
      </c>
      <c r="I49" s="127">
        <v>0</v>
      </c>
      <c r="J49" s="141">
        <v>0</v>
      </c>
      <c r="K49" s="158">
        <v>0</v>
      </c>
      <c r="L49" s="20">
        <f t="shared" ref="L49:L59" si="32">I49/F49</f>
        <v>0</v>
      </c>
      <c r="M49" s="156">
        <f t="shared" ref="M49:M59" si="33">IFERROR(K49/G49,0)</f>
        <v>0</v>
      </c>
      <c r="N49" s="127">
        <v>5</v>
      </c>
      <c r="O49" s="158">
        <v>9</v>
      </c>
      <c r="P49" s="20">
        <f t="shared" ref="P49:P59" si="34">N49/F49</f>
        <v>1</v>
      </c>
      <c r="Q49" s="156">
        <f t="shared" ref="Q49:Q59" si="35">IFERROR(O49/G49,0)</f>
        <v>1</v>
      </c>
      <c r="R49" s="9">
        <f t="shared" ref="R49:R59" si="36">I49+N49</f>
        <v>5</v>
      </c>
      <c r="S49" s="153">
        <f t="shared" ref="S49:S56" si="37">K49+O49</f>
        <v>9</v>
      </c>
      <c r="T49" s="20">
        <f t="shared" ref="T49:T59" si="38">H49+P49</f>
        <v>1</v>
      </c>
      <c r="U49" s="156">
        <f t="shared" ref="U49:U59" si="39">M49+Q49</f>
        <v>1</v>
      </c>
      <c r="V49" s="9">
        <f t="shared" ref="V49:V59" si="40">F49-R49</f>
        <v>0</v>
      </c>
      <c r="W49" s="153">
        <f t="shared" ref="W49:W59" si="41">G49-S49</f>
        <v>0</v>
      </c>
      <c r="X49" s="21">
        <f t="shared" ref="X49:X59" si="42">1-T49</f>
        <v>0</v>
      </c>
      <c r="Y49" s="156">
        <f t="shared" ref="Y49:Y59" si="43">IF(G49 = 0, 0, 1-U49)</f>
        <v>0</v>
      </c>
      <c r="Z49" s="11"/>
      <c r="AA49" s="58"/>
      <c r="AG49" s="9">
        <v>0</v>
      </c>
      <c r="AI49" s="74">
        <v>0</v>
      </c>
      <c r="AJ49" s="74">
        <v>0</v>
      </c>
    </row>
    <row r="50" spans="1:36" ht="21" customHeight="1" x14ac:dyDescent="0.25">
      <c r="A50" s="65"/>
      <c r="B50" s="8">
        <f t="shared" ref="B50:B59" si="44">B49+0.01</f>
        <v>5.0199999999999996</v>
      </c>
      <c r="C50" s="23" t="s">
        <v>38</v>
      </c>
      <c r="D50" s="18" t="s">
        <v>53</v>
      </c>
      <c r="E50" s="137">
        <f>'Performa Invoice (Explained)'!E50</f>
        <v>781.1400000000001</v>
      </c>
      <c r="F50" s="9">
        <f>367.6</f>
        <v>367.6</v>
      </c>
      <c r="G50" s="153">
        <f>1078.51-F50</f>
        <v>710.91</v>
      </c>
      <c r="H50" s="141">
        <v>0</v>
      </c>
      <c r="I50" s="127">
        <v>0</v>
      </c>
      <c r="J50" s="141">
        <v>0</v>
      </c>
      <c r="K50" s="158">
        <v>0</v>
      </c>
      <c r="L50" s="20">
        <f t="shared" si="32"/>
        <v>0</v>
      </c>
      <c r="M50" s="156">
        <f t="shared" si="33"/>
        <v>0</v>
      </c>
      <c r="N50" s="127">
        <v>0</v>
      </c>
      <c r="O50" s="158"/>
      <c r="P50" s="20">
        <f t="shared" si="34"/>
        <v>0</v>
      </c>
      <c r="Q50" s="156">
        <f t="shared" si="35"/>
        <v>0</v>
      </c>
      <c r="R50" s="9">
        <f t="shared" si="36"/>
        <v>0</v>
      </c>
      <c r="S50" s="153">
        <f t="shared" si="37"/>
        <v>0</v>
      </c>
      <c r="T50" s="20">
        <f t="shared" si="38"/>
        <v>0</v>
      </c>
      <c r="U50" s="156">
        <f t="shared" si="39"/>
        <v>0</v>
      </c>
      <c r="V50" s="9">
        <f t="shared" si="40"/>
        <v>367.6</v>
      </c>
      <c r="W50" s="153">
        <f t="shared" si="41"/>
        <v>710.91</v>
      </c>
      <c r="X50" s="21">
        <f t="shared" si="42"/>
        <v>1</v>
      </c>
      <c r="Y50" s="156">
        <f t="shared" si="43"/>
        <v>1</v>
      </c>
      <c r="Z50" s="11"/>
      <c r="AA50" s="58"/>
      <c r="AG50" s="9">
        <v>0</v>
      </c>
      <c r="AI50" s="74">
        <v>0</v>
      </c>
      <c r="AJ50" s="74">
        <v>0</v>
      </c>
    </row>
    <row r="51" spans="1:36" ht="21" customHeight="1" x14ac:dyDescent="0.25">
      <c r="A51" s="65"/>
      <c r="B51" s="8">
        <f t="shared" si="44"/>
        <v>5.0299999999999994</v>
      </c>
      <c r="C51" s="23" t="s">
        <v>39</v>
      </c>
      <c r="D51" s="18" t="s">
        <v>53</v>
      </c>
      <c r="E51" s="137">
        <f>'Performa Invoice (Explained)'!E51</f>
        <v>781.1400000000001</v>
      </c>
      <c r="F51" s="9">
        <f>F50</f>
        <v>367.6</v>
      </c>
      <c r="G51" s="153">
        <f>1078.51-F51</f>
        <v>710.91</v>
      </c>
      <c r="H51" s="141">
        <v>0</v>
      </c>
      <c r="I51" s="127">
        <v>0</v>
      </c>
      <c r="J51" s="141">
        <v>0</v>
      </c>
      <c r="K51" s="158">
        <v>0</v>
      </c>
      <c r="L51" s="20">
        <f t="shared" si="32"/>
        <v>0</v>
      </c>
      <c r="M51" s="156">
        <f t="shared" si="33"/>
        <v>0</v>
      </c>
      <c r="N51" s="127">
        <v>0</v>
      </c>
      <c r="O51" s="158"/>
      <c r="P51" s="20">
        <f t="shared" si="34"/>
        <v>0</v>
      </c>
      <c r="Q51" s="156">
        <f t="shared" si="35"/>
        <v>0</v>
      </c>
      <c r="R51" s="9">
        <f t="shared" si="36"/>
        <v>0</v>
      </c>
      <c r="S51" s="153">
        <f t="shared" si="37"/>
        <v>0</v>
      </c>
      <c r="T51" s="20">
        <f t="shared" si="38"/>
        <v>0</v>
      </c>
      <c r="U51" s="156">
        <f t="shared" si="39"/>
        <v>0</v>
      </c>
      <c r="V51" s="9">
        <f t="shared" si="40"/>
        <v>367.6</v>
      </c>
      <c r="W51" s="153">
        <f t="shared" si="41"/>
        <v>710.91</v>
      </c>
      <c r="X51" s="21">
        <f t="shared" si="42"/>
        <v>1</v>
      </c>
      <c r="Y51" s="156">
        <f t="shared" si="43"/>
        <v>1</v>
      </c>
      <c r="Z51" s="11"/>
      <c r="AA51" s="58"/>
      <c r="AG51" s="9">
        <v>0</v>
      </c>
      <c r="AI51" s="74">
        <v>0</v>
      </c>
      <c r="AJ51" s="74">
        <v>0</v>
      </c>
    </row>
    <row r="52" spans="1:36" ht="21" customHeight="1" x14ac:dyDescent="0.25">
      <c r="A52" s="65"/>
      <c r="B52" s="8">
        <f t="shared" si="44"/>
        <v>5.0399999999999991</v>
      </c>
      <c r="C52" s="23" t="s">
        <v>16</v>
      </c>
      <c r="D52" s="18" t="s">
        <v>53</v>
      </c>
      <c r="E52" s="139">
        <f>'Performa Invoice (Explained)'!E52</f>
        <v>3443</v>
      </c>
      <c r="F52" s="9">
        <f>(F51+(6*30))*3</f>
        <v>1642.8000000000002</v>
      </c>
      <c r="G52" s="153">
        <f>(G51+(8*30)+40.3)*3</f>
        <v>2973.6299999999997</v>
      </c>
      <c r="H52" s="143">
        <v>0</v>
      </c>
      <c r="I52" s="127">
        <v>0</v>
      </c>
      <c r="J52" s="143">
        <v>0</v>
      </c>
      <c r="K52" s="158">
        <v>0</v>
      </c>
      <c r="L52" s="20">
        <f t="shared" si="32"/>
        <v>0</v>
      </c>
      <c r="M52" s="156">
        <f t="shared" si="33"/>
        <v>0</v>
      </c>
      <c r="N52" s="127">
        <v>0</v>
      </c>
      <c r="O52" s="158"/>
      <c r="P52" s="20">
        <f t="shared" si="34"/>
        <v>0</v>
      </c>
      <c r="Q52" s="156">
        <f t="shared" si="35"/>
        <v>0</v>
      </c>
      <c r="R52" s="9">
        <f t="shared" si="36"/>
        <v>0</v>
      </c>
      <c r="S52" s="153">
        <f t="shared" si="37"/>
        <v>0</v>
      </c>
      <c r="T52" s="20">
        <f t="shared" si="38"/>
        <v>0</v>
      </c>
      <c r="U52" s="156">
        <f t="shared" si="39"/>
        <v>0</v>
      </c>
      <c r="V52" s="9">
        <f t="shared" si="40"/>
        <v>1642.8000000000002</v>
      </c>
      <c r="W52" s="153">
        <f t="shared" si="41"/>
        <v>2973.6299999999997</v>
      </c>
      <c r="X52" s="21">
        <f t="shared" si="42"/>
        <v>1</v>
      </c>
      <c r="Y52" s="156">
        <f t="shared" si="43"/>
        <v>1</v>
      </c>
      <c r="Z52" s="11"/>
      <c r="AA52" s="58"/>
      <c r="AG52" s="9">
        <v>0</v>
      </c>
      <c r="AI52" s="74">
        <v>0</v>
      </c>
      <c r="AJ52" s="74">
        <v>0</v>
      </c>
    </row>
    <row r="53" spans="1:36" ht="21" customHeight="1" x14ac:dyDescent="0.25">
      <c r="A53" s="65"/>
      <c r="B53" s="8">
        <f t="shared" si="44"/>
        <v>5.0499999999999989</v>
      </c>
      <c r="C53" s="23" t="s">
        <v>40</v>
      </c>
      <c r="D53" s="18" t="s">
        <v>53</v>
      </c>
      <c r="E53" s="137">
        <f>'Performa Invoice (Explained)'!E53</f>
        <v>781.1400000000001</v>
      </c>
      <c r="F53" s="9">
        <f>F51</f>
        <v>367.6</v>
      </c>
      <c r="G53" s="153">
        <f>1078.51-F53</f>
        <v>710.91</v>
      </c>
      <c r="H53" s="141">
        <v>0</v>
      </c>
      <c r="I53" s="127">
        <v>0</v>
      </c>
      <c r="J53" s="141">
        <v>0</v>
      </c>
      <c r="K53" s="158">
        <v>0</v>
      </c>
      <c r="L53" s="20">
        <f t="shared" si="32"/>
        <v>0</v>
      </c>
      <c r="M53" s="156">
        <f t="shared" si="33"/>
        <v>0</v>
      </c>
      <c r="N53" s="127">
        <v>0</v>
      </c>
      <c r="O53" s="158"/>
      <c r="P53" s="20">
        <f t="shared" si="34"/>
        <v>0</v>
      </c>
      <c r="Q53" s="156">
        <f t="shared" si="35"/>
        <v>0</v>
      </c>
      <c r="R53" s="9">
        <f t="shared" si="36"/>
        <v>0</v>
      </c>
      <c r="S53" s="153">
        <f t="shared" si="37"/>
        <v>0</v>
      </c>
      <c r="T53" s="20">
        <f t="shared" si="38"/>
        <v>0</v>
      </c>
      <c r="U53" s="156">
        <f t="shared" si="39"/>
        <v>0</v>
      </c>
      <c r="V53" s="9">
        <f t="shared" si="40"/>
        <v>367.6</v>
      </c>
      <c r="W53" s="153">
        <f t="shared" si="41"/>
        <v>710.91</v>
      </c>
      <c r="X53" s="21">
        <f t="shared" si="42"/>
        <v>1</v>
      </c>
      <c r="Y53" s="156">
        <f t="shared" si="43"/>
        <v>1</v>
      </c>
      <c r="Z53" s="11"/>
      <c r="AA53" s="58"/>
      <c r="AG53" s="9">
        <v>0</v>
      </c>
      <c r="AI53" s="74">
        <v>0</v>
      </c>
      <c r="AJ53" s="74">
        <v>0</v>
      </c>
    </row>
    <row r="54" spans="1:36" ht="21" customHeight="1" x14ac:dyDescent="0.25">
      <c r="A54" s="65"/>
      <c r="B54" s="8">
        <f t="shared" si="44"/>
        <v>5.0599999999999987</v>
      </c>
      <c r="C54" s="23" t="s">
        <v>41</v>
      </c>
      <c r="D54" s="18" t="s">
        <v>53</v>
      </c>
      <c r="E54" s="137">
        <f>'Performa Invoice (Explained)'!E54</f>
        <v>781.1400000000001</v>
      </c>
      <c r="F54" s="9">
        <f>F53</f>
        <v>367.6</v>
      </c>
      <c r="G54" s="153">
        <f>1078.51-F54</f>
        <v>710.91</v>
      </c>
      <c r="H54" s="141">
        <v>0</v>
      </c>
      <c r="I54" s="127">
        <v>0</v>
      </c>
      <c r="J54" s="141">
        <v>0</v>
      </c>
      <c r="K54" s="158">
        <v>0</v>
      </c>
      <c r="L54" s="20">
        <f t="shared" si="32"/>
        <v>0</v>
      </c>
      <c r="M54" s="156">
        <f t="shared" si="33"/>
        <v>0</v>
      </c>
      <c r="N54" s="127">
        <v>0</v>
      </c>
      <c r="O54" s="158"/>
      <c r="P54" s="20">
        <f t="shared" si="34"/>
        <v>0</v>
      </c>
      <c r="Q54" s="156">
        <f t="shared" si="35"/>
        <v>0</v>
      </c>
      <c r="R54" s="9">
        <f t="shared" si="36"/>
        <v>0</v>
      </c>
      <c r="S54" s="153">
        <f t="shared" si="37"/>
        <v>0</v>
      </c>
      <c r="T54" s="20">
        <f t="shared" si="38"/>
        <v>0</v>
      </c>
      <c r="U54" s="156">
        <f t="shared" si="39"/>
        <v>0</v>
      </c>
      <c r="V54" s="9">
        <f t="shared" si="40"/>
        <v>367.6</v>
      </c>
      <c r="W54" s="153">
        <f t="shared" si="41"/>
        <v>710.91</v>
      </c>
      <c r="X54" s="21">
        <f t="shared" si="42"/>
        <v>1</v>
      </c>
      <c r="Y54" s="156">
        <f t="shared" si="43"/>
        <v>1</v>
      </c>
      <c r="Z54" s="11"/>
      <c r="AA54" s="58"/>
      <c r="AG54" s="9">
        <v>0</v>
      </c>
      <c r="AI54" s="74">
        <v>0</v>
      </c>
      <c r="AJ54" s="74">
        <v>0</v>
      </c>
    </row>
    <row r="55" spans="1:36" ht="21" customHeight="1" x14ac:dyDescent="0.25">
      <c r="A55" s="65"/>
      <c r="B55" s="8">
        <f t="shared" si="44"/>
        <v>5.0699999999999985</v>
      </c>
      <c r="C55" s="23" t="s">
        <v>40</v>
      </c>
      <c r="D55" s="18" t="s">
        <v>53</v>
      </c>
      <c r="E55" s="137">
        <f>'Performa Invoice (Explained)'!E55</f>
        <v>781.1400000000001</v>
      </c>
      <c r="F55" s="9">
        <f>F54</f>
        <v>367.6</v>
      </c>
      <c r="G55" s="153">
        <f>1078.51-F55</f>
        <v>710.91</v>
      </c>
      <c r="H55" s="141">
        <v>0</v>
      </c>
      <c r="I55" s="127">
        <v>0</v>
      </c>
      <c r="J55" s="141">
        <v>0</v>
      </c>
      <c r="K55" s="158">
        <v>0</v>
      </c>
      <c r="L55" s="20">
        <f t="shared" si="32"/>
        <v>0</v>
      </c>
      <c r="M55" s="156">
        <f t="shared" si="33"/>
        <v>0</v>
      </c>
      <c r="N55" s="127">
        <v>0</v>
      </c>
      <c r="O55" s="158"/>
      <c r="P55" s="20">
        <f t="shared" si="34"/>
        <v>0</v>
      </c>
      <c r="Q55" s="156">
        <f t="shared" si="35"/>
        <v>0</v>
      </c>
      <c r="R55" s="9">
        <f t="shared" si="36"/>
        <v>0</v>
      </c>
      <c r="S55" s="153">
        <f t="shared" si="37"/>
        <v>0</v>
      </c>
      <c r="T55" s="20">
        <f t="shared" si="38"/>
        <v>0</v>
      </c>
      <c r="U55" s="156">
        <f t="shared" si="39"/>
        <v>0</v>
      </c>
      <c r="V55" s="9">
        <f t="shared" si="40"/>
        <v>367.6</v>
      </c>
      <c r="W55" s="153">
        <f t="shared" si="41"/>
        <v>710.91</v>
      </c>
      <c r="X55" s="21">
        <f t="shared" si="42"/>
        <v>1</v>
      </c>
      <c r="Y55" s="156">
        <f t="shared" si="43"/>
        <v>1</v>
      </c>
      <c r="Z55" s="11"/>
      <c r="AA55" s="58"/>
      <c r="AG55" s="9">
        <v>0</v>
      </c>
      <c r="AI55" s="74">
        <v>0</v>
      </c>
      <c r="AJ55" s="74">
        <v>0</v>
      </c>
    </row>
    <row r="56" spans="1:36" ht="21" customHeight="1" x14ac:dyDescent="0.25">
      <c r="A56" s="65"/>
      <c r="B56" s="8">
        <f t="shared" si="44"/>
        <v>5.0799999999999983</v>
      </c>
      <c r="C56" s="23" t="s">
        <v>42</v>
      </c>
      <c r="D56" s="18" t="s">
        <v>53</v>
      </c>
      <c r="E56" s="137">
        <f>'Performa Invoice (Explained)'!E56</f>
        <v>781.1400000000001</v>
      </c>
      <c r="F56" s="9">
        <f>F55</f>
        <v>367.6</v>
      </c>
      <c r="G56" s="153">
        <f>1078.51-F56</f>
        <v>710.91</v>
      </c>
      <c r="H56" s="141">
        <v>0</v>
      </c>
      <c r="I56" s="127">
        <v>0</v>
      </c>
      <c r="J56" s="141">
        <v>0</v>
      </c>
      <c r="K56" s="153">
        <v>0</v>
      </c>
      <c r="L56" s="20">
        <f t="shared" si="32"/>
        <v>0</v>
      </c>
      <c r="M56" s="156">
        <f t="shared" si="33"/>
        <v>0</v>
      </c>
      <c r="N56" s="127">
        <v>0</v>
      </c>
      <c r="O56" s="158"/>
      <c r="P56" s="20">
        <f t="shared" si="34"/>
        <v>0</v>
      </c>
      <c r="Q56" s="156">
        <f t="shared" si="35"/>
        <v>0</v>
      </c>
      <c r="R56" s="9">
        <f t="shared" si="36"/>
        <v>0</v>
      </c>
      <c r="S56" s="153">
        <f t="shared" si="37"/>
        <v>0</v>
      </c>
      <c r="T56" s="20">
        <f t="shared" si="38"/>
        <v>0</v>
      </c>
      <c r="U56" s="156">
        <f t="shared" si="39"/>
        <v>0</v>
      </c>
      <c r="V56" s="9">
        <f t="shared" si="40"/>
        <v>367.6</v>
      </c>
      <c r="W56" s="153">
        <f t="shared" si="41"/>
        <v>710.91</v>
      </c>
      <c r="X56" s="21">
        <f t="shared" si="42"/>
        <v>1</v>
      </c>
      <c r="Y56" s="156">
        <f t="shared" si="43"/>
        <v>1</v>
      </c>
      <c r="Z56" s="11"/>
      <c r="AA56" s="58"/>
      <c r="AG56" s="9">
        <v>0</v>
      </c>
      <c r="AI56" s="74">
        <v>0</v>
      </c>
      <c r="AJ56" s="74">
        <v>0</v>
      </c>
    </row>
    <row r="57" spans="1:36" ht="21" customHeight="1" x14ac:dyDescent="0.25">
      <c r="A57" s="65"/>
      <c r="B57" s="8">
        <f t="shared" si="44"/>
        <v>5.0899999999999981</v>
      </c>
      <c r="C57" s="23" t="s">
        <v>43</v>
      </c>
      <c r="D57" s="18" t="s">
        <v>53</v>
      </c>
      <c r="E57" s="137">
        <f>'Performa Invoice (Explained)'!E57</f>
        <v>781.1400000000001</v>
      </c>
      <c r="F57" s="9">
        <f>F56</f>
        <v>367.6</v>
      </c>
      <c r="G57" s="153">
        <f>1078.51-F57</f>
        <v>710.91</v>
      </c>
      <c r="H57" s="141">
        <v>0</v>
      </c>
      <c r="I57" s="127">
        <v>0</v>
      </c>
      <c r="J57" s="141">
        <v>0</v>
      </c>
      <c r="K57" s="153">
        <v>0</v>
      </c>
      <c r="L57" s="20">
        <f t="shared" si="32"/>
        <v>0</v>
      </c>
      <c r="M57" s="156">
        <f t="shared" si="33"/>
        <v>0</v>
      </c>
      <c r="N57" s="127">
        <v>0</v>
      </c>
      <c r="O57" s="158"/>
      <c r="P57" s="20">
        <f t="shared" si="34"/>
        <v>0</v>
      </c>
      <c r="Q57" s="156">
        <f t="shared" si="35"/>
        <v>0</v>
      </c>
      <c r="R57" s="9">
        <f t="shared" si="36"/>
        <v>0</v>
      </c>
      <c r="S57" s="153">
        <f>K57+O57</f>
        <v>0</v>
      </c>
      <c r="T57" s="20">
        <f t="shared" si="38"/>
        <v>0</v>
      </c>
      <c r="U57" s="156">
        <f t="shared" si="39"/>
        <v>0</v>
      </c>
      <c r="V57" s="9">
        <f t="shared" si="40"/>
        <v>367.6</v>
      </c>
      <c r="W57" s="153">
        <f t="shared" si="41"/>
        <v>710.91</v>
      </c>
      <c r="X57" s="21">
        <f t="shared" si="42"/>
        <v>1</v>
      </c>
      <c r="Y57" s="156">
        <f t="shared" si="43"/>
        <v>1</v>
      </c>
      <c r="Z57" s="11"/>
      <c r="AA57" s="58"/>
      <c r="AG57" s="9">
        <v>0</v>
      </c>
      <c r="AI57" s="74">
        <v>0</v>
      </c>
      <c r="AJ57" s="74">
        <v>0</v>
      </c>
    </row>
    <row r="58" spans="1:36" ht="21" customHeight="1" x14ac:dyDescent="0.25">
      <c r="A58" s="65"/>
      <c r="B58" s="8">
        <f t="shared" si="44"/>
        <v>5.0999999999999979</v>
      </c>
      <c r="C58" s="23" t="s">
        <v>44</v>
      </c>
      <c r="D58" s="18" t="s">
        <v>52</v>
      </c>
      <c r="E58" s="137">
        <f>'Performa Invoice (Explained)'!E58</f>
        <v>32</v>
      </c>
      <c r="F58" s="9">
        <f>7*2+2</f>
        <v>16</v>
      </c>
      <c r="G58" s="153">
        <f>8*2</f>
        <v>16</v>
      </c>
      <c r="H58" s="141">
        <v>0</v>
      </c>
      <c r="I58" s="127">
        <v>0</v>
      </c>
      <c r="J58" s="141">
        <v>0</v>
      </c>
      <c r="K58" s="153">
        <v>0</v>
      </c>
      <c r="L58" s="20">
        <f t="shared" si="32"/>
        <v>0</v>
      </c>
      <c r="M58" s="156">
        <f t="shared" si="33"/>
        <v>0</v>
      </c>
      <c r="N58" s="127">
        <v>0</v>
      </c>
      <c r="O58" s="158"/>
      <c r="P58" s="20">
        <f t="shared" si="34"/>
        <v>0</v>
      </c>
      <c r="Q58" s="156">
        <f t="shared" si="35"/>
        <v>0</v>
      </c>
      <c r="R58" s="9">
        <f t="shared" si="36"/>
        <v>0</v>
      </c>
      <c r="S58" s="153">
        <f t="shared" ref="S58:S59" si="45">K58+O58</f>
        <v>0</v>
      </c>
      <c r="T58" s="20">
        <f t="shared" si="38"/>
        <v>0</v>
      </c>
      <c r="U58" s="156">
        <f t="shared" si="39"/>
        <v>0</v>
      </c>
      <c r="V58" s="9">
        <f t="shared" si="40"/>
        <v>16</v>
      </c>
      <c r="W58" s="153">
        <f t="shared" si="41"/>
        <v>16</v>
      </c>
      <c r="X58" s="21">
        <f t="shared" si="42"/>
        <v>1</v>
      </c>
      <c r="Y58" s="156">
        <f t="shared" si="43"/>
        <v>1</v>
      </c>
      <c r="Z58" s="11"/>
      <c r="AA58" s="58"/>
      <c r="AG58" s="9">
        <v>0</v>
      </c>
      <c r="AI58" s="74">
        <v>0</v>
      </c>
      <c r="AJ58" s="74">
        <v>0</v>
      </c>
    </row>
    <row r="59" spans="1:36" ht="21" customHeight="1" x14ac:dyDescent="0.25">
      <c r="A59" s="65"/>
      <c r="B59" s="8">
        <f t="shared" si="44"/>
        <v>5.1099999999999977</v>
      </c>
      <c r="C59" s="23" t="s">
        <v>45</v>
      </c>
      <c r="D59" s="18" t="s">
        <v>52</v>
      </c>
      <c r="E59" s="137">
        <f>'Performa Invoice (Explained)'!E59</f>
        <v>96</v>
      </c>
      <c r="F59" s="9">
        <f>F58*3-3</f>
        <v>45</v>
      </c>
      <c r="G59" s="153">
        <f>G58*3+3</f>
        <v>51</v>
      </c>
      <c r="H59" s="141">
        <v>0</v>
      </c>
      <c r="I59" s="127">
        <v>0</v>
      </c>
      <c r="J59" s="141">
        <v>0</v>
      </c>
      <c r="K59" s="153">
        <v>0</v>
      </c>
      <c r="L59" s="20">
        <f t="shared" si="32"/>
        <v>0</v>
      </c>
      <c r="M59" s="156">
        <f t="shared" si="33"/>
        <v>0</v>
      </c>
      <c r="N59" s="127">
        <v>0</v>
      </c>
      <c r="O59" s="158"/>
      <c r="P59" s="20">
        <f t="shared" si="34"/>
        <v>0</v>
      </c>
      <c r="Q59" s="156">
        <f t="shared" si="35"/>
        <v>0</v>
      </c>
      <c r="R59" s="9">
        <f t="shared" si="36"/>
        <v>0</v>
      </c>
      <c r="S59" s="153">
        <f t="shared" si="45"/>
        <v>0</v>
      </c>
      <c r="T59" s="20">
        <f t="shared" si="38"/>
        <v>0</v>
      </c>
      <c r="U59" s="156">
        <f t="shared" si="39"/>
        <v>0</v>
      </c>
      <c r="V59" s="9">
        <f t="shared" si="40"/>
        <v>45</v>
      </c>
      <c r="W59" s="153">
        <f t="shared" si="41"/>
        <v>51</v>
      </c>
      <c r="X59" s="21">
        <f t="shared" si="42"/>
        <v>1</v>
      </c>
      <c r="Y59" s="156">
        <f t="shared" si="43"/>
        <v>1</v>
      </c>
      <c r="Z59" s="11"/>
      <c r="AA59" s="58"/>
      <c r="AG59" s="9">
        <v>0</v>
      </c>
      <c r="AI59" s="74">
        <v>0</v>
      </c>
      <c r="AJ59" s="74">
        <v>0</v>
      </c>
    </row>
    <row r="60" spans="1:36" ht="20.100000000000001" customHeight="1" x14ac:dyDescent="0.25">
      <c r="A60" s="65"/>
      <c r="B60" s="167" t="s">
        <v>46</v>
      </c>
      <c r="C60" s="168"/>
      <c r="D60" s="14"/>
      <c r="E60" s="14"/>
      <c r="F60" s="14"/>
      <c r="G60" s="154"/>
      <c r="H60" s="154"/>
      <c r="I60" s="26"/>
      <c r="J60" s="26"/>
      <c r="K60" s="154"/>
      <c r="L60" s="26"/>
      <c r="M60" s="157"/>
      <c r="N60" s="26"/>
      <c r="O60" s="154"/>
      <c r="P60" s="26"/>
      <c r="Q60" s="157"/>
      <c r="R60" s="26"/>
      <c r="S60" s="154"/>
      <c r="T60" s="26"/>
      <c r="U60" s="157"/>
      <c r="V60" s="26"/>
      <c r="W60" s="154"/>
      <c r="X60" s="26"/>
      <c r="Y60" s="157"/>
      <c r="Z60" s="26"/>
      <c r="AA60" s="58"/>
      <c r="AI60" s="74"/>
      <c r="AJ60" s="74"/>
    </row>
    <row r="61" spans="1:36" ht="13.5" customHeight="1" x14ac:dyDescent="0.25">
      <c r="A61" s="65"/>
      <c r="AA61" s="58"/>
    </row>
    <row r="62" spans="1:36" ht="18" customHeight="1" x14ac:dyDescent="0.25">
      <c r="A62" s="65"/>
      <c r="B62" s="41" t="s">
        <v>78</v>
      </c>
      <c r="C62" s="42"/>
      <c r="D62" s="42"/>
      <c r="E62" s="42"/>
      <c r="F62" s="42"/>
      <c r="G62" s="42"/>
      <c r="H62" s="42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6"/>
      <c r="AA62" s="58"/>
    </row>
    <row r="63" spans="1:36" ht="16.5" customHeight="1" x14ac:dyDescent="0.25">
      <c r="A63" s="65"/>
      <c r="B63" s="47" t="s">
        <v>79</v>
      </c>
      <c r="C63" s="48"/>
      <c r="D63" s="48"/>
      <c r="E63" s="48"/>
      <c r="F63" s="48"/>
      <c r="G63" s="48"/>
      <c r="H63" s="48"/>
      <c r="I63" s="48" t="s">
        <v>47</v>
      </c>
      <c r="J63" s="49"/>
      <c r="K63" s="49"/>
      <c r="L63" s="49"/>
      <c r="M63" s="49"/>
      <c r="N63" s="49"/>
      <c r="O63" s="49"/>
      <c r="P63" s="48" t="s">
        <v>80</v>
      </c>
      <c r="Q63" s="48"/>
      <c r="R63" s="49"/>
      <c r="S63" s="49"/>
      <c r="T63" s="49"/>
      <c r="U63" s="49"/>
      <c r="V63" s="49"/>
      <c r="W63" s="49"/>
      <c r="X63" s="49"/>
      <c r="Y63" s="49"/>
      <c r="Z63" s="50"/>
      <c r="AA63" s="58"/>
    </row>
    <row r="64" spans="1:36" ht="17.25" customHeight="1" x14ac:dyDescent="0.25">
      <c r="A64" s="65"/>
      <c r="B64" s="47" t="s">
        <v>48</v>
      </c>
      <c r="C64" s="48"/>
      <c r="D64" s="48"/>
      <c r="E64" s="48"/>
      <c r="F64" s="48"/>
      <c r="G64" s="48"/>
      <c r="H64" s="48"/>
      <c r="I64" s="48" t="s">
        <v>50</v>
      </c>
      <c r="J64" s="49"/>
      <c r="K64" s="49"/>
      <c r="L64" s="49"/>
      <c r="M64" s="49"/>
      <c r="N64" s="49"/>
      <c r="O64" s="49"/>
      <c r="P64" s="48" t="s">
        <v>49</v>
      </c>
      <c r="Q64" s="48"/>
      <c r="R64" s="49"/>
      <c r="S64" s="49"/>
      <c r="T64" s="49"/>
      <c r="U64" s="49"/>
      <c r="V64" s="49"/>
      <c r="W64" s="49"/>
      <c r="X64" s="49"/>
      <c r="Y64" s="49"/>
      <c r="Z64" s="50"/>
      <c r="AA64" s="58"/>
    </row>
    <row r="65" spans="1:27" ht="41.25" customHeight="1" x14ac:dyDescent="0.25">
      <c r="A65" s="65"/>
      <c r="B65" s="51"/>
      <c r="C65" s="52"/>
      <c r="D65" s="52"/>
      <c r="E65" s="52"/>
      <c r="F65" s="52"/>
      <c r="G65" s="52"/>
      <c r="H65" s="52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6"/>
      <c r="AA65" s="58"/>
    </row>
    <row r="66" spans="1:27" ht="18" customHeight="1" x14ac:dyDescent="0.25">
      <c r="A66" s="65"/>
      <c r="B66" s="41" t="s">
        <v>59</v>
      </c>
      <c r="C66" s="42"/>
      <c r="D66" s="42"/>
      <c r="E66" s="42"/>
      <c r="F66" s="42"/>
      <c r="G66" s="42"/>
      <c r="H66" s="42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6"/>
      <c r="AA66" s="58"/>
    </row>
    <row r="67" spans="1:27" ht="18.75" customHeight="1" x14ac:dyDescent="0.25">
      <c r="A67" s="65"/>
      <c r="B67" s="47" t="s">
        <v>81</v>
      </c>
      <c r="C67" s="48"/>
      <c r="D67" s="48"/>
      <c r="E67" s="48"/>
      <c r="F67" s="48"/>
      <c r="G67" s="48"/>
      <c r="H67" s="48"/>
      <c r="I67" s="48" t="s">
        <v>47</v>
      </c>
      <c r="J67" s="49"/>
      <c r="K67" s="49"/>
      <c r="L67" s="49"/>
      <c r="M67" s="49"/>
      <c r="N67" s="49"/>
      <c r="O67" s="49"/>
      <c r="P67" s="48" t="s">
        <v>80</v>
      </c>
      <c r="Q67" s="48"/>
      <c r="R67" s="49"/>
      <c r="S67" s="49"/>
      <c r="T67" s="49"/>
      <c r="U67" s="49"/>
      <c r="V67" s="49"/>
      <c r="W67" s="49"/>
      <c r="X67" s="49"/>
      <c r="Y67" s="49"/>
      <c r="Z67" s="50"/>
      <c r="AA67" s="58"/>
    </row>
    <row r="68" spans="1:27" ht="14.45" customHeight="1" x14ac:dyDescent="0.25">
      <c r="A68" s="65"/>
      <c r="B68" s="47" t="s">
        <v>82</v>
      </c>
      <c r="I68" s="48" t="s">
        <v>50</v>
      </c>
      <c r="P68" s="48" t="s">
        <v>49</v>
      </c>
      <c r="Q68" s="48"/>
      <c r="Z68" s="58"/>
      <c r="AA68" s="58"/>
    </row>
    <row r="69" spans="1:27" ht="55.5" customHeight="1" x14ac:dyDescent="0.25">
      <c r="A69" s="65"/>
      <c r="B69" s="59"/>
      <c r="C69" s="60"/>
      <c r="D69" s="60"/>
      <c r="E69" s="60"/>
      <c r="F69" s="60"/>
      <c r="G69" s="60"/>
      <c r="H69" s="60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61"/>
      <c r="AA69" s="58"/>
    </row>
    <row r="70" spans="1:27" ht="11.25" customHeight="1" x14ac:dyDescent="0.25">
      <c r="A70" s="59"/>
      <c r="B70" s="60"/>
      <c r="C70" s="60"/>
      <c r="D70" s="60"/>
      <c r="E70" s="60"/>
      <c r="F70" s="60"/>
      <c r="G70" s="60"/>
      <c r="H70" s="60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60"/>
      <c r="AA70" s="61"/>
    </row>
    <row r="73" spans="1:27" ht="21" customHeight="1" thickBot="1" x14ac:dyDescent="0.3">
      <c r="A73" s="15"/>
      <c r="B73" s="16"/>
      <c r="C73" s="16"/>
      <c r="D73" s="16"/>
      <c r="E73" s="16"/>
      <c r="F73" s="16"/>
      <c r="G73" s="16"/>
      <c r="H73" s="16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16"/>
      <c r="AA73" s="17"/>
    </row>
    <row r="87" spans="11:11" ht="21" customHeight="1" x14ac:dyDescent="0.25">
      <c r="K87" s="174"/>
    </row>
  </sheetData>
  <sheetProtection selectLockedCells="1"/>
  <mergeCells count="5">
    <mergeCell ref="R3:T3"/>
    <mergeCell ref="R5:T5"/>
    <mergeCell ref="V5:X5"/>
    <mergeCell ref="B9:Z9"/>
    <mergeCell ref="B60:C60"/>
  </mergeCells>
  <conditionalFormatting sqref="A11:I60">
    <cfRule type="cellIs" dxfId="6" priority="12" operator="equal">
      <formula>0</formula>
    </cfRule>
  </conditionalFormatting>
  <conditionalFormatting sqref="A1:XFD10 K11:XFD60 A61:XFD1048576">
    <cfRule type="cellIs" dxfId="0" priority="14" operator="equal">
      <formula>0</formula>
    </cfRule>
  </conditionalFormatting>
  <conditionalFormatting sqref="J11:J59">
    <cfRule type="cellIs" dxfId="5" priority="1" operator="equal">
      <formula>0</formula>
    </cfRule>
  </conditionalFormatting>
  <printOptions horizontalCentered="1"/>
  <pageMargins left="0.25" right="0.25" top="0.25" bottom="0.25" header="0.3" footer="0.3"/>
  <pageSetup paperSize="8" scale="51" fitToHeight="0" orientation="landscape" r:id="rId1"/>
  <ignoredErrors>
    <ignoredError sqref="G52 T13:T59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E79F9-1B4D-4A63-B21D-B384491B7EB3}">
  <sheetPr>
    <pageSetUpPr fitToPage="1"/>
  </sheetPr>
  <dimension ref="A1:AB72"/>
  <sheetViews>
    <sheetView showGridLines="0" view="pageBreakPreview" zoomScale="115" zoomScaleNormal="100" zoomScaleSheetLayoutView="115" workbookViewId="0">
      <pane ySplit="10" topLeftCell="A20" activePane="bottomLeft" state="frozen"/>
      <selection pane="bottomLeft" activeCell="N22" sqref="N22"/>
    </sheetView>
  </sheetViews>
  <sheetFormatPr defaultColWidth="9.28515625" defaultRowHeight="21" customHeight="1" x14ac:dyDescent="0.25"/>
  <cols>
    <col min="1" max="1" width="2.42578125" style="1" customWidth="1"/>
    <col min="2" max="2" width="7.5703125" style="1" customWidth="1"/>
    <col min="3" max="3" width="39.85546875" style="1" bestFit="1" customWidth="1"/>
    <col min="4" max="4" width="7.140625" style="1" customWidth="1"/>
    <col min="5" max="5" width="11.28515625" style="32" bestFit="1" customWidth="1"/>
    <col min="6" max="6" width="11.28515625" style="32" customWidth="1"/>
    <col min="7" max="7" width="9.7109375" style="34" customWidth="1"/>
    <col min="8" max="9" width="12.140625" style="34" customWidth="1"/>
    <col min="10" max="10" width="9.140625" style="34" customWidth="1"/>
    <col min="11" max="11" width="14.140625" style="34" customWidth="1"/>
    <col min="12" max="12" width="16.42578125" style="34" bestFit="1" customWidth="1"/>
    <col min="13" max="13" width="12.28515625" style="34" customWidth="1"/>
    <col min="14" max="14" width="15.28515625" style="34" customWidth="1"/>
    <col min="15" max="15" width="14.5703125" style="34" customWidth="1"/>
    <col min="16" max="16" width="11.28515625" style="34" customWidth="1"/>
    <col min="17" max="17" width="10.7109375" style="34" customWidth="1"/>
    <col min="18" max="18" width="17.7109375" style="1" customWidth="1"/>
    <col min="19" max="19" width="2.5703125" style="1" customWidth="1"/>
    <col min="20" max="20" width="9.28515625" style="1"/>
    <col min="21" max="22" width="9.28515625" style="1" hidden="1" customWidth="1"/>
    <col min="23" max="23" width="9" style="1" hidden="1" customWidth="1"/>
    <col min="24" max="24" width="9.28515625" style="1" hidden="1" customWidth="1"/>
    <col min="25" max="25" width="11.28515625" style="1" bestFit="1" customWidth="1"/>
    <col min="26" max="26" width="9.28515625" style="1"/>
    <col min="27" max="27" width="13.42578125" style="1" bestFit="1" customWidth="1"/>
    <col min="28" max="16384" width="9.28515625" style="1"/>
  </cols>
  <sheetData>
    <row r="1" spans="1:28" ht="9.6" customHeight="1" x14ac:dyDescent="0.25">
      <c r="A1" s="62"/>
      <c r="B1" s="63"/>
      <c r="C1" s="63"/>
      <c r="D1" s="63"/>
      <c r="E1" s="43"/>
      <c r="F1" s="43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63"/>
      <c r="S1" s="64"/>
    </row>
    <row r="2" spans="1:28" ht="41.25" customHeight="1" x14ac:dyDescent="0.25">
      <c r="A2" s="65"/>
      <c r="E2" s="57"/>
      <c r="F2" s="57"/>
      <c r="S2" s="58"/>
    </row>
    <row r="3" spans="1:28" ht="12.75" customHeight="1" x14ac:dyDescent="0.25">
      <c r="A3" s="65"/>
      <c r="B3" s="48" t="s">
        <v>0</v>
      </c>
      <c r="E3" s="57"/>
      <c r="F3" s="57"/>
      <c r="N3" s="162" t="s">
        <v>58</v>
      </c>
      <c r="O3" s="162"/>
      <c r="P3" s="66">
        <v>45791</v>
      </c>
      <c r="Q3" s="66">
        <v>45839</v>
      </c>
      <c r="R3" s="67"/>
      <c r="S3" s="58"/>
    </row>
    <row r="4" spans="1:28" ht="12.75" customHeight="1" x14ac:dyDescent="0.25">
      <c r="A4" s="65"/>
      <c r="B4" s="48" t="s">
        <v>1</v>
      </c>
      <c r="E4" s="57"/>
      <c r="F4" s="57"/>
      <c r="S4" s="58"/>
    </row>
    <row r="5" spans="1:28" ht="12.75" customHeight="1" x14ac:dyDescent="0.25">
      <c r="A5" s="65"/>
      <c r="B5" s="48" t="s">
        <v>2</v>
      </c>
      <c r="E5" s="57"/>
      <c r="F5" s="57"/>
      <c r="N5" s="162" t="s">
        <v>57</v>
      </c>
      <c r="O5" s="162"/>
      <c r="P5" s="163">
        <v>45844</v>
      </c>
      <c r="Q5" s="163"/>
      <c r="R5" s="68"/>
      <c r="S5" s="58"/>
    </row>
    <row r="6" spans="1:28" ht="2.4500000000000002" customHeight="1" x14ac:dyDescent="0.25">
      <c r="A6" s="65"/>
      <c r="E6" s="57"/>
      <c r="F6" s="57"/>
      <c r="S6" s="58"/>
    </row>
    <row r="7" spans="1:28" ht="21" hidden="1" customHeight="1" x14ac:dyDescent="0.25">
      <c r="A7" s="65"/>
      <c r="B7" s="1" t="s">
        <v>3</v>
      </c>
      <c r="E7" s="57"/>
      <c r="F7" s="57"/>
      <c r="S7" s="58"/>
    </row>
    <row r="8" spans="1:28" ht="21" hidden="1" customHeight="1" x14ac:dyDescent="0.25">
      <c r="A8" s="65"/>
      <c r="B8" s="2">
        <f>'[1]Construction Summary'!$M$2</f>
        <v>6409553.3849999998</v>
      </c>
      <c r="E8" s="57"/>
      <c r="F8" s="57"/>
      <c r="S8" s="58"/>
    </row>
    <row r="9" spans="1:28" s="3" customFormat="1" ht="21" customHeight="1" x14ac:dyDescent="0.25">
      <c r="A9" s="69"/>
      <c r="B9" s="164" t="s">
        <v>100</v>
      </c>
      <c r="C9" s="165"/>
      <c r="D9" s="165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6"/>
      <c r="S9" s="70"/>
    </row>
    <row r="10" spans="1:28" s="5" customFormat="1" ht="87.75" x14ac:dyDescent="0.25">
      <c r="A10" s="71"/>
      <c r="B10" s="4" t="s">
        <v>4</v>
      </c>
      <c r="C10" s="4" t="s">
        <v>5</v>
      </c>
      <c r="D10" s="4" t="s">
        <v>51</v>
      </c>
      <c r="E10" s="28" t="s">
        <v>60</v>
      </c>
      <c r="F10" s="136" t="s">
        <v>101</v>
      </c>
      <c r="G10" s="4" t="s">
        <v>61</v>
      </c>
      <c r="H10" s="4" t="s">
        <v>62</v>
      </c>
      <c r="I10" s="140" t="s">
        <v>102</v>
      </c>
      <c r="J10" s="4" t="s">
        <v>63</v>
      </c>
      <c r="K10" s="140" t="s">
        <v>103</v>
      </c>
      <c r="L10" s="4" t="s">
        <v>64</v>
      </c>
      <c r="M10" s="4" t="s">
        <v>65</v>
      </c>
      <c r="N10" s="4" t="s">
        <v>66</v>
      </c>
      <c r="O10" s="147" t="s">
        <v>107</v>
      </c>
      <c r="P10" s="4" t="s">
        <v>68</v>
      </c>
      <c r="Q10" s="4" t="s">
        <v>69</v>
      </c>
      <c r="R10" s="4" t="s">
        <v>6</v>
      </c>
      <c r="S10" s="72"/>
      <c r="AA10" s="73" t="s">
        <v>62</v>
      </c>
      <c r="AB10" s="73" t="s">
        <v>64</v>
      </c>
    </row>
    <row r="11" spans="1:28" ht="20.100000000000001" customHeight="1" x14ac:dyDescent="0.25">
      <c r="A11" s="65"/>
      <c r="B11" s="6">
        <v>1</v>
      </c>
      <c r="C11" s="19" t="s">
        <v>7</v>
      </c>
      <c r="D11" s="19"/>
      <c r="E11" s="29"/>
      <c r="F11" s="6"/>
      <c r="G11" s="19"/>
      <c r="H11" s="128"/>
      <c r="I11" s="131"/>
      <c r="J11" s="7"/>
      <c r="K11" s="131"/>
      <c r="L11" s="128"/>
      <c r="M11" s="7"/>
      <c r="N11" s="7"/>
      <c r="O11" s="7"/>
      <c r="P11" s="7"/>
      <c r="Q11" s="7"/>
      <c r="R11" s="7"/>
      <c r="S11" s="58"/>
      <c r="AA11" s="74"/>
      <c r="AB11" s="74"/>
    </row>
    <row r="12" spans="1:28" ht="20.100000000000001" customHeight="1" x14ac:dyDescent="0.25">
      <c r="A12" s="65"/>
      <c r="B12" s="8">
        <v>1.01</v>
      </c>
      <c r="C12" s="18" t="s">
        <v>8</v>
      </c>
      <c r="D12" s="18" t="s">
        <v>52</v>
      </c>
      <c r="E12" s="9">
        <v>1</v>
      </c>
      <c r="F12" s="137">
        <f>'Performa Invoice (Explained)'!E13</f>
        <v>1</v>
      </c>
      <c r="G12" s="20">
        <f>E12/E12</f>
        <v>1</v>
      </c>
      <c r="H12" s="127">
        <v>1</v>
      </c>
      <c r="I12" s="141">
        <f>'Performa Invoice (Explained)'!I13</f>
        <v>1</v>
      </c>
      <c r="J12" s="20">
        <f>H12/E12</f>
        <v>1</v>
      </c>
      <c r="K12" s="141">
        <f>'Performa Invoice (Explained)'!K13</f>
        <v>0</v>
      </c>
      <c r="L12" s="127">
        <v>0</v>
      </c>
      <c r="M12" s="20">
        <f>L12/E12</f>
        <v>0</v>
      </c>
      <c r="N12" s="9">
        <f>H12+L12</f>
        <v>1</v>
      </c>
      <c r="O12" s="20">
        <f>I12+M12</f>
        <v>1</v>
      </c>
      <c r="P12" s="9">
        <f>E12-N12</f>
        <v>0</v>
      </c>
      <c r="Q12" s="21">
        <f>G12-O12</f>
        <v>0</v>
      </c>
      <c r="R12" s="27" t="s">
        <v>70</v>
      </c>
      <c r="S12" s="58"/>
      <c r="Y12" s="9">
        <v>0</v>
      </c>
      <c r="AA12" s="74">
        <v>1</v>
      </c>
      <c r="AB12" s="74">
        <v>0</v>
      </c>
    </row>
    <row r="13" spans="1:28" ht="20.100000000000001" customHeight="1" x14ac:dyDescent="0.25">
      <c r="A13" s="65"/>
      <c r="B13" s="6">
        <v>2</v>
      </c>
      <c r="C13" s="19" t="s">
        <v>9</v>
      </c>
      <c r="D13" s="19"/>
      <c r="E13" s="29"/>
      <c r="F13" s="29"/>
      <c r="G13" s="19"/>
      <c r="H13" s="128"/>
      <c r="I13" s="131"/>
      <c r="J13" s="7"/>
      <c r="K13" s="131"/>
      <c r="L13" s="128"/>
      <c r="M13" s="7"/>
      <c r="N13" s="7"/>
      <c r="O13" s="7"/>
      <c r="P13" s="7"/>
      <c r="Q13" s="7"/>
      <c r="R13" s="7"/>
      <c r="S13" s="58"/>
      <c r="Y13" s="7"/>
      <c r="AA13" s="74"/>
      <c r="AB13" s="74"/>
    </row>
    <row r="14" spans="1:28" ht="20.100000000000001" customHeight="1" x14ac:dyDescent="0.25">
      <c r="A14" s="65"/>
      <c r="B14" s="8">
        <f>B13+0.01</f>
        <v>2.0099999999999998</v>
      </c>
      <c r="C14" s="18" t="s">
        <v>73</v>
      </c>
      <c r="D14" s="18" t="s">
        <v>53</v>
      </c>
      <c r="E14" s="9">
        <v>11870.597999999998</v>
      </c>
      <c r="F14" s="138">
        <f>'Performa Invoice (Explained)'!E15</f>
        <v>11965.44</v>
      </c>
      <c r="G14" s="20">
        <f t="shared" ref="G14:G58" si="0">E14/E14</f>
        <v>1</v>
      </c>
      <c r="H14" s="127">
        <v>11965.44</v>
      </c>
      <c r="I14" s="142">
        <f>'Performa Invoice (Explained)'!I15</f>
        <v>1</v>
      </c>
      <c r="J14" s="20">
        <f t="shared" ref="J14:J58" si="1">H14/E14</f>
        <v>1.0079896564604414</v>
      </c>
      <c r="K14" s="142">
        <f>'Performa Invoice (Explained)'!K15</f>
        <v>7.9896564604413634E-3</v>
      </c>
      <c r="L14" s="127">
        <v>0</v>
      </c>
      <c r="M14" s="20">
        <f t="shared" ref="M14:M58" si="2">L14/E14</f>
        <v>0</v>
      </c>
      <c r="N14" s="9">
        <f>H14+L14</f>
        <v>11965.44</v>
      </c>
      <c r="O14" s="20">
        <f t="shared" ref="O14:O18" si="3">I14+M14</f>
        <v>1</v>
      </c>
      <c r="P14" s="9">
        <f>E14-N14</f>
        <v>-94.842000000002372</v>
      </c>
      <c r="Q14" s="21">
        <f>G14-O14</f>
        <v>0</v>
      </c>
      <c r="R14" s="27" t="s">
        <v>70</v>
      </c>
      <c r="S14" s="58"/>
      <c r="Y14" s="9">
        <v>0</v>
      </c>
      <c r="AA14" s="74">
        <v>11965.44</v>
      </c>
      <c r="AB14" s="74">
        <v>0</v>
      </c>
    </row>
    <row r="15" spans="1:28" ht="20.100000000000001" customHeight="1" x14ac:dyDescent="0.25">
      <c r="A15" s="65"/>
      <c r="B15" s="8">
        <f t="shared" ref="B15:B16" si="4">B14+0.01</f>
        <v>2.0199999999999996</v>
      </c>
      <c r="C15" s="18" t="s">
        <v>10</v>
      </c>
      <c r="D15" s="18" t="s">
        <v>53</v>
      </c>
      <c r="E15" s="9">
        <v>11870.597999999998</v>
      </c>
      <c r="F15" s="138">
        <f>'Performa Invoice (Explained)'!E16</f>
        <v>11965.44</v>
      </c>
      <c r="G15" s="20">
        <f t="shared" si="0"/>
        <v>1</v>
      </c>
      <c r="H15" s="127">
        <v>11525.111808</v>
      </c>
      <c r="I15" s="142">
        <f>'Performa Invoice (Explained)'!I16</f>
        <v>0.96319999999999995</v>
      </c>
      <c r="J15" s="20">
        <f t="shared" si="1"/>
        <v>0.97089563710269711</v>
      </c>
      <c r="K15" s="142">
        <f>'Performa Invoice (Explained)'!K16</f>
        <v>7.6956371026971615E-3</v>
      </c>
      <c r="L15" s="127">
        <v>0</v>
      </c>
      <c r="M15" s="20">
        <f t="shared" si="2"/>
        <v>0</v>
      </c>
      <c r="N15" s="9">
        <f>H15+L15</f>
        <v>11525.111808</v>
      </c>
      <c r="O15" s="20">
        <f t="shared" si="3"/>
        <v>0.96319999999999995</v>
      </c>
      <c r="P15" s="9">
        <f>E15-N15</f>
        <v>345.48619199999848</v>
      </c>
      <c r="Q15" s="21">
        <f t="shared" ref="Q15:Q18" si="5">G15-O15</f>
        <v>3.6800000000000055E-2</v>
      </c>
      <c r="R15" s="10"/>
      <c r="S15" s="58"/>
      <c r="Y15" s="9">
        <v>0</v>
      </c>
      <c r="AA15" s="74">
        <v>11525.111808</v>
      </c>
      <c r="AB15" s="74">
        <v>0</v>
      </c>
    </row>
    <row r="16" spans="1:28" ht="20.100000000000001" customHeight="1" x14ac:dyDescent="0.25">
      <c r="A16" s="65"/>
      <c r="B16" s="8">
        <f t="shared" si="4"/>
        <v>2.0299999999999994</v>
      </c>
      <c r="C16" s="18" t="s">
        <v>11</v>
      </c>
      <c r="D16" s="18" t="s">
        <v>53</v>
      </c>
      <c r="E16" s="9">
        <v>11870.597999999998</v>
      </c>
      <c r="F16" s="138">
        <f>'Performa Invoice (Explained)'!E17</f>
        <v>11965.44</v>
      </c>
      <c r="G16" s="20">
        <f t="shared" si="0"/>
        <v>1</v>
      </c>
      <c r="H16" s="127">
        <v>10563.090432000001</v>
      </c>
      <c r="I16" s="142">
        <f>'Performa Invoice (Explained)'!I17</f>
        <v>0.88280000000000003</v>
      </c>
      <c r="J16" s="20">
        <f t="shared" si="1"/>
        <v>0.88985326872327764</v>
      </c>
      <c r="K16" s="142">
        <f>'Performa Invoice (Explained)'!K17</f>
        <v>7.0532687232776059E-3</v>
      </c>
      <c r="L16" s="127">
        <v>835.25856800000099</v>
      </c>
      <c r="M16" s="20">
        <f t="shared" si="2"/>
        <v>7.0363647054680914E-2</v>
      </c>
      <c r="N16" s="9">
        <f>H16+L16</f>
        <v>11398.349000000002</v>
      </c>
      <c r="O16" s="20">
        <f t="shared" si="3"/>
        <v>0.95316364705468093</v>
      </c>
      <c r="P16" s="9">
        <f>E16-N16</f>
        <v>472.24899999999616</v>
      </c>
      <c r="Q16" s="21">
        <f t="shared" si="5"/>
        <v>4.6836352945319071E-2</v>
      </c>
      <c r="R16" s="10"/>
      <c r="S16" s="58"/>
      <c r="Y16" s="9">
        <v>0</v>
      </c>
      <c r="AA16" s="74">
        <v>10563.090432000001</v>
      </c>
      <c r="AB16" s="74">
        <v>0</v>
      </c>
    </row>
    <row r="17" spans="1:28" ht="20.100000000000001" customHeight="1" x14ac:dyDescent="0.25">
      <c r="A17" s="65"/>
      <c r="B17" s="8">
        <v>2.0399999999999991</v>
      </c>
      <c r="C17" s="18" t="s">
        <v>71</v>
      </c>
      <c r="D17" s="18" t="s">
        <v>53</v>
      </c>
      <c r="E17" s="9">
        <v>11870.597999999998</v>
      </c>
      <c r="F17" s="138">
        <f>'Performa Invoice (Explained)'!E18</f>
        <v>11965.44</v>
      </c>
      <c r="G17" s="20">
        <f t="shared" si="0"/>
        <v>1</v>
      </c>
      <c r="H17" s="127">
        <v>9569.9589120000001</v>
      </c>
      <c r="I17" s="142">
        <f>'Performa Invoice (Explained)'!I18</f>
        <v>0.79979999999999996</v>
      </c>
      <c r="J17" s="20">
        <f t="shared" si="1"/>
        <v>0.80619012723706096</v>
      </c>
      <c r="K17" s="142">
        <f>'Performa Invoice (Explained)'!K18</f>
        <v>6.3901272370610052E-3</v>
      </c>
      <c r="L17" s="127">
        <v>636.50008800000069</v>
      </c>
      <c r="M17" s="20">
        <f t="shared" si="2"/>
        <v>5.3619884019322432E-2</v>
      </c>
      <c r="N17" s="9">
        <f>H17+L17</f>
        <v>10206.459000000001</v>
      </c>
      <c r="O17" s="20">
        <f t="shared" si="3"/>
        <v>0.85341988401932234</v>
      </c>
      <c r="P17" s="9">
        <f>E17-N17</f>
        <v>1664.1389999999974</v>
      </c>
      <c r="Q17" s="21">
        <f t="shared" si="5"/>
        <v>0.14658011598067766</v>
      </c>
      <c r="R17" s="10"/>
      <c r="S17" s="58"/>
      <c r="U17" s="1">
        <f>5470</f>
        <v>5470</v>
      </c>
      <c r="V17" s="1">
        <f>9198.45-7279.01</f>
        <v>1919.4400000000005</v>
      </c>
      <c r="W17" s="1">
        <f>10948.64-9331.45</f>
        <v>1617.1899999999987</v>
      </c>
      <c r="X17" s="1">
        <v>30</v>
      </c>
      <c r="Y17" s="9">
        <v>0</v>
      </c>
      <c r="AA17" s="74">
        <v>9569.9589120000001</v>
      </c>
      <c r="AB17" s="74">
        <v>0</v>
      </c>
    </row>
    <row r="18" spans="1:28" ht="20.100000000000001" customHeight="1" x14ac:dyDescent="0.25">
      <c r="A18" s="65"/>
      <c r="B18" s="8">
        <f>B17+0.01</f>
        <v>2.0499999999999989</v>
      </c>
      <c r="C18" s="18" t="s">
        <v>72</v>
      </c>
      <c r="D18" s="18" t="s">
        <v>53</v>
      </c>
      <c r="E18" s="9">
        <v>11870.597999999998</v>
      </c>
      <c r="F18" s="138">
        <f>'Performa Invoice (Explained)'!E19</f>
        <v>11965.44</v>
      </c>
      <c r="G18" s="20">
        <f t="shared" si="0"/>
        <v>1</v>
      </c>
      <c r="H18" s="127">
        <v>8500.248576</v>
      </c>
      <c r="I18" s="142">
        <f>'Performa Invoice (Explained)'!I19</f>
        <v>0.71039999999999992</v>
      </c>
      <c r="J18" s="20">
        <f t="shared" si="1"/>
        <v>0.71607585194949752</v>
      </c>
      <c r="K18" s="142">
        <f>'Performa Invoice (Explained)'!K19</f>
        <v>5.6758519494976012E-3</v>
      </c>
      <c r="L18" s="127">
        <v>1706.2104240000008</v>
      </c>
      <c r="M18" s="20">
        <f t="shared" si="2"/>
        <v>0.14373415930688588</v>
      </c>
      <c r="N18" s="9">
        <f>H18+L18</f>
        <v>10206.459000000001</v>
      </c>
      <c r="O18" s="20">
        <f t="shared" si="3"/>
        <v>0.85413415930688585</v>
      </c>
      <c r="P18" s="9">
        <f>E18-N18</f>
        <v>1664.1389999999974</v>
      </c>
      <c r="Q18" s="21">
        <f t="shared" si="5"/>
        <v>0.14586584069311415</v>
      </c>
      <c r="R18" s="10"/>
      <c r="S18" s="58"/>
      <c r="Y18" s="9">
        <v>63.416831999999999</v>
      </c>
      <c r="AA18" s="74">
        <v>8202.3091199999999</v>
      </c>
      <c r="AB18" s="74">
        <v>297.69088000000011</v>
      </c>
    </row>
    <row r="19" spans="1:28" ht="20.100000000000001" customHeight="1" x14ac:dyDescent="0.25">
      <c r="A19" s="65"/>
      <c r="B19" s="6">
        <v>3</v>
      </c>
      <c r="C19" s="19" t="s">
        <v>12</v>
      </c>
      <c r="D19" s="19"/>
      <c r="E19" s="29"/>
      <c r="F19" s="29"/>
      <c r="G19" s="19"/>
      <c r="H19" s="128"/>
      <c r="I19" s="131"/>
      <c r="J19" s="7"/>
      <c r="K19" s="131"/>
      <c r="L19" s="128"/>
      <c r="M19" s="7"/>
      <c r="N19" s="7"/>
      <c r="O19" s="7"/>
      <c r="P19" s="7"/>
      <c r="Q19" s="7"/>
      <c r="R19" s="7"/>
      <c r="S19" s="58"/>
      <c r="Y19" s="7"/>
      <c r="AA19" s="74"/>
      <c r="AB19" s="74"/>
    </row>
    <row r="20" spans="1:28" ht="20.100000000000001" customHeight="1" x14ac:dyDescent="0.25">
      <c r="A20" s="65"/>
      <c r="B20" s="8">
        <f>B19+0.01</f>
        <v>3.01</v>
      </c>
      <c r="C20" s="18" t="s">
        <v>13</v>
      </c>
      <c r="D20" s="18" t="s">
        <v>54</v>
      </c>
      <c r="E20" s="9">
        <v>213.12</v>
      </c>
      <c r="F20" s="137">
        <f>'Performa Invoice (Explained)'!E21</f>
        <v>213.12</v>
      </c>
      <c r="G20" s="20">
        <f t="shared" si="0"/>
        <v>1</v>
      </c>
      <c r="H20" s="127">
        <v>0</v>
      </c>
      <c r="I20" s="141">
        <f>'Performa Invoice (Explained)'!I21</f>
        <v>0</v>
      </c>
      <c r="J20" s="20">
        <f t="shared" si="1"/>
        <v>0</v>
      </c>
      <c r="K20" s="141">
        <f>'Performa Invoice (Explained)'!K21</f>
        <v>0</v>
      </c>
      <c r="L20" s="127">
        <v>0</v>
      </c>
      <c r="M20" s="20">
        <f t="shared" si="2"/>
        <v>0</v>
      </c>
      <c r="N20" s="22">
        <f>H20+L20</f>
        <v>0</v>
      </c>
      <c r="O20" s="20">
        <f t="shared" ref="O20:O24" si="6">I20+M20</f>
        <v>0</v>
      </c>
      <c r="P20" s="9">
        <f>E20-N20</f>
        <v>213.12</v>
      </c>
      <c r="Q20" s="21">
        <f>G20-O20</f>
        <v>1</v>
      </c>
      <c r="R20" s="10"/>
      <c r="S20" s="58"/>
      <c r="V20" s="36"/>
      <c r="Y20" s="9">
        <v>0</v>
      </c>
      <c r="AA20" s="74">
        <v>0</v>
      </c>
      <c r="AB20" s="74">
        <v>0</v>
      </c>
    </row>
    <row r="21" spans="1:28" ht="20.100000000000001" customHeight="1" x14ac:dyDescent="0.25">
      <c r="A21" s="65"/>
      <c r="B21" s="8">
        <f t="shared" ref="B21:B24" si="7">B20+0.01</f>
        <v>3.0199999999999996</v>
      </c>
      <c r="C21" s="18" t="s">
        <v>14</v>
      </c>
      <c r="D21" s="18" t="s">
        <v>54</v>
      </c>
      <c r="E21" s="9">
        <v>213.12</v>
      </c>
      <c r="F21" s="137">
        <f>'Performa Invoice (Explained)'!E22</f>
        <v>213.12</v>
      </c>
      <c r="G21" s="20">
        <f t="shared" si="0"/>
        <v>1</v>
      </c>
      <c r="H21" s="127">
        <v>0</v>
      </c>
      <c r="I21" s="141">
        <f>'Performa Invoice (Explained)'!I22</f>
        <v>0</v>
      </c>
      <c r="J21" s="20">
        <f t="shared" si="1"/>
        <v>0</v>
      </c>
      <c r="K21" s="141">
        <f>'Performa Invoice (Explained)'!K22</f>
        <v>0</v>
      </c>
      <c r="L21" s="127">
        <v>0</v>
      </c>
      <c r="M21" s="20">
        <f t="shared" si="2"/>
        <v>0</v>
      </c>
      <c r="N21" s="9">
        <f>H21+L21</f>
        <v>0</v>
      </c>
      <c r="O21" s="20">
        <f t="shared" si="6"/>
        <v>0</v>
      </c>
      <c r="P21" s="9">
        <f>E21-N21</f>
        <v>213.12</v>
      </c>
      <c r="Q21" s="21">
        <f t="shared" ref="Q21:Q35" si="8">G21-O21</f>
        <v>1</v>
      </c>
      <c r="R21" s="10"/>
      <c r="S21" s="58"/>
      <c r="Y21" s="9">
        <v>0</v>
      </c>
      <c r="AA21" s="74">
        <v>0</v>
      </c>
      <c r="AB21" s="74">
        <v>0</v>
      </c>
    </row>
    <row r="22" spans="1:28" ht="20.100000000000001" customHeight="1" x14ac:dyDescent="0.25">
      <c r="A22" s="65"/>
      <c r="B22" s="8">
        <f t="shared" si="7"/>
        <v>3.0299999999999994</v>
      </c>
      <c r="C22" s="18" t="s">
        <v>15</v>
      </c>
      <c r="D22" s="18" t="s">
        <v>53</v>
      </c>
      <c r="E22" s="9">
        <f>114.69+115</f>
        <v>229.69</v>
      </c>
      <c r="F22" s="139">
        <f>'Performa Invoice (Explained)'!E23</f>
        <v>308.62</v>
      </c>
      <c r="G22" s="20">
        <f t="shared" si="0"/>
        <v>1</v>
      </c>
      <c r="H22" s="127">
        <v>0</v>
      </c>
      <c r="I22" s="143">
        <f>'Performa Invoice (Explained)'!I23</f>
        <v>0</v>
      </c>
      <c r="J22" s="20">
        <f t="shared" si="1"/>
        <v>0</v>
      </c>
      <c r="K22" s="143">
        <f>'Performa Invoice (Explained)'!K23</f>
        <v>0</v>
      </c>
      <c r="L22" s="127">
        <v>0</v>
      </c>
      <c r="M22" s="20">
        <f t="shared" si="2"/>
        <v>0</v>
      </c>
      <c r="N22" s="9">
        <f>H22+L22</f>
        <v>0</v>
      </c>
      <c r="O22" s="20">
        <f t="shared" si="6"/>
        <v>0</v>
      </c>
      <c r="P22" s="9">
        <f>E22-N22</f>
        <v>229.69</v>
      </c>
      <c r="Q22" s="21">
        <f t="shared" si="8"/>
        <v>1</v>
      </c>
      <c r="R22" s="10"/>
      <c r="S22" s="58"/>
      <c r="Y22" s="9">
        <v>0</v>
      </c>
      <c r="AA22" s="74">
        <v>0</v>
      </c>
      <c r="AB22" s="74">
        <v>0</v>
      </c>
    </row>
    <row r="23" spans="1:28" ht="20.100000000000001" customHeight="1" x14ac:dyDescent="0.25">
      <c r="A23" s="65"/>
      <c r="B23" s="8">
        <f t="shared" si="7"/>
        <v>3.0399999999999991</v>
      </c>
      <c r="C23" s="18" t="s">
        <v>16</v>
      </c>
      <c r="D23" s="18" t="s">
        <v>53</v>
      </c>
      <c r="E23" s="9">
        <f>(E22+60)*3</f>
        <v>869.06999999999994</v>
      </c>
      <c r="F23" s="139">
        <f>'Performa Invoice (Explained)'!E24</f>
        <v>1396.26</v>
      </c>
      <c r="G23" s="20">
        <f t="shared" si="0"/>
        <v>1</v>
      </c>
      <c r="H23" s="127">
        <v>0</v>
      </c>
      <c r="I23" s="143">
        <f>'Performa Invoice (Explained)'!I24</f>
        <v>0</v>
      </c>
      <c r="J23" s="20">
        <f t="shared" si="1"/>
        <v>0</v>
      </c>
      <c r="K23" s="143">
        <f>'Performa Invoice (Explained)'!K24</f>
        <v>0</v>
      </c>
      <c r="L23" s="127">
        <v>0</v>
      </c>
      <c r="M23" s="20">
        <f t="shared" si="2"/>
        <v>0</v>
      </c>
      <c r="N23" s="9">
        <f>H23+L23</f>
        <v>0</v>
      </c>
      <c r="O23" s="20">
        <f t="shared" si="6"/>
        <v>0</v>
      </c>
      <c r="P23" s="9">
        <f>E23-N23</f>
        <v>869.06999999999994</v>
      </c>
      <c r="Q23" s="21">
        <f t="shared" si="8"/>
        <v>1</v>
      </c>
      <c r="R23" s="10"/>
      <c r="S23" s="58"/>
      <c r="Y23" s="9">
        <v>0</v>
      </c>
      <c r="AA23" s="74">
        <v>0</v>
      </c>
      <c r="AB23" s="74">
        <v>0</v>
      </c>
    </row>
    <row r="24" spans="1:28" ht="20.100000000000001" customHeight="1" x14ac:dyDescent="0.25">
      <c r="A24" s="65"/>
      <c r="B24" s="8">
        <f t="shared" si="7"/>
        <v>3.0499999999999989</v>
      </c>
      <c r="C24" s="18" t="s">
        <v>17</v>
      </c>
      <c r="D24" s="18" t="s">
        <v>52</v>
      </c>
      <c r="E24" s="9">
        <f>4*3</f>
        <v>12</v>
      </c>
      <c r="F24" s="139">
        <f>'Performa Invoice (Explained)'!E25</f>
        <v>12</v>
      </c>
      <c r="G24" s="20">
        <f t="shared" si="0"/>
        <v>1</v>
      </c>
      <c r="H24" s="127">
        <v>0</v>
      </c>
      <c r="I24" s="143">
        <f>'Performa Invoice (Explained)'!I25</f>
        <v>0</v>
      </c>
      <c r="J24" s="20">
        <f t="shared" si="1"/>
        <v>0</v>
      </c>
      <c r="K24" s="143">
        <f>'Performa Invoice (Explained)'!K25</f>
        <v>0</v>
      </c>
      <c r="L24" s="127">
        <v>0</v>
      </c>
      <c r="M24" s="20">
        <f t="shared" si="2"/>
        <v>0</v>
      </c>
      <c r="N24" s="9">
        <f>H24+L24</f>
        <v>0</v>
      </c>
      <c r="O24" s="20">
        <f t="shared" si="6"/>
        <v>0</v>
      </c>
      <c r="P24" s="9">
        <f>E24-N24</f>
        <v>12</v>
      </c>
      <c r="Q24" s="21">
        <f t="shared" si="8"/>
        <v>1</v>
      </c>
      <c r="R24" s="10"/>
      <c r="S24" s="58"/>
      <c r="Y24" s="9">
        <v>0</v>
      </c>
      <c r="AA24" s="74">
        <v>0</v>
      </c>
      <c r="AB24" s="74">
        <v>0</v>
      </c>
    </row>
    <row r="25" spans="1:28" ht="20.100000000000001" customHeight="1" x14ac:dyDescent="0.25">
      <c r="A25" s="65"/>
      <c r="B25" s="6">
        <v>4</v>
      </c>
      <c r="C25" s="19" t="s">
        <v>18</v>
      </c>
      <c r="D25" s="19"/>
      <c r="E25" s="29"/>
      <c r="F25" s="29"/>
      <c r="G25" s="19"/>
      <c r="H25" s="128"/>
      <c r="I25" s="131"/>
      <c r="J25" s="7"/>
      <c r="K25" s="131"/>
      <c r="L25" s="128"/>
      <c r="M25" s="7"/>
      <c r="N25" s="7"/>
      <c r="O25" s="7"/>
      <c r="P25" s="7"/>
      <c r="Q25" s="7"/>
      <c r="R25" s="7"/>
      <c r="S25" s="58"/>
      <c r="Y25" s="7"/>
      <c r="AA25" s="74"/>
      <c r="AB25" s="74"/>
    </row>
    <row r="26" spans="1:28" ht="20.100000000000001" customHeight="1" x14ac:dyDescent="0.25">
      <c r="A26" s="65"/>
      <c r="B26" s="8">
        <f>B25+0.01</f>
        <v>4.01</v>
      </c>
      <c r="C26" s="18" t="s">
        <v>19</v>
      </c>
      <c r="D26" s="18" t="s">
        <v>52</v>
      </c>
      <c r="E26" s="9">
        <v>172</v>
      </c>
      <c r="F26" s="138">
        <f>'Performa Invoice (Explained)'!E27</f>
        <v>179</v>
      </c>
      <c r="G26" s="20">
        <f t="shared" si="0"/>
        <v>1</v>
      </c>
      <c r="H26" s="127">
        <v>126</v>
      </c>
      <c r="I26" s="142">
        <f>'Performa Invoice (Explained)'!I27</f>
        <v>0.7039106145251397</v>
      </c>
      <c r="J26" s="20">
        <f t="shared" si="1"/>
        <v>0.73255813953488369</v>
      </c>
      <c r="K26" s="142">
        <f>'Performa Invoice (Explained)'!K27</f>
        <v>2.864752500974399E-2</v>
      </c>
      <c r="L26" s="127">
        <v>17</v>
      </c>
      <c r="M26" s="20">
        <f t="shared" si="2"/>
        <v>9.8837209302325577E-2</v>
      </c>
      <c r="N26" s="9">
        <f t="shared" ref="N26:N44" si="9">H26+L26</f>
        <v>143</v>
      </c>
      <c r="O26" s="20">
        <f t="shared" ref="O26:O46" si="10">I26+M26</f>
        <v>0.80274782382746523</v>
      </c>
      <c r="P26" s="9">
        <f t="shared" ref="P26:P44" si="11">E26-N26</f>
        <v>29</v>
      </c>
      <c r="Q26" s="21">
        <f t="shared" si="8"/>
        <v>0.19725217617253477</v>
      </c>
      <c r="R26" s="10"/>
      <c r="S26" s="58"/>
      <c r="Y26" s="9">
        <v>0</v>
      </c>
      <c r="AA26" s="74">
        <v>90</v>
      </c>
      <c r="AB26" s="74">
        <v>35.996900000000004</v>
      </c>
    </row>
    <row r="27" spans="1:28" ht="20.100000000000001" customHeight="1" x14ac:dyDescent="0.25">
      <c r="A27" s="65"/>
      <c r="B27" s="8">
        <f t="shared" ref="B27:B46" si="12">B26+0.01</f>
        <v>4.0199999999999996</v>
      </c>
      <c r="C27" s="18" t="s">
        <v>20</v>
      </c>
      <c r="D27" s="18" t="s">
        <v>52</v>
      </c>
      <c r="E27" s="9">
        <v>172</v>
      </c>
      <c r="F27" s="138">
        <f>'Performa Invoice (Explained)'!E28</f>
        <v>179</v>
      </c>
      <c r="G27" s="20">
        <f t="shared" si="0"/>
        <v>1</v>
      </c>
      <c r="H27" s="127">
        <v>179</v>
      </c>
      <c r="I27" s="142">
        <f>'Performa Invoice (Explained)'!I28</f>
        <v>1</v>
      </c>
      <c r="J27" s="20">
        <f t="shared" si="1"/>
        <v>1.0406976744186047</v>
      </c>
      <c r="K27" s="142">
        <f>'Performa Invoice (Explained)'!K28</f>
        <v>4.0697674418604723E-2</v>
      </c>
      <c r="L27" s="127">
        <v>0</v>
      </c>
      <c r="M27" s="20">
        <f t="shared" si="2"/>
        <v>0</v>
      </c>
      <c r="N27" s="9">
        <f t="shared" si="9"/>
        <v>179</v>
      </c>
      <c r="O27" s="20">
        <f t="shared" si="10"/>
        <v>1</v>
      </c>
      <c r="P27" s="9">
        <f t="shared" si="11"/>
        <v>-7</v>
      </c>
      <c r="Q27" s="21">
        <f t="shared" si="8"/>
        <v>0</v>
      </c>
      <c r="R27" s="27" t="s">
        <v>70</v>
      </c>
      <c r="S27" s="58"/>
      <c r="Y27" s="9">
        <v>0</v>
      </c>
      <c r="AA27" s="74">
        <v>179</v>
      </c>
      <c r="AB27" s="74">
        <v>0</v>
      </c>
    </row>
    <row r="28" spans="1:28" ht="20.100000000000001" customHeight="1" x14ac:dyDescent="0.25">
      <c r="A28" s="65"/>
      <c r="B28" s="8">
        <f t="shared" si="12"/>
        <v>4.0299999999999994</v>
      </c>
      <c r="C28" s="18" t="s">
        <v>21</v>
      </c>
      <c r="D28" s="18" t="s">
        <v>52</v>
      </c>
      <c r="E28" s="9">
        <v>172</v>
      </c>
      <c r="F28" s="138">
        <f>'Performa Invoice (Explained)'!E29</f>
        <v>179</v>
      </c>
      <c r="G28" s="20">
        <f t="shared" si="0"/>
        <v>1</v>
      </c>
      <c r="H28" s="127">
        <v>102</v>
      </c>
      <c r="I28" s="142">
        <f>'Performa Invoice (Explained)'!I29</f>
        <v>0.56983240223463683</v>
      </c>
      <c r="J28" s="20">
        <f t="shared" si="1"/>
        <v>0.59302325581395354</v>
      </c>
      <c r="K28" s="142">
        <f>'Performa Invoice (Explained)'!K29</f>
        <v>2.3190853579316717E-2</v>
      </c>
      <c r="L28" s="127">
        <v>21</v>
      </c>
      <c r="M28" s="20">
        <f t="shared" si="2"/>
        <v>0.12209302325581395</v>
      </c>
      <c r="N28" s="9">
        <f t="shared" si="9"/>
        <v>123</v>
      </c>
      <c r="O28" s="20">
        <f t="shared" si="10"/>
        <v>0.69192542549045077</v>
      </c>
      <c r="P28" s="9">
        <f t="shared" si="11"/>
        <v>49</v>
      </c>
      <c r="Q28" s="21">
        <f t="shared" si="8"/>
        <v>0.30807457450954923</v>
      </c>
      <c r="R28" s="10"/>
      <c r="S28" s="58"/>
      <c r="Y28" s="9">
        <v>102</v>
      </c>
      <c r="AA28" s="74">
        <v>0</v>
      </c>
      <c r="AB28" s="74">
        <v>102</v>
      </c>
    </row>
    <row r="29" spans="1:28" ht="20.100000000000001" customHeight="1" x14ac:dyDescent="0.25">
      <c r="A29" s="65"/>
      <c r="B29" s="8">
        <f t="shared" si="12"/>
        <v>4.0399999999999991</v>
      </c>
      <c r="C29" s="18" t="s">
        <v>22</v>
      </c>
      <c r="D29" s="18" t="s">
        <v>52</v>
      </c>
      <c r="E29" s="9">
        <v>172</v>
      </c>
      <c r="F29" s="138">
        <f>'Performa Invoice (Explained)'!E30</f>
        <v>179</v>
      </c>
      <c r="G29" s="20">
        <f t="shared" si="0"/>
        <v>1</v>
      </c>
      <c r="H29" s="127">
        <v>102</v>
      </c>
      <c r="I29" s="142">
        <f>'Performa Invoice (Explained)'!I30</f>
        <v>0.56983240223463683</v>
      </c>
      <c r="J29" s="20">
        <f t="shared" si="1"/>
        <v>0.59302325581395354</v>
      </c>
      <c r="K29" s="142">
        <f>'Performa Invoice (Explained)'!K30</f>
        <v>2.3190853579316717E-2</v>
      </c>
      <c r="L29" s="127">
        <v>21</v>
      </c>
      <c r="M29" s="20">
        <f t="shared" si="2"/>
        <v>0.12209302325581395</v>
      </c>
      <c r="N29" s="9">
        <f t="shared" si="9"/>
        <v>123</v>
      </c>
      <c r="O29" s="20">
        <f t="shared" si="10"/>
        <v>0.69192542549045077</v>
      </c>
      <c r="P29" s="9">
        <f t="shared" si="11"/>
        <v>49</v>
      </c>
      <c r="Q29" s="21">
        <f t="shared" si="8"/>
        <v>0.30807457450954923</v>
      </c>
      <c r="R29" s="10"/>
      <c r="S29" s="58"/>
      <c r="Y29" s="9">
        <v>102</v>
      </c>
      <c r="AA29" s="74">
        <v>0</v>
      </c>
      <c r="AB29" s="74">
        <v>102</v>
      </c>
    </row>
    <row r="30" spans="1:28" ht="20.100000000000001" customHeight="1" x14ac:dyDescent="0.25">
      <c r="A30" s="65"/>
      <c r="B30" s="8">
        <f t="shared" si="12"/>
        <v>4.0499999999999989</v>
      </c>
      <c r="C30" s="18" t="s">
        <v>23</v>
      </c>
      <c r="D30" s="18" t="s">
        <v>52</v>
      </c>
      <c r="E30" s="9">
        <v>172</v>
      </c>
      <c r="F30" s="138">
        <f>'Performa Invoice (Explained)'!E31</f>
        <v>179</v>
      </c>
      <c r="G30" s="20">
        <f t="shared" si="0"/>
        <v>1</v>
      </c>
      <c r="H30" s="127">
        <v>95</v>
      </c>
      <c r="I30" s="142">
        <f>'Performa Invoice (Explained)'!I31</f>
        <v>0.53072625698324027</v>
      </c>
      <c r="J30" s="20">
        <f t="shared" si="1"/>
        <v>0.55232558139534882</v>
      </c>
      <c r="K30" s="142">
        <f>'Performa Invoice (Explained)'!K31</f>
        <v>2.1599324412108545E-2</v>
      </c>
      <c r="L30" s="127">
        <v>13</v>
      </c>
      <c r="M30" s="20">
        <f t="shared" si="2"/>
        <v>7.5581395348837205E-2</v>
      </c>
      <c r="N30" s="9">
        <f t="shared" si="9"/>
        <v>108</v>
      </c>
      <c r="O30" s="20">
        <f t="shared" si="10"/>
        <v>0.60630765233207751</v>
      </c>
      <c r="P30" s="9">
        <f t="shared" si="11"/>
        <v>64</v>
      </c>
      <c r="Q30" s="21">
        <f t="shared" si="8"/>
        <v>0.39369234766792249</v>
      </c>
      <c r="R30" s="10"/>
      <c r="S30" s="58"/>
      <c r="Y30" s="9">
        <v>95</v>
      </c>
      <c r="AA30" s="74">
        <v>0</v>
      </c>
      <c r="AB30" s="74">
        <v>94.995299999999986</v>
      </c>
    </row>
    <row r="31" spans="1:28" ht="20.100000000000001" customHeight="1" x14ac:dyDescent="0.25">
      <c r="A31" s="65"/>
      <c r="B31" s="8">
        <f t="shared" si="12"/>
        <v>4.0599999999999987</v>
      </c>
      <c r="C31" s="18" t="s">
        <v>24</v>
      </c>
      <c r="D31" s="18" t="s">
        <v>52</v>
      </c>
      <c r="E31" s="9">
        <v>172</v>
      </c>
      <c r="F31" s="138">
        <f>'Performa Invoice (Explained)'!E32</f>
        <v>179</v>
      </c>
      <c r="G31" s="20">
        <f t="shared" si="0"/>
        <v>1</v>
      </c>
      <c r="H31" s="127">
        <v>95</v>
      </c>
      <c r="I31" s="142">
        <f>'Performa Invoice (Explained)'!I32</f>
        <v>0.53072625698324027</v>
      </c>
      <c r="J31" s="20">
        <f t="shared" si="1"/>
        <v>0.55232558139534882</v>
      </c>
      <c r="K31" s="142">
        <f>'Performa Invoice (Explained)'!K32</f>
        <v>2.1599324412108545E-2</v>
      </c>
      <c r="L31" s="127">
        <v>13</v>
      </c>
      <c r="M31" s="20">
        <f t="shared" si="2"/>
        <v>7.5581395348837205E-2</v>
      </c>
      <c r="N31" s="9">
        <f t="shared" si="9"/>
        <v>108</v>
      </c>
      <c r="O31" s="20">
        <f t="shared" si="10"/>
        <v>0.60630765233207751</v>
      </c>
      <c r="P31" s="9">
        <f t="shared" si="11"/>
        <v>64</v>
      </c>
      <c r="Q31" s="21">
        <f t="shared" si="8"/>
        <v>0.39369234766792249</v>
      </c>
      <c r="R31" s="10"/>
      <c r="S31" s="58"/>
      <c r="Y31" s="9">
        <v>5.9965000000000002</v>
      </c>
      <c r="AA31" s="74">
        <v>89</v>
      </c>
      <c r="AB31" s="74">
        <v>5.9965000000000002</v>
      </c>
    </row>
    <row r="32" spans="1:28" ht="20.100000000000001" customHeight="1" x14ac:dyDescent="0.25">
      <c r="A32" s="65"/>
      <c r="B32" s="8">
        <f t="shared" si="12"/>
        <v>4.0699999999999985</v>
      </c>
      <c r="C32" s="18" t="s">
        <v>25</v>
      </c>
      <c r="D32" s="18" t="s">
        <v>52</v>
      </c>
      <c r="E32" s="9">
        <v>172</v>
      </c>
      <c r="F32" s="138">
        <f>'Performa Invoice (Explained)'!E33</f>
        <v>179</v>
      </c>
      <c r="G32" s="20">
        <f t="shared" si="0"/>
        <v>1</v>
      </c>
      <c r="H32" s="127">
        <v>95</v>
      </c>
      <c r="I32" s="142">
        <f>'Performa Invoice (Explained)'!I33</f>
        <v>0.53072625698324027</v>
      </c>
      <c r="J32" s="20">
        <f t="shared" si="1"/>
        <v>0.55232558139534882</v>
      </c>
      <c r="K32" s="142">
        <f>'Performa Invoice (Explained)'!K33</f>
        <v>2.1599324412108545E-2</v>
      </c>
      <c r="L32" s="127">
        <v>13</v>
      </c>
      <c r="M32" s="20">
        <f t="shared" si="2"/>
        <v>7.5581395348837205E-2</v>
      </c>
      <c r="N32" s="9">
        <f t="shared" si="9"/>
        <v>108</v>
      </c>
      <c r="O32" s="20">
        <f t="shared" si="10"/>
        <v>0.60630765233207751</v>
      </c>
      <c r="P32" s="9">
        <f t="shared" si="11"/>
        <v>64</v>
      </c>
      <c r="Q32" s="21">
        <f t="shared" si="8"/>
        <v>0.39369234766792249</v>
      </c>
      <c r="R32" s="10"/>
      <c r="S32" s="58"/>
      <c r="Y32" s="9">
        <v>95</v>
      </c>
      <c r="AA32" s="74">
        <v>0</v>
      </c>
      <c r="AB32" s="74">
        <v>94.995299999999986</v>
      </c>
    </row>
    <row r="33" spans="1:28" ht="20.100000000000001" customHeight="1" x14ac:dyDescent="0.25">
      <c r="A33" s="65"/>
      <c r="B33" s="8">
        <f t="shared" si="12"/>
        <v>4.0799999999999983</v>
      </c>
      <c r="C33" s="18" t="s">
        <v>55</v>
      </c>
      <c r="D33" s="18" t="s">
        <v>52</v>
      </c>
      <c r="E33" s="9">
        <v>172</v>
      </c>
      <c r="F33" s="138">
        <f>'Performa Invoice (Explained)'!E34</f>
        <v>179</v>
      </c>
      <c r="G33" s="20">
        <f t="shared" si="0"/>
        <v>1</v>
      </c>
      <c r="H33" s="127">
        <v>2</v>
      </c>
      <c r="I33" s="142">
        <f>'Performa Invoice (Explained)'!I34</f>
        <v>1.11731843575419E-2</v>
      </c>
      <c r="J33" s="20">
        <f t="shared" si="1"/>
        <v>1.1627906976744186E-2</v>
      </c>
      <c r="K33" s="142">
        <f>'Performa Invoice (Explained)'!K34</f>
        <v>4.5472261920228609E-4</v>
      </c>
      <c r="L33" s="127">
        <v>66</v>
      </c>
      <c r="M33" s="20">
        <f t="shared" si="2"/>
        <v>0.38372093023255816</v>
      </c>
      <c r="N33" s="9">
        <f t="shared" si="9"/>
        <v>68</v>
      </c>
      <c r="O33" s="20">
        <f t="shared" si="10"/>
        <v>0.39489411459010004</v>
      </c>
      <c r="P33" s="9">
        <f t="shared" si="11"/>
        <v>104</v>
      </c>
      <c r="Q33" s="21">
        <f t="shared" si="8"/>
        <v>0.60510588540989996</v>
      </c>
      <c r="R33" s="10"/>
      <c r="S33" s="58"/>
      <c r="Y33" s="9">
        <v>2</v>
      </c>
      <c r="AA33" s="74">
        <v>0</v>
      </c>
      <c r="AB33" s="74">
        <v>2.0047999999999999</v>
      </c>
    </row>
    <row r="34" spans="1:28" ht="20.100000000000001" customHeight="1" x14ac:dyDescent="0.25">
      <c r="A34" s="65"/>
      <c r="B34" s="8">
        <f t="shared" si="12"/>
        <v>4.0899999999999981</v>
      </c>
      <c r="C34" s="18" t="s">
        <v>26</v>
      </c>
      <c r="D34" s="18" t="s">
        <v>52</v>
      </c>
      <c r="E34" s="9">
        <v>172</v>
      </c>
      <c r="F34" s="138">
        <f>'Performa Invoice (Explained)'!E35</f>
        <v>179</v>
      </c>
      <c r="G34" s="20">
        <f t="shared" si="0"/>
        <v>1</v>
      </c>
      <c r="H34" s="127">
        <v>0</v>
      </c>
      <c r="I34" s="142">
        <f>'Performa Invoice (Explained)'!I35</f>
        <v>0</v>
      </c>
      <c r="J34" s="20">
        <f t="shared" si="1"/>
        <v>0</v>
      </c>
      <c r="K34" s="142">
        <f>'Performa Invoice (Explained)'!K35</f>
        <v>0</v>
      </c>
      <c r="L34" s="127">
        <v>52</v>
      </c>
      <c r="M34" s="20">
        <f t="shared" si="2"/>
        <v>0.30232558139534882</v>
      </c>
      <c r="N34" s="9">
        <f t="shared" si="9"/>
        <v>52</v>
      </c>
      <c r="O34" s="20">
        <f t="shared" si="10"/>
        <v>0.30232558139534882</v>
      </c>
      <c r="P34" s="9">
        <f t="shared" si="11"/>
        <v>120</v>
      </c>
      <c r="Q34" s="21">
        <f t="shared" si="8"/>
        <v>0.69767441860465118</v>
      </c>
      <c r="R34" s="10"/>
      <c r="S34" s="58"/>
      <c r="Y34" s="9">
        <v>0</v>
      </c>
      <c r="AA34" s="74">
        <v>0</v>
      </c>
      <c r="AB34" s="74">
        <v>0</v>
      </c>
    </row>
    <row r="35" spans="1:28" ht="20.100000000000001" customHeight="1" x14ac:dyDescent="0.25">
      <c r="A35" s="65"/>
      <c r="B35" s="8">
        <f t="shared" si="12"/>
        <v>4.0999999999999979</v>
      </c>
      <c r="C35" s="18" t="s">
        <v>27</v>
      </c>
      <c r="D35" s="18" t="s">
        <v>52</v>
      </c>
      <c r="E35" s="9">
        <v>172</v>
      </c>
      <c r="F35" s="138">
        <f>'Performa Invoice (Explained)'!E36</f>
        <v>179</v>
      </c>
      <c r="G35" s="20">
        <f t="shared" si="0"/>
        <v>1</v>
      </c>
      <c r="H35" s="127">
        <v>0</v>
      </c>
      <c r="I35" s="142">
        <f>'Performa Invoice (Explained)'!I36</f>
        <v>0</v>
      </c>
      <c r="J35" s="20">
        <f t="shared" si="1"/>
        <v>0</v>
      </c>
      <c r="K35" s="142">
        <f>'Performa Invoice (Explained)'!K36</f>
        <v>0</v>
      </c>
      <c r="L35" s="127">
        <v>42</v>
      </c>
      <c r="M35" s="20">
        <f t="shared" si="2"/>
        <v>0.2441860465116279</v>
      </c>
      <c r="N35" s="9">
        <f t="shared" si="9"/>
        <v>42</v>
      </c>
      <c r="O35" s="20">
        <f t="shared" si="10"/>
        <v>0.2441860465116279</v>
      </c>
      <c r="P35" s="9">
        <f t="shared" si="11"/>
        <v>130</v>
      </c>
      <c r="Q35" s="21">
        <f t="shared" si="8"/>
        <v>0.7558139534883721</v>
      </c>
      <c r="R35" s="10"/>
      <c r="S35" s="58"/>
      <c r="Y35" s="9">
        <v>0</v>
      </c>
      <c r="AA35" s="74">
        <v>0</v>
      </c>
      <c r="AB35" s="74">
        <v>0</v>
      </c>
    </row>
    <row r="36" spans="1:28" ht="20.100000000000001" customHeight="1" x14ac:dyDescent="0.25">
      <c r="A36" s="65"/>
      <c r="B36" s="8">
        <f t="shared" si="12"/>
        <v>4.1099999999999977</v>
      </c>
      <c r="C36" s="18" t="s">
        <v>28</v>
      </c>
      <c r="D36" s="18" t="s">
        <v>52</v>
      </c>
      <c r="E36" s="9">
        <v>172</v>
      </c>
      <c r="F36" s="138">
        <f>'Performa Invoice (Explained)'!E37</f>
        <v>179</v>
      </c>
      <c r="G36" s="20">
        <f t="shared" si="0"/>
        <v>1</v>
      </c>
      <c r="H36" s="127">
        <v>0</v>
      </c>
      <c r="I36" s="142">
        <f>'Performa Invoice (Explained)'!I37</f>
        <v>0</v>
      </c>
      <c r="J36" s="20">
        <f t="shared" si="1"/>
        <v>0</v>
      </c>
      <c r="K36" s="142">
        <f>'Performa Invoice (Explained)'!K37</f>
        <v>0</v>
      </c>
      <c r="L36" s="127">
        <v>0</v>
      </c>
      <c r="M36" s="20">
        <f t="shared" si="2"/>
        <v>0</v>
      </c>
      <c r="N36" s="9">
        <f t="shared" si="9"/>
        <v>0</v>
      </c>
      <c r="O36" s="20">
        <f t="shared" si="10"/>
        <v>0</v>
      </c>
      <c r="P36" s="9">
        <f t="shared" si="11"/>
        <v>172</v>
      </c>
      <c r="Q36" s="21">
        <f t="shared" ref="Q36:Q44" si="13">G36-O36</f>
        <v>1</v>
      </c>
      <c r="R36" s="10"/>
      <c r="S36" s="58"/>
      <c r="Y36" s="9">
        <v>0</v>
      </c>
      <c r="AA36" s="74">
        <v>0</v>
      </c>
      <c r="AB36" s="74">
        <v>0</v>
      </c>
    </row>
    <row r="37" spans="1:28" ht="20.100000000000001" customHeight="1" x14ac:dyDescent="0.25">
      <c r="A37" s="65"/>
      <c r="B37" s="8">
        <f t="shared" si="12"/>
        <v>4.1199999999999974</v>
      </c>
      <c r="C37" s="23" t="s">
        <v>29</v>
      </c>
      <c r="D37" s="18" t="s">
        <v>52</v>
      </c>
      <c r="E37" s="9">
        <v>172</v>
      </c>
      <c r="F37" s="138">
        <f>'Performa Invoice (Explained)'!E38</f>
        <v>179</v>
      </c>
      <c r="G37" s="20">
        <f t="shared" si="0"/>
        <v>1</v>
      </c>
      <c r="H37" s="127">
        <v>0</v>
      </c>
      <c r="I37" s="142">
        <f>'Performa Invoice (Explained)'!I38</f>
        <v>0</v>
      </c>
      <c r="J37" s="20">
        <f t="shared" si="1"/>
        <v>0</v>
      </c>
      <c r="K37" s="142">
        <f>'Performa Invoice (Explained)'!K38</f>
        <v>0</v>
      </c>
      <c r="L37" s="127">
        <v>0</v>
      </c>
      <c r="M37" s="20">
        <f t="shared" si="2"/>
        <v>0</v>
      </c>
      <c r="N37" s="9">
        <f t="shared" si="9"/>
        <v>0</v>
      </c>
      <c r="O37" s="20">
        <f t="shared" si="10"/>
        <v>0</v>
      </c>
      <c r="P37" s="9">
        <f t="shared" si="11"/>
        <v>172</v>
      </c>
      <c r="Q37" s="21">
        <f t="shared" si="13"/>
        <v>1</v>
      </c>
      <c r="R37" s="11"/>
      <c r="S37" s="58"/>
      <c r="Y37" s="9">
        <v>0</v>
      </c>
      <c r="AA37" s="74">
        <v>0</v>
      </c>
      <c r="AB37" s="74">
        <v>0</v>
      </c>
    </row>
    <row r="38" spans="1:28" ht="20.100000000000001" customHeight="1" x14ac:dyDescent="0.25">
      <c r="A38" s="65"/>
      <c r="B38" s="8">
        <f t="shared" si="12"/>
        <v>4.1299999999999972</v>
      </c>
      <c r="C38" s="23" t="s">
        <v>30</v>
      </c>
      <c r="D38" s="18" t="s">
        <v>52</v>
      </c>
      <c r="E38" s="9">
        <v>172</v>
      </c>
      <c r="F38" s="138">
        <f>'Performa Invoice (Explained)'!E39</f>
        <v>179</v>
      </c>
      <c r="G38" s="20">
        <f t="shared" si="0"/>
        <v>1</v>
      </c>
      <c r="H38" s="127">
        <v>0</v>
      </c>
      <c r="I38" s="142">
        <f>'Performa Invoice (Explained)'!I39</f>
        <v>0</v>
      </c>
      <c r="J38" s="20">
        <f t="shared" si="1"/>
        <v>0</v>
      </c>
      <c r="K38" s="142">
        <f>'Performa Invoice (Explained)'!K39</f>
        <v>0</v>
      </c>
      <c r="L38" s="127">
        <v>0</v>
      </c>
      <c r="M38" s="20">
        <f t="shared" si="2"/>
        <v>0</v>
      </c>
      <c r="N38" s="9">
        <f t="shared" si="9"/>
        <v>0</v>
      </c>
      <c r="O38" s="20">
        <f t="shared" si="10"/>
        <v>0</v>
      </c>
      <c r="P38" s="9">
        <f t="shared" si="11"/>
        <v>172</v>
      </c>
      <c r="Q38" s="21">
        <f t="shared" si="13"/>
        <v>1</v>
      </c>
      <c r="R38" s="11"/>
      <c r="S38" s="58"/>
      <c r="Y38" s="9">
        <v>0</v>
      </c>
      <c r="AA38" s="74">
        <v>0</v>
      </c>
      <c r="AB38" s="74">
        <v>0</v>
      </c>
    </row>
    <row r="39" spans="1:28" ht="20.100000000000001" customHeight="1" x14ac:dyDescent="0.25">
      <c r="A39" s="65"/>
      <c r="B39" s="8">
        <f t="shared" si="12"/>
        <v>4.139999999999997</v>
      </c>
      <c r="C39" s="23" t="s">
        <v>31</v>
      </c>
      <c r="D39" s="18" t="s">
        <v>52</v>
      </c>
      <c r="E39" s="9">
        <v>172</v>
      </c>
      <c r="F39" s="138">
        <f>'Performa Invoice (Explained)'!E40</f>
        <v>179</v>
      </c>
      <c r="G39" s="20">
        <f t="shared" si="0"/>
        <v>1</v>
      </c>
      <c r="H39" s="127">
        <v>0</v>
      </c>
      <c r="I39" s="142">
        <f>'Performa Invoice (Explained)'!I40</f>
        <v>0</v>
      </c>
      <c r="J39" s="20">
        <f t="shared" si="1"/>
        <v>0</v>
      </c>
      <c r="K39" s="142">
        <f>'Performa Invoice (Explained)'!K40</f>
        <v>0</v>
      </c>
      <c r="L39" s="127">
        <v>0</v>
      </c>
      <c r="M39" s="20">
        <f t="shared" si="2"/>
        <v>0</v>
      </c>
      <c r="N39" s="9">
        <f t="shared" si="9"/>
        <v>0</v>
      </c>
      <c r="O39" s="20">
        <f t="shared" si="10"/>
        <v>0</v>
      </c>
      <c r="P39" s="9">
        <f t="shared" si="11"/>
        <v>172</v>
      </c>
      <c r="Q39" s="21">
        <f t="shared" si="13"/>
        <v>1</v>
      </c>
      <c r="R39" s="11"/>
      <c r="S39" s="58"/>
      <c r="Y39" s="9">
        <v>0</v>
      </c>
      <c r="AA39" s="74">
        <v>0</v>
      </c>
      <c r="AB39" s="74">
        <v>0</v>
      </c>
    </row>
    <row r="40" spans="1:28" ht="20.100000000000001" customHeight="1" x14ac:dyDescent="0.25">
      <c r="A40" s="65"/>
      <c r="B40" s="8">
        <f t="shared" si="12"/>
        <v>4.1499999999999968</v>
      </c>
      <c r="C40" s="23" t="s">
        <v>32</v>
      </c>
      <c r="D40" s="18" t="s">
        <v>52</v>
      </c>
      <c r="E40" s="9">
        <v>172</v>
      </c>
      <c r="F40" s="138">
        <f>'Performa Invoice (Explained)'!E41</f>
        <v>179</v>
      </c>
      <c r="G40" s="20">
        <f t="shared" si="0"/>
        <v>1</v>
      </c>
      <c r="H40" s="127">
        <v>0</v>
      </c>
      <c r="I40" s="142">
        <f>'Performa Invoice (Explained)'!I41</f>
        <v>0</v>
      </c>
      <c r="J40" s="20">
        <f t="shared" si="1"/>
        <v>0</v>
      </c>
      <c r="K40" s="142">
        <f>'Performa Invoice (Explained)'!K41</f>
        <v>0</v>
      </c>
      <c r="L40" s="127">
        <v>0</v>
      </c>
      <c r="M40" s="20">
        <f t="shared" si="2"/>
        <v>0</v>
      </c>
      <c r="N40" s="9">
        <f t="shared" si="9"/>
        <v>0</v>
      </c>
      <c r="O40" s="20">
        <f t="shared" si="10"/>
        <v>0</v>
      </c>
      <c r="P40" s="9">
        <f t="shared" si="11"/>
        <v>172</v>
      </c>
      <c r="Q40" s="21">
        <f t="shared" si="13"/>
        <v>1</v>
      </c>
      <c r="R40" s="11"/>
      <c r="S40" s="58"/>
      <c r="Y40" s="9">
        <v>0</v>
      </c>
      <c r="AA40" s="74">
        <v>0</v>
      </c>
      <c r="AB40" s="74">
        <v>0</v>
      </c>
    </row>
    <row r="41" spans="1:28" ht="20.100000000000001" customHeight="1" x14ac:dyDescent="0.25">
      <c r="A41" s="65"/>
      <c r="B41" s="8">
        <f t="shared" si="12"/>
        <v>4.1599999999999966</v>
      </c>
      <c r="C41" s="23" t="s">
        <v>33</v>
      </c>
      <c r="D41" s="18" t="s">
        <v>52</v>
      </c>
      <c r="E41" s="9">
        <v>172</v>
      </c>
      <c r="F41" s="137">
        <f>'Performa Invoice (Explained)'!E42</f>
        <v>179</v>
      </c>
      <c r="G41" s="20">
        <f t="shared" si="0"/>
        <v>1</v>
      </c>
      <c r="H41" s="127">
        <v>0</v>
      </c>
      <c r="I41" s="141">
        <f>'Performa Invoice (Explained)'!I42</f>
        <v>0</v>
      </c>
      <c r="J41" s="20">
        <f t="shared" si="1"/>
        <v>0</v>
      </c>
      <c r="K41" s="141">
        <f>'Performa Invoice (Explained)'!K42</f>
        <v>0</v>
      </c>
      <c r="L41" s="127">
        <v>0</v>
      </c>
      <c r="M41" s="20">
        <f t="shared" si="2"/>
        <v>0</v>
      </c>
      <c r="N41" s="9">
        <f t="shared" si="9"/>
        <v>0</v>
      </c>
      <c r="O41" s="20">
        <f t="shared" si="10"/>
        <v>0</v>
      </c>
      <c r="P41" s="9">
        <f t="shared" si="11"/>
        <v>172</v>
      </c>
      <c r="Q41" s="21">
        <f t="shared" si="13"/>
        <v>1</v>
      </c>
      <c r="R41" s="11"/>
      <c r="S41" s="58"/>
      <c r="Y41" s="9">
        <v>0</v>
      </c>
      <c r="AA41" s="74">
        <v>0</v>
      </c>
      <c r="AB41" s="74">
        <v>0</v>
      </c>
    </row>
    <row r="42" spans="1:28" ht="20.100000000000001" customHeight="1" x14ac:dyDescent="0.25">
      <c r="A42" s="65"/>
      <c r="B42" s="8">
        <f t="shared" si="12"/>
        <v>4.1699999999999964</v>
      </c>
      <c r="C42" s="23" t="s">
        <v>56</v>
      </c>
      <c r="D42" s="18" t="s">
        <v>52</v>
      </c>
      <c r="E42" s="9">
        <v>172</v>
      </c>
      <c r="F42" s="138">
        <f>'Performa Invoice (Explained)'!E43</f>
        <v>179</v>
      </c>
      <c r="G42" s="20">
        <f t="shared" si="0"/>
        <v>1</v>
      </c>
      <c r="H42" s="127">
        <v>0</v>
      </c>
      <c r="I42" s="142">
        <f>'Performa Invoice (Explained)'!I43</f>
        <v>0</v>
      </c>
      <c r="J42" s="20">
        <f t="shared" si="1"/>
        <v>0</v>
      </c>
      <c r="K42" s="142">
        <f>'Performa Invoice (Explained)'!K43</f>
        <v>0</v>
      </c>
      <c r="L42" s="127">
        <v>0</v>
      </c>
      <c r="M42" s="20">
        <f t="shared" si="2"/>
        <v>0</v>
      </c>
      <c r="N42" s="9">
        <f t="shared" si="9"/>
        <v>0</v>
      </c>
      <c r="O42" s="20">
        <f t="shared" si="10"/>
        <v>0</v>
      </c>
      <c r="P42" s="9">
        <f t="shared" si="11"/>
        <v>172</v>
      </c>
      <c r="Q42" s="21">
        <f t="shared" si="13"/>
        <v>1</v>
      </c>
      <c r="R42" s="11"/>
      <c r="S42" s="58"/>
      <c r="Y42" s="9">
        <v>0</v>
      </c>
      <c r="AA42" s="74">
        <v>0</v>
      </c>
      <c r="AB42" s="74">
        <v>0</v>
      </c>
    </row>
    <row r="43" spans="1:28" ht="20.100000000000001" customHeight="1" x14ac:dyDescent="0.25">
      <c r="A43" s="65"/>
      <c r="B43" s="8">
        <f t="shared" si="12"/>
        <v>4.1799999999999962</v>
      </c>
      <c r="C43" s="23" t="s">
        <v>34</v>
      </c>
      <c r="D43" s="18" t="s">
        <v>53</v>
      </c>
      <c r="E43" s="9">
        <v>36055.08</v>
      </c>
      <c r="F43" s="138">
        <f>'Performa Invoice (Explained)'!E44</f>
        <v>36055.08</v>
      </c>
      <c r="G43" s="20">
        <f t="shared" si="0"/>
        <v>1</v>
      </c>
      <c r="H43" s="127">
        <v>0</v>
      </c>
      <c r="I43" s="142">
        <f>'Performa Invoice (Explained)'!I44</f>
        <v>0</v>
      </c>
      <c r="J43" s="20">
        <f t="shared" si="1"/>
        <v>0</v>
      </c>
      <c r="K43" s="142">
        <f>'Performa Invoice (Explained)'!K44</f>
        <v>0</v>
      </c>
      <c r="L43" s="127">
        <v>0</v>
      </c>
      <c r="M43" s="20">
        <f t="shared" si="2"/>
        <v>0</v>
      </c>
      <c r="N43" s="9">
        <f t="shared" si="9"/>
        <v>0</v>
      </c>
      <c r="O43" s="20">
        <f t="shared" si="10"/>
        <v>0</v>
      </c>
      <c r="P43" s="9">
        <f t="shared" si="11"/>
        <v>36055.08</v>
      </c>
      <c r="Q43" s="21">
        <f t="shared" si="13"/>
        <v>1</v>
      </c>
      <c r="R43" s="40"/>
      <c r="S43" s="58"/>
      <c r="Y43" s="9">
        <v>0</v>
      </c>
      <c r="AA43" s="74">
        <v>0</v>
      </c>
      <c r="AB43" s="74">
        <v>0</v>
      </c>
    </row>
    <row r="44" spans="1:28" ht="20.100000000000001" customHeight="1" x14ac:dyDescent="0.25">
      <c r="A44" s="65"/>
      <c r="B44" s="8">
        <f t="shared" si="12"/>
        <v>4.1899999999999959</v>
      </c>
      <c r="C44" s="23" t="s">
        <v>35</v>
      </c>
      <c r="D44" s="18" t="s">
        <v>53</v>
      </c>
      <c r="E44" s="9">
        <v>12018.36</v>
      </c>
      <c r="F44" s="138">
        <f>'Performa Invoice (Explained)'!E45</f>
        <v>12018.36</v>
      </c>
      <c r="G44" s="20">
        <f t="shared" si="0"/>
        <v>1</v>
      </c>
      <c r="H44" s="127">
        <v>0</v>
      </c>
      <c r="I44" s="142">
        <f>'Performa Invoice (Explained)'!I45</f>
        <v>0</v>
      </c>
      <c r="J44" s="20">
        <f t="shared" si="1"/>
        <v>0</v>
      </c>
      <c r="K44" s="142">
        <f>'Performa Invoice (Explained)'!K45</f>
        <v>0</v>
      </c>
      <c r="L44" s="127">
        <v>0</v>
      </c>
      <c r="M44" s="20">
        <f t="shared" si="2"/>
        <v>0</v>
      </c>
      <c r="N44" s="9">
        <f t="shared" si="9"/>
        <v>0</v>
      </c>
      <c r="O44" s="20">
        <f t="shared" si="10"/>
        <v>0</v>
      </c>
      <c r="P44" s="9">
        <f t="shared" si="11"/>
        <v>12018.36</v>
      </c>
      <c r="Q44" s="21">
        <f t="shared" si="13"/>
        <v>1</v>
      </c>
      <c r="R44" s="11"/>
      <c r="S44" s="58"/>
      <c r="Y44" s="9">
        <v>0</v>
      </c>
      <c r="AA44" s="74">
        <v>0</v>
      </c>
      <c r="AB44" s="74">
        <v>0</v>
      </c>
    </row>
    <row r="45" spans="1:28" ht="20.100000000000001" customHeight="1" x14ac:dyDescent="0.25">
      <c r="A45" s="65"/>
      <c r="B45" s="8">
        <f t="shared" si="12"/>
        <v>4.1999999999999957</v>
      </c>
      <c r="C45" s="23" t="s">
        <v>74</v>
      </c>
      <c r="D45" s="18" t="s">
        <v>76</v>
      </c>
      <c r="E45" s="9">
        <v>1</v>
      </c>
      <c r="F45" s="137">
        <f>'Performa Invoice (Explained)'!E46</f>
        <v>1</v>
      </c>
      <c r="G45" s="20">
        <f t="shared" ref="G45:G46" si="14">E45/E45</f>
        <v>1</v>
      </c>
      <c r="H45" s="127">
        <v>0</v>
      </c>
      <c r="I45" s="141">
        <f>'Performa Invoice (Explained)'!I46</f>
        <v>0</v>
      </c>
      <c r="J45" s="20">
        <f t="shared" ref="J45:J46" si="15">H45/E45</f>
        <v>0</v>
      </c>
      <c r="K45" s="141">
        <f>'Performa Invoice (Explained)'!K46</f>
        <v>0</v>
      </c>
      <c r="L45" s="127">
        <v>0</v>
      </c>
      <c r="M45" s="20">
        <f t="shared" ref="M45:M46" si="16">L45/E45</f>
        <v>0</v>
      </c>
      <c r="N45" s="9">
        <f t="shared" ref="N45:N46" si="17">H45+L45</f>
        <v>0</v>
      </c>
      <c r="O45" s="20">
        <f t="shared" si="10"/>
        <v>0</v>
      </c>
      <c r="P45" s="9">
        <f t="shared" ref="P45:P46" si="18">E45-N45</f>
        <v>1</v>
      </c>
      <c r="Q45" s="21">
        <f t="shared" ref="Q45:Q46" si="19">G45-O45</f>
        <v>1</v>
      </c>
      <c r="R45" s="11"/>
      <c r="S45" s="58"/>
      <c r="Y45" s="9">
        <v>0</v>
      </c>
      <c r="AA45" s="74">
        <v>0</v>
      </c>
      <c r="AB45" s="74">
        <v>0</v>
      </c>
    </row>
    <row r="46" spans="1:28" ht="20.100000000000001" customHeight="1" x14ac:dyDescent="0.25">
      <c r="A46" s="65"/>
      <c r="B46" s="8">
        <f t="shared" si="12"/>
        <v>4.2099999999999955</v>
      </c>
      <c r="C46" s="23" t="s">
        <v>75</v>
      </c>
      <c r="D46" s="18" t="s">
        <v>77</v>
      </c>
      <c r="E46" s="9">
        <v>1</v>
      </c>
      <c r="F46" s="137">
        <f>'Performa Invoice (Explained)'!E47</f>
        <v>1</v>
      </c>
      <c r="G46" s="20">
        <f t="shared" si="14"/>
        <v>1</v>
      </c>
      <c r="H46" s="127">
        <v>0</v>
      </c>
      <c r="I46" s="141">
        <f>'Performa Invoice (Explained)'!I47</f>
        <v>0</v>
      </c>
      <c r="J46" s="20">
        <f t="shared" si="15"/>
        <v>0</v>
      </c>
      <c r="K46" s="141">
        <f>'Performa Invoice (Explained)'!K47</f>
        <v>0</v>
      </c>
      <c r="L46" s="127">
        <v>0</v>
      </c>
      <c r="M46" s="20">
        <f t="shared" si="16"/>
        <v>0</v>
      </c>
      <c r="N46" s="9">
        <f t="shared" si="17"/>
        <v>0</v>
      </c>
      <c r="O46" s="20">
        <f t="shared" si="10"/>
        <v>0</v>
      </c>
      <c r="P46" s="9">
        <f t="shared" si="18"/>
        <v>1</v>
      </c>
      <c r="Q46" s="21">
        <f t="shared" si="19"/>
        <v>1</v>
      </c>
      <c r="R46" s="11"/>
      <c r="S46" s="58"/>
      <c r="Y46" s="9">
        <v>0</v>
      </c>
      <c r="AA46" s="74">
        <v>0</v>
      </c>
      <c r="AB46" s="74">
        <v>0</v>
      </c>
    </row>
    <row r="47" spans="1:28" ht="20.100000000000001" customHeight="1" x14ac:dyDescent="0.25">
      <c r="A47" s="65"/>
      <c r="B47" s="12">
        <v>5</v>
      </c>
      <c r="C47" s="24" t="s">
        <v>36</v>
      </c>
      <c r="D47" s="24"/>
      <c r="E47" s="30"/>
      <c r="F47" s="30"/>
      <c r="G47" s="24"/>
      <c r="H47" s="129"/>
      <c r="I47" s="132"/>
      <c r="J47" s="13"/>
      <c r="K47" s="132"/>
      <c r="L47" s="129"/>
      <c r="M47" s="13"/>
      <c r="N47" s="13"/>
      <c r="O47" s="13"/>
      <c r="P47" s="13"/>
      <c r="Q47" s="13"/>
      <c r="R47" s="13"/>
      <c r="S47" s="58"/>
      <c r="Y47" s="13"/>
      <c r="AA47" s="74"/>
      <c r="AB47" s="74"/>
    </row>
    <row r="48" spans="1:28" ht="20.100000000000001" customHeight="1" x14ac:dyDescent="0.25">
      <c r="A48" s="65"/>
      <c r="B48" s="8">
        <f>B47+0.01</f>
        <v>5.01</v>
      </c>
      <c r="C48" s="23" t="s">
        <v>37</v>
      </c>
      <c r="D48" s="18" t="s">
        <v>52</v>
      </c>
      <c r="E48" s="9">
        <v>5</v>
      </c>
      <c r="F48" s="137">
        <f>'Performa Invoice (Explained)'!E49</f>
        <v>14</v>
      </c>
      <c r="G48" s="20">
        <f t="shared" si="0"/>
        <v>1</v>
      </c>
      <c r="H48" s="127">
        <v>0</v>
      </c>
      <c r="I48" s="141">
        <f>'Performa Invoice (Explained)'!I49</f>
        <v>0</v>
      </c>
      <c r="J48" s="20">
        <f t="shared" si="1"/>
        <v>0</v>
      </c>
      <c r="K48" s="141">
        <f>'Performa Invoice (Explained)'!K49</f>
        <v>0</v>
      </c>
      <c r="L48" s="127">
        <v>0</v>
      </c>
      <c r="M48" s="20">
        <f t="shared" si="2"/>
        <v>0</v>
      </c>
      <c r="N48" s="9">
        <f t="shared" ref="N48:N58" si="20">H48+L48</f>
        <v>0</v>
      </c>
      <c r="O48" s="20">
        <f t="shared" ref="O48:O58" si="21">I48+M48</f>
        <v>0</v>
      </c>
      <c r="P48" s="9">
        <f t="shared" ref="P48:P58" si="22">E48-N48</f>
        <v>5</v>
      </c>
      <c r="Q48" s="21">
        <f t="shared" ref="Q48:Q58" si="23">G48-O48</f>
        <v>1</v>
      </c>
      <c r="R48" s="11"/>
      <c r="S48" s="58"/>
      <c r="Y48" s="9">
        <v>0</v>
      </c>
      <c r="AA48" s="74">
        <v>0</v>
      </c>
      <c r="AB48" s="74">
        <v>0</v>
      </c>
    </row>
    <row r="49" spans="1:28" ht="20.100000000000001" customHeight="1" x14ac:dyDescent="0.25">
      <c r="A49" s="65"/>
      <c r="B49" s="8">
        <f t="shared" ref="B49:B58" si="24">B48+0.01</f>
        <v>5.0199999999999996</v>
      </c>
      <c r="C49" s="23" t="s">
        <v>38</v>
      </c>
      <c r="D49" s="18" t="s">
        <v>53</v>
      </c>
      <c r="E49" s="9">
        <v>379.88</v>
      </c>
      <c r="F49" s="137">
        <f>'Performa Invoice (Explained)'!E50</f>
        <v>781.1400000000001</v>
      </c>
      <c r="G49" s="20">
        <f t="shared" si="0"/>
        <v>1</v>
      </c>
      <c r="H49" s="127">
        <v>0</v>
      </c>
      <c r="I49" s="141">
        <f>'Performa Invoice (Explained)'!I50</f>
        <v>0</v>
      </c>
      <c r="J49" s="20">
        <f t="shared" si="1"/>
        <v>0</v>
      </c>
      <c r="K49" s="141">
        <f>'Performa Invoice (Explained)'!K50</f>
        <v>0</v>
      </c>
      <c r="L49" s="127">
        <v>0</v>
      </c>
      <c r="M49" s="20">
        <f t="shared" si="2"/>
        <v>0</v>
      </c>
      <c r="N49" s="9">
        <f t="shared" si="20"/>
        <v>0</v>
      </c>
      <c r="O49" s="20">
        <f t="shared" si="21"/>
        <v>0</v>
      </c>
      <c r="P49" s="9">
        <f t="shared" si="22"/>
        <v>379.88</v>
      </c>
      <c r="Q49" s="21">
        <f t="shared" si="23"/>
        <v>1</v>
      </c>
      <c r="R49" s="11"/>
      <c r="S49" s="58"/>
      <c r="Y49" s="9">
        <v>0</v>
      </c>
      <c r="AA49" s="74">
        <v>0</v>
      </c>
      <c r="AB49" s="74">
        <v>0</v>
      </c>
    </row>
    <row r="50" spans="1:28" ht="20.100000000000001" customHeight="1" x14ac:dyDescent="0.25">
      <c r="A50" s="65"/>
      <c r="B50" s="8">
        <f t="shared" si="24"/>
        <v>5.0299999999999994</v>
      </c>
      <c r="C50" s="23" t="s">
        <v>39</v>
      </c>
      <c r="D50" s="18" t="s">
        <v>53</v>
      </c>
      <c r="E50" s="9">
        <f>E49</f>
        <v>379.88</v>
      </c>
      <c r="F50" s="137">
        <f>'Performa Invoice (Explained)'!E51</f>
        <v>781.1400000000001</v>
      </c>
      <c r="G50" s="20">
        <f t="shared" si="0"/>
        <v>1</v>
      </c>
      <c r="H50" s="127">
        <v>0</v>
      </c>
      <c r="I50" s="141">
        <f>'Performa Invoice (Explained)'!I51</f>
        <v>0</v>
      </c>
      <c r="J50" s="20">
        <f t="shared" si="1"/>
        <v>0</v>
      </c>
      <c r="K50" s="141">
        <f>'Performa Invoice (Explained)'!K51</f>
        <v>0</v>
      </c>
      <c r="L50" s="127">
        <v>0</v>
      </c>
      <c r="M50" s="20">
        <f t="shared" si="2"/>
        <v>0</v>
      </c>
      <c r="N50" s="9">
        <f t="shared" si="20"/>
        <v>0</v>
      </c>
      <c r="O50" s="20">
        <f t="shared" si="21"/>
        <v>0</v>
      </c>
      <c r="P50" s="9">
        <f t="shared" si="22"/>
        <v>379.88</v>
      </c>
      <c r="Q50" s="21">
        <f t="shared" si="23"/>
        <v>1</v>
      </c>
      <c r="R50" s="11"/>
      <c r="S50" s="58"/>
      <c r="Y50" s="9">
        <v>0</v>
      </c>
      <c r="AA50" s="74">
        <v>0</v>
      </c>
      <c r="AB50" s="74">
        <v>0</v>
      </c>
    </row>
    <row r="51" spans="1:28" ht="20.100000000000001" customHeight="1" x14ac:dyDescent="0.25">
      <c r="A51" s="65"/>
      <c r="B51" s="8">
        <f t="shared" si="24"/>
        <v>5.0399999999999991</v>
      </c>
      <c r="C51" s="23" t="s">
        <v>16</v>
      </c>
      <c r="D51" s="18" t="s">
        <v>53</v>
      </c>
      <c r="E51" s="9">
        <f>E50*3</f>
        <v>1139.6399999999999</v>
      </c>
      <c r="F51" s="139">
        <f>'Performa Invoice (Explained)'!E52</f>
        <v>3443</v>
      </c>
      <c r="G51" s="20">
        <f t="shared" si="0"/>
        <v>1</v>
      </c>
      <c r="H51" s="127">
        <v>0</v>
      </c>
      <c r="I51" s="143">
        <f>'Performa Invoice (Explained)'!I52</f>
        <v>0</v>
      </c>
      <c r="J51" s="20">
        <f t="shared" si="1"/>
        <v>0</v>
      </c>
      <c r="K51" s="143">
        <f>'Performa Invoice (Explained)'!K52</f>
        <v>0</v>
      </c>
      <c r="L51" s="127">
        <v>0</v>
      </c>
      <c r="M51" s="20">
        <f t="shared" si="2"/>
        <v>0</v>
      </c>
      <c r="N51" s="9">
        <f t="shared" si="20"/>
        <v>0</v>
      </c>
      <c r="O51" s="20">
        <f t="shared" si="21"/>
        <v>0</v>
      </c>
      <c r="P51" s="9">
        <f t="shared" si="22"/>
        <v>1139.6399999999999</v>
      </c>
      <c r="Q51" s="21">
        <f t="shared" si="23"/>
        <v>1</v>
      </c>
      <c r="R51" s="11"/>
      <c r="S51" s="58"/>
      <c r="Y51" s="9">
        <v>0</v>
      </c>
      <c r="AA51" s="74">
        <v>0</v>
      </c>
      <c r="AB51" s="74">
        <v>0</v>
      </c>
    </row>
    <row r="52" spans="1:28" ht="20.100000000000001" customHeight="1" x14ac:dyDescent="0.25">
      <c r="A52" s="65"/>
      <c r="B52" s="8">
        <f t="shared" si="24"/>
        <v>5.0499999999999989</v>
      </c>
      <c r="C52" s="23" t="s">
        <v>40</v>
      </c>
      <c r="D52" s="18" t="s">
        <v>53</v>
      </c>
      <c r="E52" s="9">
        <f>E50</f>
        <v>379.88</v>
      </c>
      <c r="F52" s="137">
        <f>'Performa Invoice (Explained)'!E53</f>
        <v>781.1400000000001</v>
      </c>
      <c r="G52" s="20">
        <f t="shared" si="0"/>
        <v>1</v>
      </c>
      <c r="H52" s="127">
        <v>0</v>
      </c>
      <c r="I52" s="141">
        <f>'Performa Invoice (Explained)'!I53</f>
        <v>0</v>
      </c>
      <c r="J52" s="20">
        <f t="shared" si="1"/>
        <v>0</v>
      </c>
      <c r="K52" s="141">
        <f>'Performa Invoice (Explained)'!K53</f>
        <v>0</v>
      </c>
      <c r="L52" s="127">
        <v>0</v>
      </c>
      <c r="M52" s="20">
        <f t="shared" si="2"/>
        <v>0</v>
      </c>
      <c r="N52" s="9">
        <f t="shared" si="20"/>
        <v>0</v>
      </c>
      <c r="O52" s="20">
        <f t="shared" si="21"/>
        <v>0</v>
      </c>
      <c r="P52" s="9">
        <f t="shared" si="22"/>
        <v>379.88</v>
      </c>
      <c r="Q52" s="21">
        <f t="shared" si="23"/>
        <v>1</v>
      </c>
      <c r="R52" s="11"/>
      <c r="S52" s="58"/>
      <c r="Y52" s="9">
        <v>0</v>
      </c>
      <c r="AA52" s="74">
        <v>0</v>
      </c>
      <c r="AB52" s="74">
        <v>0</v>
      </c>
    </row>
    <row r="53" spans="1:28" ht="20.100000000000001" customHeight="1" x14ac:dyDescent="0.25">
      <c r="A53" s="65"/>
      <c r="B53" s="8">
        <f t="shared" si="24"/>
        <v>5.0599999999999987</v>
      </c>
      <c r="C53" s="23" t="s">
        <v>41</v>
      </c>
      <c r="D53" s="18" t="s">
        <v>53</v>
      </c>
      <c r="E53" s="9">
        <f>E52</f>
        <v>379.88</v>
      </c>
      <c r="F53" s="137">
        <f>'Performa Invoice (Explained)'!E54</f>
        <v>781.1400000000001</v>
      </c>
      <c r="G53" s="20">
        <f t="shared" si="0"/>
        <v>1</v>
      </c>
      <c r="H53" s="127">
        <v>0</v>
      </c>
      <c r="I53" s="141">
        <f>'Performa Invoice (Explained)'!I54</f>
        <v>0</v>
      </c>
      <c r="J53" s="20">
        <f t="shared" si="1"/>
        <v>0</v>
      </c>
      <c r="K53" s="141">
        <f>'Performa Invoice (Explained)'!K54</f>
        <v>0</v>
      </c>
      <c r="L53" s="127">
        <v>0</v>
      </c>
      <c r="M53" s="20">
        <f t="shared" si="2"/>
        <v>0</v>
      </c>
      <c r="N53" s="9">
        <f t="shared" si="20"/>
        <v>0</v>
      </c>
      <c r="O53" s="20">
        <f t="shared" si="21"/>
        <v>0</v>
      </c>
      <c r="P53" s="9">
        <f t="shared" si="22"/>
        <v>379.88</v>
      </c>
      <c r="Q53" s="21">
        <f t="shared" si="23"/>
        <v>1</v>
      </c>
      <c r="R53" s="11"/>
      <c r="S53" s="58"/>
      <c r="Y53" s="9">
        <v>0</v>
      </c>
      <c r="AA53" s="74">
        <v>0</v>
      </c>
      <c r="AB53" s="74">
        <v>0</v>
      </c>
    </row>
    <row r="54" spans="1:28" ht="20.100000000000001" customHeight="1" x14ac:dyDescent="0.25">
      <c r="A54" s="65"/>
      <c r="B54" s="8">
        <f t="shared" si="24"/>
        <v>5.0699999999999985</v>
      </c>
      <c r="C54" s="23" t="s">
        <v>40</v>
      </c>
      <c r="D54" s="18" t="s">
        <v>53</v>
      </c>
      <c r="E54" s="9">
        <f>E53</f>
        <v>379.88</v>
      </c>
      <c r="F54" s="137">
        <f>'Performa Invoice (Explained)'!E55</f>
        <v>781.1400000000001</v>
      </c>
      <c r="G54" s="20">
        <f t="shared" si="0"/>
        <v>1</v>
      </c>
      <c r="H54" s="127">
        <v>0</v>
      </c>
      <c r="I54" s="141">
        <f>'Performa Invoice (Explained)'!I55</f>
        <v>0</v>
      </c>
      <c r="J54" s="20">
        <f t="shared" si="1"/>
        <v>0</v>
      </c>
      <c r="K54" s="141">
        <f>'Performa Invoice (Explained)'!K55</f>
        <v>0</v>
      </c>
      <c r="L54" s="127">
        <v>0</v>
      </c>
      <c r="M54" s="20">
        <f t="shared" si="2"/>
        <v>0</v>
      </c>
      <c r="N54" s="9">
        <f t="shared" si="20"/>
        <v>0</v>
      </c>
      <c r="O54" s="20">
        <f t="shared" si="21"/>
        <v>0</v>
      </c>
      <c r="P54" s="9">
        <f t="shared" si="22"/>
        <v>379.88</v>
      </c>
      <c r="Q54" s="21">
        <f t="shared" si="23"/>
        <v>1</v>
      </c>
      <c r="R54" s="11"/>
      <c r="S54" s="58"/>
      <c r="Y54" s="9">
        <v>0</v>
      </c>
      <c r="AA54" s="74">
        <v>0</v>
      </c>
      <c r="AB54" s="74">
        <v>0</v>
      </c>
    </row>
    <row r="55" spans="1:28" ht="20.100000000000001" customHeight="1" x14ac:dyDescent="0.25">
      <c r="A55" s="65"/>
      <c r="B55" s="8">
        <f t="shared" si="24"/>
        <v>5.0799999999999983</v>
      </c>
      <c r="C55" s="23" t="s">
        <v>42</v>
      </c>
      <c r="D55" s="18" t="s">
        <v>53</v>
      </c>
      <c r="E55" s="9">
        <f>E54</f>
        <v>379.88</v>
      </c>
      <c r="F55" s="137">
        <f>'Performa Invoice (Explained)'!E56</f>
        <v>781.1400000000001</v>
      </c>
      <c r="G55" s="20">
        <f t="shared" si="0"/>
        <v>1</v>
      </c>
      <c r="H55" s="127">
        <v>0</v>
      </c>
      <c r="I55" s="141">
        <f>'Performa Invoice (Explained)'!I56</f>
        <v>0</v>
      </c>
      <c r="J55" s="20">
        <f t="shared" si="1"/>
        <v>0</v>
      </c>
      <c r="K55" s="141">
        <f>'Performa Invoice (Explained)'!K56</f>
        <v>0</v>
      </c>
      <c r="L55" s="127">
        <v>0</v>
      </c>
      <c r="M55" s="20">
        <f t="shared" si="2"/>
        <v>0</v>
      </c>
      <c r="N55" s="9">
        <f t="shared" si="20"/>
        <v>0</v>
      </c>
      <c r="O55" s="20">
        <f t="shared" si="21"/>
        <v>0</v>
      </c>
      <c r="P55" s="9">
        <f t="shared" si="22"/>
        <v>379.88</v>
      </c>
      <c r="Q55" s="21">
        <f t="shared" si="23"/>
        <v>1</v>
      </c>
      <c r="R55" s="11"/>
      <c r="S55" s="58"/>
      <c r="Y55" s="9">
        <v>0</v>
      </c>
      <c r="AA55" s="74">
        <v>0</v>
      </c>
      <c r="AB55" s="74">
        <v>0</v>
      </c>
    </row>
    <row r="56" spans="1:28" ht="20.100000000000001" customHeight="1" x14ac:dyDescent="0.25">
      <c r="A56" s="65"/>
      <c r="B56" s="8">
        <f t="shared" si="24"/>
        <v>5.0899999999999981</v>
      </c>
      <c r="C56" s="23" t="s">
        <v>43</v>
      </c>
      <c r="D56" s="18" t="s">
        <v>53</v>
      </c>
      <c r="E56" s="9">
        <f>E55</f>
        <v>379.88</v>
      </c>
      <c r="F56" s="137">
        <f>'Performa Invoice (Explained)'!E57</f>
        <v>781.1400000000001</v>
      </c>
      <c r="G56" s="20">
        <f t="shared" si="0"/>
        <v>1</v>
      </c>
      <c r="H56" s="127">
        <v>0</v>
      </c>
      <c r="I56" s="141">
        <f>'Performa Invoice (Explained)'!I57</f>
        <v>0</v>
      </c>
      <c r="J56" s="20">
        <f t="shared" si="1"/>
        <v>0</v>
      </c>
      <c r="K56" s="141">
        <f>'Performa Invoice (Explained)'!K57</f>
        <v>0</v>
      </c>
      <c r="L56" s="127">
        <v>0</v>
      </c>
      <c r="M56" s="20">
        <f t="shared" si="2"/>
        <v>0</v>
      </c>
      <c r="N56" s="9">
        <f t="shared" si="20"/>
        <v>0</v>
      </c>
      <c r="O56" s="20">
        <f t="shared" si="21"/>
        <v>0</v>
      </c>
      <c r="P56" s="9">
        <f t="shared" si="22"/>
        <v>379.88</v>
      </c>
      <c r="Q56" s="21">
        <f t="shared" si="23"/>
        <v>1</v>
      </c>
      <c r="R56" s="11"/>
      <c r="S56" s="58"/>
      <c r="Y56" s="9">
        <v>0</v>
      </c>
      <c r="AA56" s="74">
        <v>0</v>
      </c>
      <c r="AB56" s="74">
        <v>0</v>
      </c>
    </row>
    <row r="57" spans="1:28" ht="20.100000000000001" customHeight="1" x14ac:dyDescent="0.25">
      <c r="A57" s="65"/>
      <c r="B57" s="8">
        <f t="shared" si="24"/>
        <v>5.0999999999999979</v>
      </c>
      <c r="C57" s="23" t="s">
        <v>44</v>
      </c>
      <c r="D57" s="18" t="s">
        <v>52</v>
      </c>
      <c r="E57" s="9">
        <f>5*2</f>
        <v>10</v>
      </c>
      <c r="F57" s="137">
        <f>'Performa Invoice (Explained)'!E58</f>
        <v>32</v>
      </c>
      <c r="G57" s="20">
        <f t="shared" si="0"/>
        <v>1</v>
      </c>
      <c r="H57" s="127">
        <v>0</v>
      </c>
      <c r="I57" s="141">
        <f>'Performa Invoice (Explained)'!I58</f>
        <v>0</v>
      </c>
      <c r="J57" s="20">
        <f t="shared" si="1"/>
        <v>0</v>
      </c>
      <c r="K57" s="141">
        <f>'Performa Invoice (Explained)'!K58</f>
        <v>0</v>
      </c>
      <c r="L57" s="127">
        <v>0</v>
      </c>
      <c r="M57" s="20">
        <f t="shared" si="2"/>
        <v>0</v>
      </c>
      <c r="N57" s="9">
        <f t="shared" si="20"/>
        <v>0</v>
      </c>
      <c r="O57" s="20">
        <f t="shared" si="21"/>
        <v>0</v>
      </c>
      <c r="P57" s="9">
        <f t="shared" si="22"/>
        <v>10</v>
      </c>
      <c r="Q57" s="21">
        <f t="shared" si="23"/>
        <v>1</v>
      </c>
      <c r="R57" s="11"/>
      <c r="S57" s="58"/>
      <c r="Y57" s="9">
        <v>0</v>
      </c>
      <c r="AA57" s="74">
        <v>0</v>
      </c>
      <c r="AB57" s="74">
        <v>0</v>
      </c>
    </row>
    <row r="58" spans="1:28" ht="20.100000000000001" customHeight="1" x14ac:dyDescent="0.25">
      <c r="A58" s="65"/>
      <c r="B58" s="8">
        <f t="shared" si="24"/>
        <v>5.1099999999999977</v>
      </c>
      <c r="C58" s="23" t="s">
        <v>45</v>
      </c>
      <c r="D58" s="18" t="s">
        <v>52</v>
      </c>
      <c r="E58" s="9">
        <f>E57*3</f>
        <v>30</v>
      </c>
      <c r="F58" s="137">
        <f>'Performa Invoice (Explained)'!E59</f>
        <v>96</v>
      </c>
      <c r="G58" s="20">
        <f t="shared" si="0"/>
        <v>1</v>
      </c>
      <c r="H58" s="127">
        <v>0</v>
      </c>
      <c r="I58" s="141">
        <f>'Performa Invoice (Explained)'!I59</f>
        <v>0</v>
      </c>
      <c r="J58" s="20">
        <f t="shared" si="1"/>
        <v>0</v>
      </c>
      <c r="K58" s="141">
        <f>'Performa Invoice (Explained)'!K59</f>
        <v>0</v>
      </c>
      <c r="L58" s="127">
        <v>0</v>
      </c>
      <c r="M58" s="20">
        <f t="shared" si="2"/>
        <v>0</v>
      </c>
      <c r="N58" s="9">
        <f t="shared" si="20"/>
        <v>0</v>
      </c>
      <c r="O58" s="20">
        <f t="shared" si="21"/>
        <v>0</v>
      </c>
      <c r="P58" s="9">
        <f t="shared" si="22"/>
        <v>30</v>
      </c>
      <c r="Q58" s="21">
        <f t="shared" si="23"/>
        <v>1</v>
      </c>
      <c r="R58" s="11"/>
      <c r="S58" s="58"/>
      <c r="Y58" s="9">
        <v>0</v>
      </c>
      <c r="AA58" s="74">
        <v>0</v>
      </c>
      <c r="AB58" s="74">
        <v>0</v>
      </c>
    </row>
    <row r="59" spans="1:28" ht="20.100000000000001" customHeight="1" x14ac:dyDescent="0.25">
      <c r="A59" s="65"/>
      <c r="B59" s="167" t="s">
        <v>46</v>
      </c>
      <c r="C59" s="168"/>
      <c r="D59" s="14"/>
      <c r="E59" s="31"/>
      <c r="F59" s="76"/>
      <c r="G59" s="25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58"/>
      <c r="AA59" s="74"/>
      <c r="AB59" s="74"/>
    </row>
    <row r="60" spans="1:28" ht="6" customHeight="1" x14ac:dyDescent="0.25">
      <c r="A60" s="65"/>
      <c r="E60" s="57"/>
      <c r="F60" s="57"/>
      <c r="S60" s="58"/>
    </row>
    <row r="61" spans="1:28" ht="18" customHeight="1" x14ac:dyDescent="0.25">
      <c r="A61" s="65"/>
      <c r="B61" s="41" t="s">
        <v>78</v>
      </c>
      <c r="C61" s="42"/>
      <c r="D61" s="42"/>
      <c r="E61" s="43"/>
      <c r="F61" s="43"/>
      <c r="G61" s="44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6"/>
      <c r="S61" s="58"/>
    </row>
    <row r="62" spans="1:28" ht="16.5" customHeight="1" x14ac:dyDescent="0.25">
      <c r="A62" s="65"/>
      <c r="B62" s="47" t="s">
        <v>79</v>
      </c>
      <c r="C62" s="48"/>
      <c r="D62" s="48"/>
      <c r="E62" s="48" t="s">
        <v>47</v>
      </c>
      <c r="F62" s="48"/>
      <c r="H62" s="49"/>
      <c r="I62" s="49"/>
      <c r="J62" s="49"/>
      <c r="K62" s="49"/>
      <c r="L62" s="49"/>
      <c r="M62" s="48" t="s">
        <v>80</v>
      </c>
      <c r="N62" s="49"/>
      <c r="O62" s="49"/>
      <c r="P62" s="49"/>
      <c r="Q62" s="49"/>
      <c r="R62" s="50"/>
      <c r="S62" s="58"/>
    </row>
    <row r="63" spans="1:28" ht="17.25" customHeight="1" x14ac:dyDescent="0.25">
      <c r="A63" s="65"/>
      <c r="B63" s="47" t="s">
        <v>48</v>
      </c>
      <c r="C63" s="48"/>
      <c r="D63" s="48"/>
      <c r="E63" s="48" t="s">
        <v>50</v>
      </c>
      <c r="F63" s="48"/>
      <c r="H63" s="49"/>
      <c r="I63" s="49"/>
      <c r="J63" s="49"/>
      <c r="K63" s="49"/>
      <c r="L63" s="49"/>
      <c r="M63" s="48" t="s">
        <v>49</v>
      </c>
      <c r="N63" s="49"/>
      <c r="O63" s="49"/>
      <c r="P63" s="49"/>
      <c r="Q63" s="49"/>
      <c r="R63" s="50"/>
      <c r="S63" s="58"/>
    </row>
    <row r="64" spans="1:28" ht="41.25" customHeight="1" x14ac:dyDescent="0.25">
      <c r="A64" s="65"/>
      <c r="B64" s="51"/>
      <c r="C64" s="52"/>
      <c r="D64" s="52"/>
      <c r="E64" s="53"/>
      <c r="F64" s="53"/>
      <c r="G64" s="54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6"/>
      <c r="S64" s="58"/>
    </row>
    <row r="65" spans="1:19" ht="18" customHeight="1" x14ac:dyDescent="0.25">
      <c r="A65" s="65"/>
      <c r="B65" s="41" t="s">
        <v>59</v>
      </c>
      <c r="C65" s="42"/>
      <c r="D65" s="42"/>
      <c r="E65" s="43"/>
      <c r="F65" s="43"/>
      <c r="G65" s="44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6"/>
      <c r="S65" s="58"/>
    </row>
    <row r="66" spans="1:19" ht="18.75" customHeight="1" x14ac:dyDescent="0.25">
      <c r="A66" s="65"/>
      <c r="B66" s="47" t="s">
        <v>81</v>
      </c>
      <c r="C66" s="48"/>
      <c r="D66" s="48"/>
      <c r="E66" s="48" t="s">
        <v>47</v>
      </c>
      <c r="F66" s="48"/>
      <c r="H66" s="49"/>
      <c r="I66" s="49"/>
      <c r="J66" s="49"/>
      <c r="K66" s="49"/>
      <c r="L66" s="49"/>
      <c r="M66" s="48" t="s">
        <v>80</v>
      </c>
      <c r="N66" s="49"/>
      <c r="O66" s="49"/>
      <c r="P66" s="49"/>
      <c r="Q66" s="49"/>
      <c r="R66" s="50"/>
      <c r="S66" s="58"/>
    </row>
    <row r="67" spans="1:19" ht="14.45" customHeight="1" x14ac:dyDescent="0.25">
      <c r="A67" s="65"/>
      <c r="B67" s="47" t="s">
        <v>82</v>
      </c>
      <c r="E67" s="48" t="s">
        <v>50</v>
      </c>
      <c r="F67" s="48"/>
      <c r="M67" s="48" t="s">
        <v>49</v>
      </c>
      <c r="R67" s="58"/>
      <c r="S67" s="58"/>
    </row>
    <row r="68" spans="1:19" ht="55.5" customHeight="1" x14ac:dyDescent="0.25">
      <c r="A68" s="65"/>
      <c r="B68" s="59"/>
      <c r="C68" s="60"/>
      <c r="D68" s="60"/>
      <c r="E68" s="53"/>
      <c r="F68" s="53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61"/>
      <c r="S68" s="58"/>
    </row>
    <row r="69" spans="1:19" ht="11.25" customHeight="1" x14ac:dyDescent="0.25">
      <c r="A69" s="59"/>
      <c r="B69" s="60"/>
      <c r="C69" s="60"/>
      <c r="D69" s="60"/>
      <c r="E69" s="53"/>
      <c r="F69" s="53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60"/>
      <c r="S69" s="61"/>
    </row>
    <row r="72" spans="1:19" ht="21" customHeight="1" thickBot="1" x14ac:dyDescent="0.3">
      <c r="A72" s="15"/>
      <c r="B72" s="16"/>
      <c r="C72" s="16"/>
      <c r="D72" s="16"/>
      <c r="E72" s="33"/>
      <c r="F72" s="33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16"/>
      <c r="S72" s="17"/>
    </row>
  </sheetData>
  <sheetProtection selectLockedCells="1"/>
  <mergeCells count="5">
    <mergeCell ref="N3:O3"/>
    <mergeCell ref="N5:O5"/>
    <mergeCell ref="P5:Q5"/>
    <mergeCell ref="B9:R9"/>
    <mergeCell ref="B59:C59"/>
  </mergeCells>
  <conditionalFormatting sqref="F10:F59">
    <cfRule type="cellIs" dxfId="4" priority="5" operator="equal">
      <formula>0</formula>
    </cfRule>
  </conditionalFormatting>
  <conditionalFormatting sqref="I10:I58">
    <cfRule type="cellIs" dxfId="3" priority="3" operator="equal">
      <formula>0</formula>
    </cfRule>
  </conditionalFormatting>
  <conditionalFormatting sqref="K10:K58">
    <cfRule type="cellIs" dxfId="2" priority="1" operator="equal">
      <formula>0</formula>
    </cfRule>
  </conditionalFormatting>
  <pageMargins left="0.25" right="0.25" top="0.5" bottom="0.5" header="0.3" footer="0.3"/>
  <pageSetup scale="56" fitToHeight="0" orientation="landscape" r:id="rId1"/>
  <ignoredErrors>
    <ignoredError sqref="E22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C66D6-7E88-4560-8EAF-C34ADEA03C52}">
  <sheetPr>
    <pageSetUpPr fitToPage="1"/>
  </sheetPr>
  <dimension ref="A1:AJ72"/>
  <sheetViews>
    <sheetView showGridLines="0" view="pageBreakPreview" zoomScaleNormal="100" zoomScaleSheetLayoutView="100" workbookViewId="0">
      <pane ySplit="10" topLeftCell="A11" activePane="bottomLeft" state="frozen"/>
      <selection pane="bottomLeft" activeCell="S18" sqref="S18"/>
    </sheetView>
  </sheetViews>
  <sheetFormatPr defaultColWidth="9.28515625" defaultRowHeight="21" customHeight="1" x14ac:dyDescent="0.25"/>
  <cols>
    <col min="1" max="1" width="2.42578125" style="1" customWidth="1"/>
    <col min="2" max="2" width="7.5703125" style="1" customWidth="1"/>
    <col min="3" max="3" width="39.85546875" style="1" bestFit="1" customWidth="1"/>
    <col min="4" max="4" width="7.140625" style="1" customWidth="1"/>
    <col min="5" max="5" width="11.28515625" style="32" bestFit="1" customWidth="1"/>
    <col min="6" max="6" width="9.7109375" style="34" customWidth="1"/>
    <col min="7" max="7" width="12.140625" style="34" customWidth="1"/>
    <col min="8" max="8" width="9.140625" style="34" customWidth="1"/>
    <col min="9" max="9" width="16.42578125" style="34" bestFit="1" customWidth="1"/>
    <col min="10" max="10" width="12.28515625" style="34" customWidth="1"/>
    <col min="11" max="11" width="15.28515625" style="34" customWidth="1"/>
    <col min="12" max="12" width="14.5703125" style="34" customWidth="1"/>
    <col min="13" max="13" width="11.28515625" style="34" customWidth="1"/>
    <col min="14" max="15" width="10.7109375" style="34" customWidth="1"/>
    <col min="16" max="16" width="17.42578125" style="79" bestFit="1" customWidth="1"/>
    <col min="17" max="17" width="17.42578125" style="112" bestFit="1" customWidth="1"/>
    <col min="18" max="20" width="17.42578125" style="112" customWidth="1"/>
    <col min="21" max="21" width="17.7109375" style="1" customWidth="1"/>
    <col min="22" max="22" width="2.5703125" style="1" customWidth="1"/>
    <col min="23" max="23" width="4.7109375" style="1" customWidth="1"/>
    <col min="24" max="25" width="9.28515625" style="1" hidden="1" customWidth="1"/>
    <col min="26" max="26" width="9" style="1" hidden="1" customWidth="1"/>
    <col min="27" max="27" width="9.28515625" style="1" hidden="1" customWidth="1"/>
    <col min="28" max="28" width="11.28515625" style="1" hidden="1" customWidth="1"/>
    <col min="29" max="29" width="0" style="1" hidden="1" customWidth="1"/>
    <col min="30" max="30" width="13.42578125" style="1" hidden="1" customWidth="1"/>
    <col min="31" max="31" width="0" style="1" hidden="1" customWidth="1"/>
    <col min="32" max="32" width="4" style="1" customWidth="1"/>
    <col min="33" max="33" width="9.28515625" style="1"/>
    <col min="34" max="34" width="24.42578125" style="93" customWidth="1"/>
    <col min="35" max="35" width="9.28515625" style="1"/>
    <col min="36" max="36" width="16.28515625" style="1" bestFit="1" customWidth="1"/>
    <col min="37" max="16384" width="9.28515625" style="1"/>
  </cols>
  <sheetData>
    <row r="1" spans="1:36" ht="9.6" customHeight="1" x14ac:dyDescent="0.25">
      <c r="A1" s="62"/>
      <c r="B1" s="63"/>
      <c r="C1" s="63"/>
      <c r="D1" s="63"/>
      <c r="E1" s="43"/>
      <c r="F1" s="44"/>
      <c r="G1" s="44"/>
      <c r="H1" s="44"/>
      <c r="I1" s="44"/>
      <c r="J1" s="44"/>
      <c r="K1" s="44"/>
      <c r="L1" s="44"/>
      <c r="M1" s="44"/>
      <c r="N1" s="44"/>
      <c r="O1" s="44"/>
      <c r="P1" s="78"/>
      <c r="Q1" s="111"/>
      <c r="R1" s="111"/>
      <c r="S1" s="111"/>
      <c r="T1" s="111"/>
      <c r="U1" s="63"/>
      <c r="V1" s="64"/>
    </row>
    <row r="2" spans="1:36" ht="41.25" customHeight="1" x14ac:dyDescent="0.25">
      <c r="A2" s="65"/>
      <c r="E2" s="57"/>
      <c r="V2" s="58"/>
    </row>
    <row r="3" spans="1:36" ht="12.75" customHeight="1" x14ac:dyDescent="0.25">
      <c r="A3" s="65"/>
      <c r="B3" s="48" t="s">
        <v>0</v>
      </c>
      <c r="E3" s="57"/>
      <c r="O3" s="66"/>
      <c r="P3" s="80"/>
      <c r="Q3" s="113"/>
      <c r="R3" s="162" t="s">
        <v>58</v>
      </c>
      <c r="S3" s="162"/>
      <c r="T3" s="66">
        <f>'Measurement Sheet (Original+VO)'!V3</f>
        <v>45791</v>
      </c>
      <c r="U3" s="66">
        <f>'Measurement Sheet (Original+VO)'!X3</f>
        <v>45855</v>
      </c>
      <c r="V3" s="58"/>
    </row>
    <row r="4" spans="1:36" ht="12.75" customHeight="1" x14ac:dyDescent="0.25">
      <c r="A4" s="65"/>
      <c r="B4" s="48" t="s">
        <v>1</v>
      </c>
      <c r="E4" s="57"/>
      <c r="R4" s="34"/>
      <c r="S4" s="34"/>
      <c r="T4" s="34"/>
      <c r="U4" s="34"/>
      <c r="V4" s="58"/>
    </row>
    <row r="5" spans="1:36" ht="12.75" customHeight="1" x14ac:dyDescent="0.25">
      <c r="A5" s="65"/>
      <c r="B5" s="48" t="s">
        <v>2</v>
      </c>
      <c r="E5" s="57"/>
      <c r="O5" s="66"/>
      <c r="P5" s="80"/>
      <c r="Q5" s="113"/>
      <c r="R5" s="162" t="s">
        <v>57</v>
      </c>
      <c r="S5" s="162"/>
      <c r="T5" s="163">
        <f>U3+1</f>
        <v>45856</v>
      </c>
      <c r="U5" s="163"/>
      <c r="V5" s="58"/>
    </row>
    <row r="6" spans="1:36" ht="2.4500000000000002" customHeight="1" x14ac:dyDescent="0.25">
      <c r="A6" s="65"/>
      <c r="E6" s="57"/>
      <c r="V6" s="58"/>
    </row>
    <row r="7" spans="1:36" ht="21" hidden="1" customHeight="1" x14ac:dyDescent="0.25">
      <c r="A7" s="65"/>
      <c r="B7" s="1" t="s">
        <v>3</v>
      </c>
      <c r="E7" s="57"/>
      <c r="V7" s="58"/>
    </row>
    <row r="8" spans="1:36" ht="21" hidden="1" customHeight="1" x14ac:dyDescent="0.25">
      <c r="A8" s="65"/>
      <c r="B8" s="2">
        <f>'[1]Construction Summary'!$M$2</f>
        <v>6409553.3849999998</v>
      </c>
      <c r="E8" s="57"/>
      <c r="V8" s="58"/>
    </row>
    <row r="9" spans="1:36" s="3" customFormat="1" ht="21" customHeight="1" x14ac:dyDescent="0.25">
      <c r="A9" s="69"/>
      <c r="B9" s="164" t="s">
        <v>99</v>
      </c>
      <c r="C9" s="165"/>
      <c r="D9" s="165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5"/>
      <c r="U9" s="166"/>
      <c r="V9" s="70"/>
      <c r="AH9" s="94"/>
    </row>
    <row r="10" spans="1:36" s="5" customFormat="1" ht="31.5" x14ac:dyDescent="0.25">
      <c r="A10" s="71"/>
      <c r="B10" s="4" t="s">
        <v>4</v>
      </c>
      <c r="C10" s="4" t="s">
        <v>5</v>
      </c>
      <c r="D10" s="4" t="s">
        <v>51</v>
      </c>
      <c r="E10" s="28" t="s">
        <v>60</v>
      </c>
      <c r="F10" s="4" t="s">
        <v>61</v>
      </c>
      <c r="G10" s="4" t="s">
        <v>62</v>
      </c>
      <c r="H10" s="4" t="s">
        <v>63</v>
      </c>
      <c r="I10" s="4" t="s">
        <v>64</v>
      </c>
      <c r="J10" s="4" t="s">
        <v>65</v>
      </c>
      <c r="K10" s="4" t="s">
        <v>66</v>
      </c>
      <c r="L10" s="4" t="s">
        <v>67</v>
      </c>
      <c r="M10" s="4" t="s">
        <v>68</v>
      </c>
      <c r="N10" s="4" t="s">
        <v>69</v>
      </c>
      <c r="O10" s="4" t="s">
        <v>90</v>
      </c>
      <c r="P10" s="81" t="s">
        <v>83</v>
      </c>
      <c r="Q10" s="114" t="s">
        <v>94</v>
      </c>
      <c r="R10" s="114" t="s">
        <v>91</v>
      </c>
      <c r="S10" s="114" t="s">
        <v>92</v>
      </c>
      <c r="T10" s="114" t="s">
        <v>93</v>
      </c>
      <c r="U10" s="4" t="s">
        <v>6</v>
      </c>
      <c r="V10" s="72"/>
      <c r="AD10" s="73" t="s">
        <v>62</v>
      </c>
      <c r="AE10" s="73" t="s">
        <v>64</v>
      </c>
      <c r="AG10" s="108" t="s">
        <v>84</v>
      </c>
      <c r="AH10" s="109" t="s">
        <v>85</v>
      </c>
      <c r="AI10" s="110" t="s">
        <v>88</v>
      </c>
      <c r="AJ10" s="108" t="s">
        <v>89</v>
      </c>
    </row>
    <row r="11" spans="1:36" ht="21.95" customHeight="1" x14ac:dyDescent="0.25">
      <c r="A11" s="65"/>
      <c r="B11" s="6">
        <f>'Measurement Sheet (Explained)'!B11</f>
        <v>1</v>
      </c>
      <c r="C11" s="6" t="str">
        <f>'Measurement Sheet (Explained)'!C11</f>
        <v>Survey</v>
      </c>
      <c r="D11" s="6"/>
      <c r="E11" s="29"/>
      <c r="F11" s="6"/>
      <c r="G11" s="7"/>
      <c r="H11" s="7"/>
      <c r="I11" s="7"/>
      <c r="J11" s="7"/>
      <c r="K11" s="7"/>
      <c r="L11" s="7"/>
      <c r="M11" s="7"/>
      <c r="N11" s="7"/>
      <c r="O11" s="7"/>
      <c r="P11" s="82"/>
      <c r="Q11" s="115"/>
      <c r="R11" s="115"/>
      <c r="S11" s="115"/>
      <c r="T11" s="115"/>
      <c r="U11" s="7"/>
      <c r="V11" s="58"/>
      <c r="AD11" s="74"/>
      <c r="AE11" s="74"/>
      <c r="AG11" s="104">
        <v>1</v>
      </c>
      <c r="AH11" s="105" t="s">
        <v>7</v>
      </c>
      <c r="AI11" s="106">
        <v>0.03</v>
      </c>
      <c r="AJ11" s="107">
        <v>192286.60154999999</v>
      </c>
    </row>
    <row r="12" spans="1:36" ht="21.95" customHeight="1" x14ac:dyDescent="0.25">
      <c r="A12" s="65"/>
      <c r="B12" s="8">
        <f>'Measurement Sheet (Explained)'!B12</f>
        <v>1.01</v>
      </c>
      <c r="C12" s="8" t="str">
        <f>'Measurement Sheet (Explained)'!C12</f>
        <v>Project Complete  Surveying</v>
      </c>
      <c r="D12" s="8" t="str">
        <f>'Measurement Sheet (Explained)'!D12</f>
        <v>NOS</v>
      </c>
      <c r="E12" s="9">
        <f>'Measurement Sheet (Explained)'!E12</f>
        <v>1</v>
      </c>
      <c r="F12" s="20">
        <f>'Measurement Sheet (Explained)'!G12</f>
        <v>1</v>
      </c>
      <c r="G12" s="130">
        <f>'Measurement Sheet (Explained)'!H12</f>
        <v>1</v>
      </c>
      <c r="H12" s="20">
        <f>'Measurement Sheet (Explained)'!J12</f>
        <v>1</v>
      </c>
      <c r="I12" s="130">
        <f>'Measurement Sheet (Explained)'!L12</f>
        <v>0</v>
      </c>
      <c r="J12" s="20">
        <f>'Measurement Sheet (Explained)'!M12</f>
        <v>0</v>
      </c>
      <c r="K12" s="9">
        <f>'Measurement Sheet (Explained)'!N12</f>
        <v>1</v>
      </c>
      <c r="L12" s="20">
        <f>'Measurement Sheet (Explained)'!O12</f>
        <v>1</v>
      </c>
      <c r="M12" s="9">
        <f>'Measurement Sheet (Explained)'!P12</f>
        <v>0</v>
      </c>
      <c r="N12" s="21">
        <f>'Measurement Sheet (Explained)'!Q12</f>
        <v>0</v>
      </c>
      <c r="O12" s="21">
        <v>0.03</v>
      </c>
      <c r="P12" s="83">
        <f>O12*$AJ$18</f>
        <v>192286.60154999999</v>
      </c>
      <c r="Q12" s="116">
        <f>H12*P12</f>
        <v>192286.60154999999</v>
      </c>
      <c r="R12" s="116">
        <f>J12*P12</f>
        <v>0</v>
      </c>
      <c r="S12" s="116">
        <f>R12+Q12</f>
        <v>192286.60154999999</v>
      </c>
      <c r="T12" s="116">
        <f>P12-S12</f>
        <v>0</v>
      </c>
      <c r="U12" s="27" t="str">
        <f>'Measurement Sheet (Explained)'!R12</f>
        <v>Completed</v>
      </c>
      <c r="V12" s="58"/>
      <c r="AB12" s="9">
        <v>0</v>
      </c>
      <c r="AD12" s="74">
        <v>1</v>
      </c>
      <c r="AE12" s="74">
        <v>0</v>
      </c>
      <c r="AG12" s="90">
        <v>2</v>
      </c>
      <c r="AH12" s="95" t="s">
        <v>9</v>
      </c>
      <c r="AI12" s="98">
        <v>0.2</v>
      </c>
      <c r="AJ12" s="100">
        <v>1281910.6770000001</v>
      </c>
    </row>
    <row r="13" spans="1:36" ht="21.95" customHeight="1" x14ac:dyDescent="0.25">
      <c r="A13" s="65"/>
      <c r="B13" s="6">
        <f>'Measurement Sheet (Explained)'!B13</f>
        <v>2</v>
      </c>
      <c r="C13" s="6" t="str">
        <f>'Measurement Sheet (Explained)'!C13</f>
        <v>Access Road</v>
      </c>
      <c r="D13" s="6"/>
      <c r="E13" s="29"/>
      <c r="F13" s="6"/>
      <c r="G13" s="7"/>
      <c r="H13" s="7"/>
      <c r="I13" s="7"/>
      <c r="J13" s="7"/>
      <c r="K13" s="7"/>
      <c r="L13" s="7"/>
      <c r="M13" s="7"/>
      <c r="N13" s="7"/>
      <c r="O13" s="7"/>
      <c r="P13" s="82"/>
      <c r="Q13" s="115"/>
      <c r="R13" s="115"/>
      <c r="S13" s="115"/>
      <c r="T13" s="115"/>
      <c r="U13" s="7"/>
      <c r="V13" s="58"/>
      <c r="AB13" s="7"/>
      <c r="AD13" s="74"/>
      <c r="AE13" s="74"/>
      <c r="AG13" s="90">
        <v>3</v>
      </c>
      <c r="AH13" s="95" t="s">
        <v>12</v>
      </c>
      <c r="AI13" s="98">
        <v>0.15</v>
      </c>
      <c r="AJ13" s="100">
        <v>961433.00774999987</v>
      </c>
    </row>
    <row r="14" spans="1:36" ht="21.95" customHeight="1" x14ac:dyDescent="0.25">
      <c r="A14" s="65"/>
      <c r="B14" s="8">
        <f>'Measurement Sheet (Explained)'!B14</f>
        <v>2.0099999999999998</v>
      </c>
      <c r="C14" s="8" t="str">
        <f>'Measurement Sheet (Explained)'!C14</f>
        <v>Access Road Surveying</v>
      </c>
      <c r="D14" s="8" t="str">
        <f>'Measurement Sheet (Explained)'!D14</f>
        <v>LM</v>
      </c>
      <c r="E14" s="39">
        <f>'Measurement Sheet (Explained)'!E14</f>
        <v>11870.597999999998</v>
      </c>
      <c r="F14" s="20">
        <f>'Measurement Sheet (Explained)'!G14</f>
        <v>1</v>
      </c>
      <c r="G14" s="130">
        <f>'Measurement Sheet (Explained)'!H14</f>
        <v>11965.44</v>
      </c>
      <c r="H14" s="20">
        <f>'Measurement Sheet (Explained)'!J14</f>
        <v>1.0079896564604414</v>
      </c>
      <c r="I14" s="130">
        <f>'Measurement Sheet (Explained)'!L14</f>
        <v>0</v>
      </c>
      <c r="J14" s="20">
        <f>'Measurement Sheet (Explained)'!M14</f>
        <v>0</v>
      </c>
      <c r="K14" s="9">
        <f>'Measurement Sheet (Explained)'!N14</f>
        <v>11965.44</v>
      </c>
      <c r="L14" s="20">
        <f>'Measurement Sheet (Explained)'!O14</f>
        <v>1</v>
      </c>
      <c r="M14" s="9">
        <f>'Measurement Sheet (Explained)'!P14</f>
        <v>-94.842000000002372</v>
      </c>
      <c r="N14" s="21">
        <f>'Measurement Sheet (Explained)'!Q14</f>
        <v>0</v>
      </c>
      <c r="O14" s="21">
        <v>0.03</v>
      </c>
      <c r="P14" s="83">
        <f>O14*$AJ$18</f>
        <v>192286.60154999999</v>
      </c>
      <c r="Q14" s="116">
        <f>H14*P14</f>
        <v>193822.90543833026</v>
      </c>
      <c r="R14" s="116">
        <f t="shared" ref="R14:R18" si="0">J14*P14</f>
        <v>0</v>
      </c>
      <c r="S14" s="116">
        <f t="shared" ref="S14:S18" si="1">R14+Q14</f>
        <v>193822.90543833026</v>
      </c>
      <c r="T14" s="116">
        <f>P14-S14</f>
        <v>-1536.3038883302652</v>
      </c>
      <c r="U14" s="27" t="str">
        <f>'Measurement Sheet (Explained)'!R14</f>
        <v>Completed</v>
      </c>
      <c r="V14" s="58"/>
      <c r="AB14" s="9">
        <v>0</v>
      </c>
      <c r="AD14" s="74">
        <v>11965.44</v>
      </c>
      <c r="AE14" s="74">
        <v>0</v>
      </c>
      <c r="AG14" s="90">
        <v>4</v>
      </c>
      <c r="AH14" s="95" t="s">
        <v>18</v>
      </c>
      <c r="AI14" s="98">
        <v>0.5</v>
      </c>
      <c r="AJ14" s="101">
        <v>3204776.6924999999</v>
      </c>
    </row>
    <row r="15" spans="1:36" ht="21.95" customHeight="1" x14ac:dyDescent="0.25">
      <c r="A15" s="65"/>
      <c r="B15" s="8">
        <f>'Measurement Sheet (Explained)'!B15</f>
        <v>2.0199999999999996</v>
      </c>
      <c r="C15" s="8" t="str">
        <f>'Measurement Sheet (Explained)'!C15</f>
        <v>Grading</v>
      </c>
      <c r="D15" s="8" t="str">
        <f>'Measurement Sheet (Explained)'!D15</f>
        <v>LM</v>
      </c>
      <c r="E15" s="39">
        <f>'Measurement Sheet (Explained)'!E15</f>
        <v>11870.597999999998</v>
      </c>
      <c r="F15" s="20">
        <f>'Measurement Sheet (Explained)'!G15</f>
        <v>1</v>
      </c>
      <c r="G15" s="130">
        <f>'Measurement Sheet (Explained)'!H15</f>
        <v>11525.111808</v>
      </c>
      <c r="H15" s="20">
        <f>'Measurement Sheet (Explained)'!J15</f>
        <v>0.97089563710269711</v>
      </c>
      <c r="I15" s="130">
        <f>'Measurement Sheet (Explained)'!L15</f>
        <v>0</v>
      </c>
      <c r="J15" s="20">
        <f>'Measurement Sheet (Explained)'!M15</f>
        <v>0</v>
      </c>
      <c r="K15" s="9">
        <f>'Measurement Sheet (Explained)'!N15</f>
        <v>11525.111808</v>
      </c>
      <c r="L15" s="20">
        <f>'Measurement Sheet (Explained)'!O15</f>
        <v>0.96319999999999995</v>
      </c>
      <c r="M15" s="9">
        <f>'Measurement Sheet (Explained)'!P15</f>
        <v>345.48619199999848</v>
      </c>
      <c r="N15" s="21">
        <f>'Measurement Sheet (Explained)'!Q15</f>
        <v>3.6800000000000055E-2</v>
      </c>
      <c r="O15" s="21">
        <v>0.05</v>
      </c>
      <c r="P15" s="83">
        <f>O15*$AJ$18</f>
        <v>320477.66925000004</v>
      </c>
      <c r="Q15" s="116">
        <f>H15*P15</f>
        <v>311150.37086366623</v>
      </c>
      <c r="R15" s="116">
        <f t="shared" si="0"/>
        <v>0</v>
      </c>
      <c r="S15" s="116">
        <f t="shared" si="1"/>
        <v>311150.37086366623</v>
      </c>
      <c r="T15" s="116">
        <f>P15-S15</f>
        <v>9327.2983863338013</v>
      </c>
      <c r="U15" s="10" t="str">
        <f>IF(ISBLANK('Measurement Sheet (Explained)'!R15),"",'Measurement Sheet (Explained)'!R15)</f>
        <v/>
      </c>
      <c r="V15" s="58"/>
      <c r="AB15" s="9">
        <v>0</v>
      </c>
      <c r="AD15" s="74">
        <v>11525.111808</v>
      </c>
      <c r="AE15" s="74">
        <v>0</v>
      </c>
      <c r="AG15" s="91">
        <v>4.0999999999999996</v>
      </c>
      <c r="AH15" s="96" t="s">
        <v>86</v>
      </c>
      <c r="AI15" s="98"/>
      <c r="AJ15" s="102">
        <v>0</v>
      </c>
    </row>
    <row r="16" spans="1:36" ht="21.95" customHeight="1" x14ac:dyDescent="0.25">
      <c r="A16" s="65"/>
      <c r="B16" s="8">
        <f>'Measurement Sheet (Explained)'!B16</f>
        <v>2.0299999999999994</v>
      </c>
      <c r="C16" s="8" t="str">
        <f>'Measurement Sheet (Explained)'!C16</f>
        <v>Water Pouring</v>
      </c>
      <c r="D16" s="8" t="str">
        <f>'Measurement Sheet (Explained)'!D16</f>
        <v>LM</v>
      </c>
      <c r="E16" s="39">
        <f>'Measurement Sheet (Explained)'!E16</f>
        <v>11870.597999999998</v>
      </c>
      <c r="F16" s="20">
        <f>'Measurement Sheet (Explained)'!G16</f>
        <v>1</v>
      </c>
      <c r="G16" s="130">
        <f>'Measurement Sheet (Explained)'!H16</f>
        <v>10563.090432000001</v>
      </c>
      <c r="H16" s="20">
        <f>'Measurement Sheet (Explained)'!J16</f>
        <v>0.88985326872327764</v>
      </c>
      <c r="I16" s="130">
        <f>'Measurement Sheet (Explained)'!L16</f>
        <v>835.25856800000099</v>
      </c>
      <c r="J16" s="20">
        <f>'Measurement Sheet (Explained)'!M16</f>
        <v>7.0363647054680914E-2</v>
      </c>
      <c r="K16" s="9">
        <f>'Measurement Sheet (Explained)'!N16</f>
        <v>11398.349000000002</v>
      </c>
      <c r="L16" s="20">
        <f>'Measurement Sheet (Explained)'!O16</f>
        <v>0.95316364705468093</v>
      </c>
      <c r="M16" s="9">
        <f>'Measurement Sheet (Explained)'!P16</f>
        <v>472.24899999999616</v>
      </c>
      <c r="N16" s="21">
        <f>'Measurement Sheet (Explained)'!Q16</f>
        <v>4.6836352945319071E-2</v>
      </c>
      <c r="O16" s="21">
        <v>0.02</v>
      </c>
      <c r="P16" s="83">
        <f>O16*$AJ$18</f>
        <v>128191.0677</v>
      </c>
      <c r="Q16" s="116">
        <f>H16*P16</f>
        <v>114071.24061397198</v>
      </c>
      <c r="R16" s="116">
        <f t="shared" si="0"/>
        <v>9019.9910432055058</v>
      </c>
      <c r="S16" s="116">
        <f t="shared" si="1"/>
        <v>123091.23165717749</v>
      </c>
      <c r="T16" s="116">
        <f>P16-S16</f>
        <v>5099.8360428225133</v>
      </c>
      <c r="U16" s="10" t="str">
        <f>IF(ISBLANK('Measurement Sheet (Explained)'!R16),"",'Measurement Sheet (Explained)'!R16)</f>
        <v/>
      </c>
      <c r="V16" s="58"/>
      <c r="AB16" s="9">
        <v>0</v>
      </c>
      <c r="AD16" s="74">
        <v>10563.090432000001</v>
      </c>
      <c r="AE16" s="74">
        <v>0</v>
      </c>
      <c r="AG16" s="91">
        <v>4.2</v>
      </c>
      <c r="AH16" s="96" t="s">
        <v>87</v>
      </c>
      <c r="AI16" s="98"/>
      <c r="AJ16" s="102">
        <v>0</v>
      </c>
    </row>
    <row r="17" spans="1:36" ht="21.95" customHeight="1" x14ac:dyDescent="0.25">
      <c r="A17" s="65"/>
      <c r="B17" s="8">
        <f>'Measurement Sheet (Explained)'!B17</f>
        <v>2.0399999999999991</v>
      </c>
      <c r="C17" s="8" t="str">
        <f>'Measurement Sheet (Explained)'!C17</f>
        <v xml:space="preserve">Marl Filling </v>
      </c>
      <c r="D17" s="8" t="str">
        <f>'Measurement Sheet (Explained)'!D17</f>
        <v>LM</v>
      </c>
      <c r="E17" s="39">
        <f>'Measurement Sheet (Explained)'!E17</f>
        <v>11870.597999999998</v>
      </c>
      <c r="F17" s="20">
        <f>'Measurement Sheet (Explained)'!G17</f>
        <v>1</v>
      </c>
      <c r="G17" s="130">
        <f>'Measurement Sheet (Explained)'!H17</f>
        <v>9569.9589120000001</v>
      </c>
      <c r="H17" s="20">
        <f>'Measurement Sheet (Explained)'!J17</f>
        <v>0.80619012723706096</v>
      </c>
      <c r="I17" s="130">
        <f>'Measurement Sheet (Explained)'!L17</f>
        <v>636.50008800000069</v>
      </c>
      <c r="J17" s="20">
        <f>'Measurement Sheet (Explained)'!M17</f>
        <v>5.3619884019322432E-2</v>
      </c>
      <c r="K17" s="9">
        <f>'Measurement Sheet (Explained)'!N17</f>
        <v>10206.459000000001</v>
      </c>
      <c r="L17" s="20">
        <f>'Measurement Sheet (Explained)'!O17</f>
        <v>0.85341988401932234</v>
      </c>
      <c r="M17" s="9">
        <f>'Measurement Sheet (Explained)'!P17</f>
        <v>1664.1389999999974</v>
      </c>
      <c r="N17" s="21">
        <f>'Measurement Sheet (Explained)'!Q17</f>
        <v>0.14658011598067766</v>
      </c>
      <c r="O17" s="21">
        <v>0.05</v>
      </c>
      <c r="P17" s="83">
        <f>O17*$AJ$18</f>
        <v>320477.66925000004</v>
      </c>
      <c r="Q17" s="116">
        <f>H17*P17</f>
        <v>258365.93294929428</v>
      </c>
      <c r="R17" s="116">
        <f t="shared" si="0"/>
        <v>17183.975455967779</v>
      </c>
      <c r="S17" s="116">
        <f t="shared" si="1"/>
        <v>275549.90840526205</v>
      </c>
      <c r="T17" s="116">
        <f>P17-S17</f>
        <v>44927.76084473799</v>
      </c>
      <c r="U17" s="10" t="str">
        <f>IF(ISBLANK('Measurement Sheet (Explained)'!R17),"",'Measurement Sheet (Explained)'!R17)</f>
        <v/>
      </c>
      <c r="V17" s="58"/>
      <c r="X17" s="1">
        <f>5470</f>
        <v>5470</v>
      </c>
      <c r="Y17" s="1">
        <f>9198.45-7279.01</f>
        <v>1919.4400000000005</v>
      </c>
      <c r="Z17" s="1">
        <f>10948.64-9331.45</f>
        <v>1617.1899999999987</v>
      </c>
      <c r="AA17" s="1">
        <v>30</v>
      </c>
      <c r="AB17" s="9">
        <v>0</v>
      </c>
      <c r="AD17" s="74">
        <v>9569.9589120000001</v>
      </c>
      <c r="AE17" s="74">
        <v>0</v>
      </c>
      <c r="AG17" s="90">
        <v>5</v>
      </c>
      <c r="AH17" s="95" t="s">
        <v>36</v>
      </c>
      <c r="AI17" s="98">
        <v>0.12</v>
      </c>
      <c r="AJ17" s="100">
        <v>769146.40619999997</v>
      </c>
    </row>
    <row r="18" spans="1:36" ht="21.95" customHeight="1" x14ac:dyDescent="0.25">
      <c r="A18" s="65"/>
      <c r="B18" s="8">
        <f>'Measurement Sheet (Explained)'!B18</f>
        <v>2.0499999999999989</v>
      </c>
      <c r="C18" s="8" t="str">
        <f>'Measurement Sheet (Explained)'!C18</f>
        <v xml:space="preserve"> Compaction</v>
      </c>
      <c r="D18" s="8" t="str">
        <f>'Measurement Sheet (Explained)'!D18</f>
        <v>LM</v>
      </c>
      <c r="E18" s="39">
        <f>'Measurement Sheet (Explained)'!E18</f>
        <v>11870.597999999998</v>
      </c>
      <c r="F18" s="20">
        <f>'Measurement Sheet (Explained)'!G18</f>
        <v>1</v>
      </c>
      <c r="G18" s="130">
        <f>'Measurement Sheet (Explained)'!H18</f>
        <v>8500.248576</v>
      </c>
      <c r="H18" s="20">
        <f>'Measurement Sheet (Explained)'!J18</f>
        <v>0.71607585194949752</v>
      </c>
      <c r="I18" s="130">
        <f>'Measurement Sheet (Explained)'!L18</f>
        <v>1706.2104240000008</v>
      </c>
      <c r="J18" s="20">
        <f>'Measurement Sheet (Explained)'!M18</f>
        <v>0.14373415930688588</v>
      </c>
      <c r="K18" s="9">
        <f>'Measurement Sheet (Explained)'!N18</f>
        <v>10206.459000000001</v>
      </c>
      <c r="L18" s="20">
        <f>'Measurement Sheet (Explained)'!O18</f>
        <v>0.85413415930688585</v>
      </c>
      <c r="M18" s="9">
        <f>'Measurement Sheet (Explained)'!P18</f>
        <v>1664.1389999999974</v>
      </c>
      <c r="N18" s="21">
        <f>'Measurement Sheet (Explained)'!Q18</f>
        <v>0.14586584069311415</v>
      </c>
      <c r="O18" s="21">
        <v>0.05</v>
      </c>
      <c r="P18" s="83">
        <f>O18*$AJ$18</f>
        <v>320477.66925000004</v>
      </c>
      <c r="Q18" s="116">
        <f>H18*P18</f>
        <v>229486.32003898305</v>
      </c>
      <c r="R18" s="116">
        <f t="shared" si="0"/>
        <v>46063.588366278986</v>
      </c>
      <c r="S18" s="116">
        <f t="shared" si="1"/>
        <v>275549.90840526205</v>
      </c>
      <c r="T18" s="116">
        <f>P18-S18</f>
        <v>44927.76084473799</v>
      </c>
      <c r="U18" s="10" t="str">
        <f>IF(ISBLANK('Measurement Sheet (Explained)'!R18),"",'Measurement Sheet (Explained)'!R18)</f>
        <v/>
      </c>
      <c r="V18" s="58"/>
      <c r="AB18" s="9">
        <v>63.416831999999999</v>
      </c>
      <c r="AD18" s="74">
        <v>8202.3091199999999</v>
      </c>
      <c r="AE18" s="74">
        <v>297.69088000000011</v>
      </c>
      <c r="AG18" s="92"/>
      <c r="AH18" s="97" t="s">
        <v>46</v>
      </c>
      <c r="AI18" s="99">
        <v>1</v>
      </c>
      <c r="AJ18" s="103">
        <v>6409553.3849999998</v>
      </c>
    </row>
    <row r="19" spans="1:36" ht="21.95" customHeight="1" x14ac:dyDescent="0.25">
      <c r="A19" s="65"/>
      <c r="B19" s="6">
        <f>'Measurement Sheet (Explained)'!B19</f>
        <v>3</v>
      </c>
      <c r="C19" s="6" t="str">
        <f>'Measurement Sheet (Explained)'!C19</f>
        <v>HDD</v>
      </c>
      <c r="D19" s="6"/>
      <c r="E19" s="29"/>
      <c r="F19" s="6"/>
      <c r="G19" s="7"/>
      <c r="H19" s="7"/>
      <c r="I19" s="7"/>
      <c r="J19" s="7"/>
      <c r="K19" s="7"/>
      <c r="L19" s="7"/>
      <c r="M19" s="7"/>
      <c r="N19" s="7"/>
      <c r="O19" s="7"/>
      <c r="P19" s="82"/>
      <c r="Q19" s="115"/>
      <c r="R19" s="115"/>
      <c r="S19" s="115"/>
      <c r="T19" s="115"/>
      <c r="U19" s="7"/>
      <c r="V19" s="58"/>
      <c r="AB19" s="7"/>
      <c r="AD19" s="74"/>
      <c r="AE19" s="74"/>
    </row>
    <row r="20" spans="1:36" ht="21.95" customHeight="1" x14ac:dyDescent="0.25">
      <c r="A20" s="65"/>
      <c r="B20" s="8">
        <f>'Measurement Sheet (Explained)'!B20</f>
        <v>3.01</v>
      </c>
      <c r="C20" s="8" t="str">
        <f>'Measurement Sheet (Explained)'!C20</f>
        <v>Excavation Sending pit</v>
      </c>
      <c r="D20" s="8" t="str">
        <f>'Measurement Sheet (Explained)'!D20</f>
        <v>CUM</v>
      </c>
      <c r="E20" s="9">
        <f>'Measurement Sheet (Explained)'!E20</f>
        <v>213.12</v>
      </c>
      <c r="F20" s="20">
        <f>'Measurement Sheet (Explained)'!G20</f>
        <v>1</v>
      </c>
      <c r="G20" s="130">
        <f>'Measurement Sheet (Explained)'!H20</f>
        <v>0</v>
      </c>
      <c r="H20" s="20">
        <f>'Measurement Sheet (Explained)'!J20</f>
        <v>0</v>
      </c>
      <c r="I20" s="130">
        <f>'Measurement Sheet (Explained)'!L20</f>
        <v>0</v>
      </c>
      <c r="J20" s="20">
        <f>'Measurement Sheet (Explained)'!M20</f>
        <v>0</v>
      </c>
      <c r="K20" s="22">
        <f>'Measurement Sheet (Explained)'!N20</f>
        <v>0</v>
      </c>
      <c r="L20" s="20">
        <f>'Measurement Sheet (Explained)'!O20</f>
        <v>0</v>
      </c>
      <c r="M20" s="9">
        <f>'Measurement Sheet (Explained)'!P20</f>
        <v>213.12</v>
      </c>
      <c r="N20" s="21">
        <f>'Measurement Sheet (Explained)'!Q20</f>
        <v>1</v>
      </c>
      <c r="O20" s="21">
        <v>2.2499999999999999E-2</v>
      </c>
      <c r="P20" s="83">
        <f>O20*$AJ$18</f>
        <v>144214.95116249999</v>
      </c>
      <c r="Q20" s="116">
        <f>H20*P20</f>
        <v>0</v>
      </c>
      <c r="R20" s="116">
        <f t="shared" ref="R20:R24" si="2">J20*P20</f>
        <v>0</v>
      </c>
      <c r="S20" s="116">
        <f t="shared" ref="S20:S24" si="3">R20+Q20</f>
        <v>0</v>
      </c>
      <c r="T20" s="116">
        <f>P20-S20</f>
        <v>144214.95116249999</v>
      </c>
      <c r="U20" s="10" t="str">
        <f>IF(ISBLANK('Measurement Sheet (Explained)'!R20),"",'Measurement Sheet (Explained)'!R20)</f>
        <v/>
      </c>
      <c r="V20" s="58"/>
      <c r="Y20" s="36"/>
      <c r="AB20" s="9">
        <v>0</v>
      </c>
      <c r="AD20" s="74">
        <v>0</v>
      </c>
      <c r="AE20" s="74">
        <v>0</v>
      </c>
    </row>
    <row r="21" spans="1:36" ht="21.95" customHeight="1" x14ac:dyDescent="0.25">
      <c r="A21" s="65"/>
      <c r="B21" s="8">
        <f>'Measurement Sheet (Explained)'!B21</f>
        <v>3.0199999999999996</v>
      </c>
      <c r="C21" s="8" t="str">
        <f>'Measurement Sheet (Explained)'!C21</f>
        <v>Excavation Receiving pit</v>
      </c>
      <c r="D21" s="8" t="str">
        <f>'Measurement Sheet (Explained)'!D21</f>
        <v>CUM</v>
      </c>
      <c r="E21" s="9">
        <f>'Measurement Sheet (Explained)'!E21</f>
        <v>213.12</v>
      </c>
      <c r="F21" s="20">
        <f>'Measurement Sheet (Explained)'!G21</f>
        <v>1</v>
      </c>
      <c r="G21" s="130">
        <f>'Measurement Sheet (Explained)'!H21</f>
        <v>0</v>
      </c>
      <c r="H21" s="20">
        <f>'Measurement Sheet (Explained)'!J21</f>
        <v>0</v>
      </c>
      <c r="I21" s="130">
        <f>'Measurement Sheet (Explained)'!L21</f>
        <v>0</v>
      </c>
      <c r="J21" s="20">
        <f>'Measurement Sheet (Explained)'!M21</f>
        <v>0</v>
      </c>
      <c r="K21" s="9">
        <f>'Measurement Sheet (Explained)'!N21</f>
        <v>0</v>
      </c>
      <c r="L21" s="20">
        <f>'Measurement Sheet (Explained)'!O21</f>
        <v>0</v>
      </c>
      <c r="M21" s="9">
        <f>'Measurement Sheet (Explained)'!P21</f>
        <v>213.12</v>
      </c>
      <c r="N21" s="21">
        <f>'Measurement Sheet (Explained)'!Q21</f>
        <v>1</v>
      </c>
      <c r="O21" s="21">
        <v>2.2499999999999999E-2</v>
      </c>
      <c r="P21" s="83">
        <f>O21*$AJ$18</f>
        <v>144214.95116249999</v>
      </c>
      <c r="Q21" s="116">
        <f>H21*P21</f>
        <v>0</v>
      </c>
      <c r="R21" s="116">
        <f t="shared" si="2"/>
        <v>0</v>
      </c>
      <c r="S21" s="116">
        <f t="shared" si="3"/>
        <v>0</v>
      </c>
      <c r="T21" s="116">
        <f>P21-S21</f>
        <v>144214.95116249999</v>
      </c>
      <c r="U21" s="10" t="str">
        <f>IF(ISBLANK('Measurement Sheet (Explained)'!R21),"",'Measurement Sheet (Explained)'!R21)</f>
        <v/>
      </c>
      <c r="V21" s="58"/>
      <c r="AB21" s="9">
        <v>0</v>
      </c>
      <c r="AD21" s="74">
        <v>0</v>
      </c>
      <c r="AE21" s="74">
        <v>0</v>
      </c>
    </row>
    <row r="22" spans="1:36" ht="21.95" customHeight="1" x14ac:dyDescent="0.25">
      <c r="A22" s="65"/>
      <c r="B22" s="8">
        <f>'Measurement Sheet (Explained)'!B22</f>
        <v>3.0299999999999994</v>
      </c>
      <c r="C22" s="8" t="str">
        <f>'Measurement Sheet (Explained)'!C22</f>
        <v>Drilling</v>
      </c>
      <c r="D22" s="8" t="str">
        <f>'Measurement Sheet (Explained)'!D22</f>
        <v>LM</v>
      </c>
      <c r="E22" s="37">
        <f>'Measurement Sheet (Explained)'!E22</f>
        <v>229.69</v>
      </c>
      <c r="F22" s="20">
        <f>'Measurement Sheet (Explained)'!G22</f>
        <v>1</v>
      </c>
      <c r="G22" s="130">
        <f>'Measurement Sheet (Explained)'!H22</f>
        <v>0</v>
      </c>
      <c r="H22" s="20">
        <f>'Measurement Sheet (Explained)'!J22</f>
        <v>0</v>
      </c>
      <c r="I22" s="130">
        <f>'Measurement Sheet (Explained)'!L22</f>
        <v>0</v>
      </c>
      <c r="J22" s="20">
        <f>'Measurement Sheet (Explained)'!M22</f>
        <v>0</v>
      </c>
      <c r="K22" s="9">
        <f>'Measurement Sheet (Explained)'!N22</f>
        <v>0</v>
      </c>
      <c r="L22" s="20">
        <f>'Measurement Sheet (Explained)'!O22</f>
        <v>0</v>
      </c>
      <c r="M22" s="9">
        <f>'Measurement Sheet (Explained)'!P22</f>
        <v>229.69</v>
      </c>
      <c r="N22" s="21">
        <f>'Measurement Sheet (Explained)'!Q22</f>
        <v>1</v>
      </c>
      <c r="O22" s="21">
        <v>7.4999999999999997E-2</v>
      </c>
      <c r="P22" s="83">
        <f>O22*$AJ$18</f>
        <v>480716.50387499994</v>
      </c>
      <c r="Q22" s="116">
        <f>H22*P22</f>
        <v>0</v>
      </c>
      <c r="R22" s="116">
        <f t="shared" si="2"/>
        <v>0</v>
      </c>
      <c r="S22" s="116">
        <f t="shared" si="3"/>
        <v>0</v>
      </c>
      <c r="T22" s="116">
        <f>P22-S22</f>
        <v>480716.50387499994</v>
      </c>
      <c r="U22" s="10" t="str">
        <f>IF(ISBLANK('Measurement Sheet (Explained)'!R22),"",'Measurement Sheet (Explained)'!R22)</f>
        <v/>
      </c>
      <c r="V22" s="58"/>
      <c r="AB22" s="9">
        <v>0</v>
      </c>
      <c r="AD22" s="74">
        <v>0</v>
      </c>
      <c r="AE22" s="74">
        <v>0</v>
      </c>
    </row>
    <row r="23" spans="1:36" ht="21.95" customHeight="1" x14ac:dyDescent="0.25">
      <c r="A23" s="65"/>
      <c r="B23" s="8">
        <f>'Measurement Sheet (Explained)'!B23</f>
        <v>3.0399999999999991</v>
      </c>
      <c r="C23" s="8" t="str">
        <f>'Measurement Sheet (Explained)'!C23</f>
        <v>Cable Pulling</v>
      </c>
      <c r="D23" s="8" t="str">
        <f>'Measurement Sheet (Explained)'!D23</f>
        <v>LM</v>
      </c>
      <c r="E23" s="37">
        <f>'Measurement Sheet (Explained)'!E23</f>
        <v>869.06999999999994</v>
      </c>
      <c r="F23" s="20">
        <f>'Measurement Sheet (Explained)'!G23</f>
        <v>1</v>
      </c>
      <c r="G23" s="130">
        <f>'Measurement Sheet (Explained)'!H23</f>
        <v>0</v>
      </c>
      <c r="H23" s="20">
        <f>'Measurement Sheet (Explained)'!J23</f>
        <v>0</v>
      </c>
      <c r="I23" s="130">
        <f>'Measurement Sheet (Explained)'!L23</f>
        <v>0</v>
      </c>
      <c r="J23" s="20">
        <f>'Measurement Sheet (Explained)'!M23</f>
        <v>0</v>
      </c>
      <c r="K23" s="9">
        <f>'Measurement Sheet (Explained)'!N23</f>
        <v>0</v>
      </c>
      <c r="L23" s="20">
        <f>'Measurement Sheet (Explained)'!O23</f>
        <v>0</v>
      </c>
      <c r="M23" s="9">
        <f>'Measurement Sheet (Explained)'!P23</f>
        <v>869.06999999999994</v>
      </c>
      <c r="N23" s="21">
        <f>'Measurement Sheet (Explained)'!Q23</f>
        <v>1</v>
      </c>
      <c r="O23" s="21">
        <v>1.4999999999999999E-2</v>
      </c>
      <c r="P23" s="83">
        <f>O23*$AJ$18</f>
        <v>96143.300774999996</v>
      </c>
      <c r="Q23" s="116">
        <f>H23*P23</f>
        <v>0</v>
      </c>
      <c r="R23" s="116">
        <f t="shared" si="2"/>
        <v>0</v>
      </c>
      <c r="S23" s="116">
        <f t="shared" si="3"/>
        <v>0</v>
      </c>
      <c r="T23" s="116">
        <f>P23-S23</f>
        <v>96143.300774999996</v>
      </c>
      <c r="U23" s="10" t="str">
        <f>IF(ISBLANK('Measurement Sheet (Explained)'!R23),"",'Measurement Sheet (Explained)'!R23)</f>
        <v/>
      </c>
      <c r="V23" s="58"/>
      <c r="AB23" s="9">
        <v>0</v>
      </c>
      <c r="AD23" s="74">
        <v>0</v>
      </c>
      <c r="AE23" s="74">
        <v>0</v>
      </c>
    </row>
    <row r="24" spans="1:36" ht="21.95" customHeight="1" x14ac:dyDescent="0.25">
      <c r="A24" s="65"/>
      <c r="B24" s="8">
        <f>'Measurement Sheet (Explained)'!B24</f>
        <v>3.0499999999999989</v>
      </c>
      <c r="C24" s="8" t="str">
        <f>'Measurement Sheet (Explained)'!C24</f>
        <v>Termination</v>
      </c>
      <c r="D24" s="8" t="str">
        <f>'Measurement Sheet (Explained)'!D24</f>
        <v>NOS</v>
      </c>
      <c r="E24" s="37">
        <f>'Measurement Sheet (Explained)'!E24</f>
        <v>12</v>
      </c>
      <c r="F24" s="20">
        <f>'Measurement Sheet (Explained)'!G24</f>
        <v>1</v>
      </c>
      <c r="G24" s="130">
        <f>'Measurement Sheet (Explained)'!H24</f>
        <v>0</v>
      </c>
      <c r="H24" s="20">
        <f>'Measurement Sheet (Explained)'!J24</f>
        <v>0</v>
      </c>
      <c r="I24" s="130">
        <f>'Measurement Sheet (Explained)'!L24</f>
        <v>0</v>
      </c>
      <c r="J24" s="20">
        <f>'Measurement Sheet (Explained)'!M24</f>
        <v>0</v>
      </c>
      <c r="K24" s="9">
        <f>'Measurement Sheet (Explained)'!N24</f>
        <v>0</v>
      </c>
      <c r="L24" s="20">
        <f>'Measurement Sheet (Explained)'!O24</f>
        <v>0</v>
      </c>
      <c r="M24" s="9">
        <f>'Measurement Sheet (Explained)'!P24</f>
        <v>12</v>
      </c>
      <c r="N24" s="21">
        <f>'Measurement Sheet (Explained)'!Q24</f>
        <v>1</v>
      </c>
      <c r="O24" s="21">
        <v>1.4999999999999999E-2</v>
      </c>
      <c r="P24" s="83">
        <f>O24*$AJ$18</f>
        <v>96143.300774999996</v>
      </c>
      <c r="Q24" s="116">
        <f>H24*P24</f>
        <v>0</v>
      </c>
      <c r="R24" s="116">
        <f t="shared" si="2"/>
        <v>0</v>
      </c>
      <c r="S24" s="116">
        <f t="shared" si="3"/>
        <v>0</v>
      </c>
      <c r="T24" s="116">
        <f>P24-S24</f>
        <v>96143.300774999996</v>
      </c>
      <c r="U24" s="10" t="str">
        <f>IF(ISBLANK('Measurement Sheet (Explained)'!R24),"",'Measurement Sheet (Explained)'!R24)</f>
        <v/>
      </c>
      <c r="V24" s="58"/>
      <c r="AB24" s="9">
        <v>0</v>
      </c>
      <c r="AD24" s="74">
        <v>0</v>
      </c>
      <c r="AE24" s="74">
        <v>0</v>
      </c>
    </row>
    <row r="25" spans="1:36" ht="21.95" customHeight="1" x14ac:dyDescent="0.25">
      <c r="A25" s="65"/>
      <c r="B25" s="6">
        <f>'Measurement Sheet (Explained)'!B25</f>
        <v>4</v>
      </c>
      <c r="C25" s="6" t="str">
        <f>'Measurement Sheet (Explained)'!C25</f>
        <v>OHPL</v>
      </c>
      <c r="D25" s="6"/>
      <c r="E25" s="29"/>
      <c r="F25" s="6"/>
      <c r="G25" s="7"/>
      <c r="H25" s="7"/>
      <c r="I25" s="7"/>
      <c r="J25" s="7"/>
      <c r="K25" s="7"/>
      <c r="L25" s="7"/>
      <c r="M25" s="7"/>
      <c r="N25" s="7"/>
      <c r="O25" s="7"/>
      <c r="P25" s="82"/>
      <c r="Q25" s="115"/>
      <c r="R25" s="115"/>
      <c r="S25" s="115"/>
      <c r="T25" s="115"/>
      <c r="U25" s="7"/>
      <c r="V25" s="58"/>
      <c r="AB25" s="7"/>
      <c r="AD25" s="74"/>
      <c r="AE25" s="74"/>
    </row>
    <row r="26" spans="1:36" ht="21.95" customHeight="1" x14ac:dyDescent="0.25">
      <c r="A26" s="65"/>
      <c r="B26" s="8">
        <f>'Measurement Sheet (Explained)'!B26</f>
        <v>4.01</v>
      </c>
      <c r="C26" s="8" t="str">
        <f>'Measurement Sheet (Explained)'!C26</f>
        <v>Rebar Assembly  Febrication for Steel Cage</v>
      </c>
      <c r="D26" s="8" t="str">
        <f>'Measurement Sheet (Explained)'!D26</f>
        <v>NOS</v>
      </c>
      <c r="E26" s="38">
        <f>'Measurement Sheet (Explained)'!E26</f>
        <v>172</v>
      </c>
      <c r="F26" s="20">
        <f>'Measurement Sheet (Explained)'!G26</f>
        <v>1</v>
      </c>
      <c r="G26" s="130">
        <f>'Measurement Sheet (Explained)'!H26</f>
        <v>126</v>
      </c>
      <c r="H26" s="20">
        <f>'Measurement Sheet (Explained)'!J26</f>
        <v>0.73255813953488369</v>
      </c>
      <c r="I26" s="130">
        <f>'Measurement Sheet (Explained)'!L26</f>
        <v>17</v>
      </c>
      <c r="J26" s="20">
        <f>'Measurement Sheet (Explained)'!M26</f>
        <v>9.8837209302325577E-2</v>
      </c>
      <c r="K26" s="9">
        <f>'Measurement Sheet (Explained)'!N26</f>
        <v>143</v>
      </c>
      <c r="L26" s="20">
        <f>'Measurement Sheet (Explained)'!O26</f>
        <v>0.80274782382746523</v>
      </c>
      <c r="M26" s="9">
        <f>'Measurement Sheet (Explained)'!P26</f>
        <v>29</v>
      </c>
      <c r="N26" s="21">
        <f>'Measurement Sheet (Explained)'!Q26</f>
        <v>0.19725217617253477</v>
      </c>
      <c r="O26" s="21">
        <v>0.02</v>
      </c>
      <c r="P26" s="83">
        <f t="shared" ref="P26:P46" si="4">O26*$AJ$18</f>
        <v>128191.0677</v>
      </c>
      <c r="Q26" s="116">
        <f t="shared" ref="Q26:Q46" si="5">H26*P26</f>
        <v>93907.410059302318</v>
      </c>
      <c r="R26" s="116">
        <f t="shared" ref="R26:R46" si="6">J26*P26</f>
        <v>12670.047388953488</v>
      </c>
      <c r="S26" s="116">
        <f t="shared" ref="S26:S46" si="7">R26+Q26</f>
        <v>106577.45744825581</v>
      </c>
      <c r="T26" s="116">
        <f t="shared" ref="T26:T46" si="8">P26-S26</f>
        <v>21613.61025174419</v>
      </c>
      <c r="U26" s="10" t="str">
        <f>IF(ISBLANK('Measurement Sheet (Explained)'!R26),"",'Measurement Sheet (Explained)'!R26)</f>
        <v/>
      </c>
      <c r="V26" s="58"/>
      <c r="AB26" s="9">
        <v>0</v>
      </c>
      <c r="AD26" s="74">
        <v>90</v>
      </c>
      <c r="AE26" s="74">
        <v>35.996900000000004</v>
      </c>
    </row>
    <row r="27" spans="1:36" ht="21.95" customHeight="1" x14ac:dyDescent="0.25">
      <c r="A27" s="65"/>
      <c r="B27" s="8">
        <f>'Measurement Sheet (Explained)'!B27</f>
        <v>4.0199999999999996</v>
      </c>
      <c r="C27" s="8" t="str">
        <f>'Measurement Sheet (Explained)'!C27</f>
        <v>Pole Surveying</v>
      </c>
      <c r="D27" s="8" t="str">
        <f>'Measurement Sheet (Explained)'!D27</f>
        <v>NOS</v>
      </c>
      <c r="E27" s="38">
        <f>'Measurement Sheet (Explained)'!E27</f>
        <v>172</v>
      </c>
      <c r="F27" s="20">
        <f>'Measurement Sheet (Explained)'!G27</f>
        <v>1</v>
      </c>
      <c r="G27" s="130">
        <f>'Measurement Sheet (Explained)'!H27</f>
        <v>179</v>
      </c>
      <c r="H27" s="20">
        <f>'Measurement Sheet (Explained)'!J27</f>
        <v>1.0406976744186047</v>
      </c>
      <c r="I27" s="130">
        <f>'Measurement Sheet (Explained)'!L27</f>
        <v>0</v>
      </c>
      <c r="J27" s="20">
        <f>'Measurement Sheet (Explained)'!M27</f>
        <v>0</v>
      </c>
      <c r="K27" s="9">
        <f>'Measurement Sheet (Explained)'!N27</f>
        <v>179</v>
      </c>
      <c r="L27" s="20">
        <f>'Measurement Sheet (Explained)'!O27</f>
        <v>1</v>
      </c>
      <c r="M27" s="9">
        <f>'Measurement Sheet (Explained)'!P27</f>
        <v>-7</v>
      </c>
      <c r="N27" s="21">
        <f>'Measurement Sheet (Explained)'!Q27</f>
        <v>0</v>
      </c>
      <c r="O27" s="21">
        <v>0.01</v>
      </c>
      <c r="P27" s="83">
        <f t="shared" si="4"/>
        <v>64095.53385</v>
      </c>
      <c r="Q27" s="116">
        <f t="shared" si="5"/>
        <v>66704.073018313953</v>
      </c>
      <c r="R27" s="116">
        <f t="shared" si="6"/>
        <v>0</v>
      </c>
      <c r="S27" s="116">
        <f t="shared" si="7"/>
        <v>66704.073018313953</v>
      </c>
      <c r="T27" s="116">
        <f t="shared" si="8"/>
        <v>-2608.5391683139533</v>
      </c>
      <c r="U27" s="27" t="str">
        <f>'Measurement Sheet (Explained)'!R27</f>
        <v>Completed</v>
      </c>
      <c r="V27" s="58"/>
      <c r="AB27" s="9">
        <v>0</v>
      </c>
      <c r="AD27" s="74">
        <v>179</v>
      </c>
      <c r="AE27" s="74">
        <v>0</v>
      </c>
    </row>
    <row r="28" spans="1:36" ht="21.95" customHeight="1" x14ac:dyDescent="0.25">
      <c r="A28" s="65"/>
      <c r="B28" s="8">
        <f>'Measurement Sheet (Explained)'!B28</f>
        <v>4.0299999999999994</v>
      </c>
      <c r="C28" s="8" t="str">
        <f>'Measurement Sheet (Explained)'!C28</f>
        <v>Auguring</v>
      </c>
      <c r="D28" s="8" t="str">
        <f>'Measurement Sheet (Explained)'!D28</f>
        <v>NOS</v>
      </c>
      <c r="E28" s="38">
        <f>'Measurement Sheet (Explained)'!E28</f>
        <v>172</v>
      </c>
      <c r="F28" s="20">
        <f>'Measurement Sheet (Explained)'!G28</f>
        <v>1</v>
      </c>
      <c r="G28" s="130">
        <f>'Measurement Sheet (Explained)'!H28</f>
        <v>102</v>
      </c>
      <c r="H28" s="20">
        <f>'Measurement Sheet (Explained)'!J28</f>
        <v>0.59302325581395354</v>
      </c>
      <c r="I28" s="130">
        <f>'Measurement Sheet (Explained)'!L28</f>
        <v>21</v>
      </c>
      <c r="J28" s="20">
        <f>'Measurement Sheet (Explained)'!M28</f>
        <v>0.12209302325581395</v>
      </c>
      <c r="K28" s="9">
        <f>'Measurement Sheet (Explained)'!N28</f>
        <v>123</v>
      </c>
      <c r="L28" s="20">
        <f>'Measurement Sheet (Explained)'!O28</f>
        <v>0.69192542549045077</v>
      </c>
      <c r="M28" s="9">
        <f>'Measurement Sheet (Explained)'!P28</f>
        <v>49</v>
      </c>
      <c r="N28" s="21">
        <f>'Measurement Sheet (Explained)'!Q28</f>
        <v>0.30807457450954923</v>
      </c>
      <c r="O28" s="21">
        <v>0.06</v>
      </c>
      <c r="P28" s="83">
        <f t="shared" si="4"/>
        <v>384573.20309999998</v>
      </c>
      <c r="Q28" s="116">
        <f t="shared" si="5"/>
        <v>228060.85300116279</v>
      </c>
      <c r="R28" s="116">
        <f t="shared" si="6"/>
        <v>46953.705029651159</v>
      </c>
      <c r="S28" s="116">
        <f t="shared" si="7"/>
        <v>275014.55803081393</v>
      </c>
      <c r="T28" s="116">
        <f t="shared" si="8"/>
        <v>109558.64506918605</v>
      </c>
      <c r="U28" s="10" t="str">
        <f>IF(ISBLANK('Measurement Sheet (Explained)'!R28),"",'Measurement Sheet (Explained)'!R28)</f>
        <v/>
      </c>
      <c r="V28" s="58"/>
      <c r="AB28" s="9">
        <v>102</v>
      </c>
      <c r="AD28" s="74">
        <v>0</v>
      </c>
      <c r="AE28" s="74">
        <v>102</v>
      </c>
    </row>
    <row r="29" spans="1:36" ht="21.95" customHeight="1" x14ac:dyDescent="0.25">
      <c r="A29" s="65"/>
      <c r="B29" s="8">
        <f>'Measurement Sheet (Explained)'!B29</f>
        <v>4.0399999999999991</v>
      </c>
      <c r="C29" s="8" t="str">
        <f>'Measurement Sheet (Explained)'!C29</f>
        <v>Drum Installation</v>
      </c>
      <c r="D29" s="8" t="str">
        <f>'Measurement Sheet (Explained)'!D29</f>
        <v>NOS</v>
      </c>
      <c r="E29" s="38">
        <f>'Measurement Sheet (Explained)'!E29</f>
        <v>172</v>
      </c>
      <c r="F29" s="20">
        <f>'Measurement Sheet (Explained)'!G29</f>
        <v>1</v>
      </c>
      <c r="G29" s="130">
        <f>'Measurement Sheet (Explained)'!H29</f>
        <v>102</v>
      </c>
      <c r="H29" s="20">
        <f>'Measurement Sheet (Explained)'!J29</f>
        <v>0.59302325581395354</v>
      </c>
      <c r="I29" s="130">
        <f>'Measurement Sheet (Explained)'!L29</f>
        <v>21</v>
      </c>
      <c r="J29" s="20">
        <f>'Measurement Sheet (Explained)'!M29</f>
        <v>0.12209302325581395</v>
      </c>
      <c r="K29" s="9">
        <f>'Measurement Sheet (Explained)'!N29</f>
        <v>123</v>
      </c>
      <c r="L29" s="20">
        <f>'Measurement Sheet (Explained)'!O29</f>
        <v>0.69192542549045077</v>
      </c>
      <c r="M29" s="9">
        <f>'Measurement Sheet (Explained)'!P29</f>
        <v>49</v>
      </c>
      <c r="N29" s="21">
        <f>'Measurement Sheet (Explained)'!Q29</f>
        <v>0.30807457450954923</v>
      </c>
      <c r="O29" s="21">
        <v>1.4999999999999999E-2</v>
      </c>
      <c r="P29" s="83">
        <f t="shared" si="4"/>
        <v>96143.300774999996</v>
      </c>
      <c r="Q29" s="116">
        <f t="shared" si="5"/>
        <v>57015.213250290697</v>
      </c>
      <c r="R29" s="116">
        <f t="shared" si="6"/>
        <v>11738.42625741279</v>
      </c>
      <c r="S29" s="116">
        <f t="shared" si="7"/>
        <v>68753.639507703483</v>
      </c>
      <c r="T29" s="116">
        <f t="shared" si="8"/>
        <v>27389.661267296513</v>
      </c>
      <c r="U29" s="10" t="str">
        <f>IF(ISBLANK('Measurement Sheet (Explained)'!R29),"",'Measurement Sheet (Explained)'!R29)</f>
        <v/>
      </c>
      <c r="V29" s="58"/>
      <c r="AB29" s="9">
        <v>102</v>
      </c>
      <c r="AD29" s="74">
        <v>0</v>
      </c>
      <c r="AE29" s="74">
        <v>102</v>
      </c>
    </row>
    <row r="30" spans="1:36" ht="21.95" customHeight="1" x14ac:dyDescent="0.25">
      <c r="A30" s="65"/>
      <c r="B30" s="8">
        <f>'Measurement Sheet (Explained)'!B30</f>
        <v>4.0499999999999989</v>
      </c>
      <c r="C30" s="8" t="str">
        <f>'Measurement Sheet (Explained)'!C30</f>
        <v>Lowering Steel Cage</v>
      </c>
      <c r="D30" s="8" t="str">
        <f>'Measurement Sheet (Explained)'!D30</f>
        <v>NOS</v>
      </c>
      <c r="E30" s="38">
        <f>'Measurement Sheet (Explained)'!E30</f>
        <v>172</v>
      </c>
      <c r="F30" s="20">
        <f>'Measurement Sheet (Explained)'!G30</f>
        <v>1</v>
      </c>
      <c r="G30" s="130">
        <f>'Measurement Sheet (Explained)'!H30</f>
        <v>95</v>
      </c>
      <c r="H30" s="20">
        <f>'Measurement Sheet (Explained)'!J30</f>
        <v>0.55232558139534882</v>
      </c>
      <c r="I30" s="130">
        <f>'Measurement Sheet (Explained)'!L30</f>
        <v>13</v>
      </c>
      <c r="J30" s="20">
        <f>'Measurement Sheet (Explained)'!M30</f>
        <v>7.5581395348837205E-2</v>
      </c>
      <c r="K30" s="9">
        <f>'Measurement Sheet (Explained)'!N30</f>
        <v>108</v>
      </c>
      <c r="L30" s="20">
        <f>'Measurement Sheet (Explained)'!O30</f>
        <v>0.60630765233207751</v>
      </c>
      <c r="M30" s="9">
        <f>'Measurement Sheet (Explained)'!P30</f>
        <v>64</v>
      </c>
      <c r="N30" s="21">
        <f>'Measurement Sheet (Explained)'!Q30</f>
        <v>0.39369234766792249</v>
      </c>
      <c r="O30" s="21">
        <v>5.0000000000000001E-3</v>
      </c>
      <c r="P30" s="83">
        <f t="shared" si="4"/>
        <v>32047.766925</v>
      </c>
      <c r="Q30" s="116">
        <f t="shared" si="5"/>
        <v>17700.801499273257</v>
      </c>
      <c r="R30" s="116">
        <f t="shared" si="6"/>
        <v>2422.214942005814</v>
      </c>
      <c r="S30" s="116">
        <f t="shared" si="7"/>
        <v>20123.016441279069</v>
      </c>
      <c r="T30" s="116">
        <f t="shared" si="8"/>
        <v>11924.750483720931</v>
      </c>
      <c r="U30" s="10" t="str">
        <f>IF(ISBLANK('Measurement Sheet (Explained)'!R30),"",'Measurement Sheet (Explained)'!R30)</f>
        <v/>
      </c>
      <c r="V30" s="58"/>
      <c r="AB30" s="9">
        <v>95</v>
      </c>
      <c r="AD30" s="74">
        <v>0</v>
      </c>
      <c r="AE30" s="74">
        <v>94.995299999999986</v>
      </c>
    </row>
    <row r="31" spans="1:36" ht="21.95" customHeight="1" x14ac:dyDescent="0.25">
      <c r="A31" s="65"/>
      <c r="B31" s="8">
        <f>'Measurement Sheet (Explained)'!B31</f>
        <v>4.0599999999999987</v>
      </c>
      <c r="C31" s="8" t="str">
        <f>'Measurement Sheet (Explained)'!C31</f>
        <v>Concrete Pouring 1st Stage</v>
      </c>
      <c r="D31" s="8" t="str">
        <f>'Measurement Sheet (Explained)'!D31</f>
        <v>NOS</v>
      </c>
      <c r="E31" s="38">
        <f>'Measurement Sheet (Explained)'!E31</f>
        <v>172</v>
      </c>
      <c r="F31" s="20">
        <f>'Measurement Sheet (Explained)'!G31</f>
        <v>1</v>
      </c>
      <c r="G31" s="130">
        <f>'Measurement Sheet (Explained)'!H31</f>
        <v>95</v>
      </c>
      <c r="H31" s="20">
        <f>'Measurement Sheet (Explained)'!J31</f>
        <v>0.55232558139534882</v>
      </c>
      <c r="I31" s="130">
        <f>'Measurement Sheet (Explained)'!L31</f>
        <v>13</v>
      </c>
      <c r="J31" s="20">
        <f>'Measurement Sheet (Explained)'!M31</f>
        <v>7.5581395348837205E-2</v>
      </c>
      <c r="K31" s="9">
        <f>'Measurement Sheet (Explained)'!N31</f>
        <v>108</v>
      </c>
      <c r="L31" s="20">
        <f>'Measurement Sheet (Explained)'!O31</f>
        <v>0.60630765233207751</v>
      </c>
      <c r="M31" s="9">
        <f>'Measurement Sheet (Explained)'!P31</f>
        <v>64</v>
      </c>
      <c r="N31" s="21">
        <f>'Measurement Sheet (Explained)'!Q31</f>
        <v>0.39369234766792249</v>
      </c>
      <c r="O31" s="21">
        <v>0.05</v>
      </c>
      <c r="P31" s="83">
        <f t="shared" si="4"/>
        <v>320477.66925000004</v>
      </c>
      <c r="Q31" s="116">
        <f t="shared" si="5"/>
        <v>177008.01499273258</v>
      </c>
      <c r="R31" s="116">
        <f t="shared" si="6"/>
        <v>24222.14942005814</v>
      </c>
      <c r="S31" s="116">
        <f t="shared" si="7"/>
        <v>201230.16441279073</v>
      </c>
      <c r="T31" s="116">
        <f t="shared" si="8"/>
        <v>119247.5048372093</v>
      </c>
      <c r="U31" s="10" t="str">
        <f>IF(ISBLANK('Measurement Sheet (Explained)'!R31),"",'Measurement Sheet (Explained)'!R31)</f>
        <v/>
      </c>
      <c r="V31" s="58"/>
      <c r="AB31" s="9">
        <v>5.9965000000000002</v>
      </c>
      <c r="AD31" s="74">
        <v>89</v>
      </c>
      <c r="AE31" s="74">
        <v>5.9965000000000002</v>
      </c>
    </row>
    <row r="32" spans="1:36" ht="21.95" customHeight="1" x14ac:dyDescent="0.25">
      <c r="A32" s="65"/>
      <c r="B32" s="8">
        <f>'Measurement Sheet (Explained)'!B32</f>
        <v>4.0699999999999985</v>
      </c>
      <c r="C32" s="8" t="str">
        <f>'Measurement Sheet (Explained)'!C32</f>
        <v>Curing (1st Stage)</v>
      </c>
      <c r="D32" s="8" t="str">
        <f>'Measurement Sheet (Explained)'!D32</f>
        <v>NOS</v>
      </c>
      <c r="E32" s="38">
        <f>'Measurement Sheet (Explained)'!E32</f>
        <v>172</v>
      </c>
      <c r="F32" s="20">
        <f>'Measurement Sheet (Explained)'!G32</f>
        <v>1</v>
      </c>
      <c r="G32" s="130">
        <f>'Measurement Sheet (Explained)'!H32</f>
        <v>95</v>
      </c>
      <c r="H32" s="20">
        <f>'Measurement Sheet (Explained)'!J32</f>
        <v>0.55232558139534882</v>
      </c>
      <c r="I32" s="130">
        <f>'Measurement Sheet (Explained)'!L32</f>
        <v>13</v>
      </c>
      <c r="J32" s="20">
        <f>'Measurement Sheet (Explained)'!M32</f>
        <v>7.5581395348837205E-2</v>
      </c>
      <c r="K32" s="9">
        <f>'Measurement Sheet (Explained)'!N32</f>
        <v>108</v>
      </c>
      <c r="L32" s="20">
        <f>'Measurement Sheet (Explained)'!O32</f>
        <v>0.60630765233207751</v>
      </c>
      <c r="M32" s="9">
        <f>'Measurement Sheet (Explained)'!P32</f>
        <v>64</v>
      </c>
      <c r="N32" s="21">
        <f>'Measurement Sheet (Explained)'!Q32</f>
        <v>0.39369234766792249</v>
      </c>
      <c r="O32" s="21">
        <v>1.4999999999999999E-2</v>
      </c>
      <c r="P32" s="83">
        <f t="shared" si="4"/>
        <v>96143.300774999996</v>
      </c>
      <c r="Q32" s="116">
        <f t="shared" si="5"/>
        <v>53102.404497819763</v>
      </c>
      <c r="R32" s="116">
        <f t="shared" si="6"/>
        <v>7266.6448260174411</v>
      </c>
      <c r="S32" s="116">
        <f t="shared" si="7"/>
        <v>60369.049323837207</v>
      </c>
      <c r="T32" s="116">
        <f t="shared" si="8"/>
        <v>35774.251451162789</v>
      </c>
      <c r="U32" s="10" t="str">
        <f>IF(ISBLANK('Measurement Sheet (Explained)'!R32),"",'Measurement Sheet (Explained)'!R32)</f>
        <v/>
      </c>
      <c r="V32" s="58"/>
      <c r="AB32" s="9">
        <v>95</v>
      </c>
      <c r="AD32" s="74">
        <v>0</v>
      </c>
      <c r="AE32" s="74">
        <v>94.995299999999986</v>
      </c>
    </row>
    <row r="33" spans="1:31" ht="21.95" customHeight="1" x14ac:dyDescent="0.25">
      <c r="A33" s="65"/>
      <c r="B33" s="8">
        <f>'Measurement Sheet (Explained)'!B33</f>
        <v>4.0799999999999983</v>
      </c>
      <c r="C33" s="8" t="str">
        <f>'Measurement Sheet (Explained)'!C33</f>
        <v>Pole base &amp; Anchor alignment</v>
      </c>
      <c r="D33" s="8" t="str">
        <f>'Measurement Sheet (Explained)'!D33</f>
        <v>NOS</v>
      </c>
      <c r="E33" s="38">
        <f>'Measurement Sheet (Explained)'!E33</f>
        <v>172</v>
      </c>
      <c r="F33" s="20">
        <f>'Measurement Sheet (Explained)'!G33</f>
        <v>1</v>
      </c>
      <c r="G33" s="130">
        <f>'Measurement Sheet (Explained)'!H33</f>
        <v>2</v>
      </c>
      <c r="H33" s="20">
        <f>'Measurement Sheet (Explained)'!J33</f>
        <v>1.1627906976744186E-2</v>
      </c>
      <c r="I33" s="130">
        <f>'Measurement Sheet (Explained)'!L33</f>
        <v>66</v>
      </c>
      <c r="J33" s="20">
        <f>'Measurement Sheet (Explained)'!M33</f>
        <v>0.38372093023255816</v>
      </c>
      <c r="K33" s="9">
        <f>'Measurement Sheet (Explained)'!N33</f>
        <v>68</v>
      </c>
      <c r="L33" s="20">
        <f>'Measurement Sheet (Explained)'!O33</f>
        <v>0.39489411459010004</v>
      </c>
      <c r="M33" s="9">
        <f>'Measurement Sheet (Explained)'!P33</f>
        <v>104</v>
      </c>
      <c r="N33" s="21">
        <f>'Measurement Sheet (Explained)'!Q33</f>
        <v>0.60510588540989996</v>
      </c>
      <c r="O33" s="21">
        <v>0.03</v>
      </c>
      <c r="P33" s="83">
        <f t="shared" si="4"/>
        <v>192286.60154999999</v>
      </c>
      <c r="Q33" s="116">
        <f t="shared" si="5"/>
        <v>2235.8907156976743</v>
      </c>
      <c r="R33" s="116">
        <f t="shared" si="6"/>
        <v>73784.393618023256</v>
      </c>
      <c r="S33" s="116">
        <f t="shared" si="7"/>
        <v>76020.284333720934</v>
      </c>
      <c r="T33" s="116">
        <f t="shared" si="8"/>
        <v>116266.31721627906</v>
      </c>
      <c r="U33" s="10" t="str">
        <f>IF(ISBLANK('Measurement Sheet (Explained)'!R33),"",'Measurement Sheet (Explained)'!R33)</f>
        <v/>
      </c>
      <c r="V33" s="58"/>
      <c r="AB33" s="9">
        <v>2</v>
      </c>
      <c r="AD33" s="74">
        <v>0</v>
      </c>
      <c r="AE33" s="74">
        <v>2.0047999999999999</v>
      </c>
    </row>
    <row r="34" spans="1:31" ht="21.95" customHeight="1" x14ac:dyDescent="0.25">
      <c r="A34" s="65"/>
      <c r="B34" s="8">
        <f>'Measurement Sheet (Explained)'!B34</f>
        <v>4.0899999999999981</v>
      </c>
      <c r="C34" s="8" t="str">
        <f>'Measurement Sheet (Explained)'!C34</f>
        <v>Concrete Pouring 2nd Stage</v>
      </c>
      <c r="D34" s="8" t="str">
        <f>'Measurement Sheet (Explained)'!D34</f>
        <v>NOS</v>
      </c>
      <c r="E34" s="38">
        <f>'Measurement Sheet (Explained)'!E34</f>
        <v>172</v>
      </c>
      <c r="F34" s="20">
        <f>'Measurement Sheet (Explained)'!G34</f>
        <v>1</v>
      </c>
      <c r="G34" s="130">
        <f>'Measurement Sheet (Explained)'!H34</f>
        <v>0</v>
      </c>
      <c r="H34" s="20">
        <f>'Measurement Sheet (Explained)'!J34</f>
        <v>0</v>
      </c>
      <c r="I34" s="130">
        <f>'Measurement Sheet (Explained)'!L34</f>
        <v>52</v>
      </c>
      <c r="J34" s="20">
        <f>'Measurement Sheet (Explained)'!M34</f>
        <v>0.30232558139534882</v>
      </c>
      <c r="K34" s="9">
        <f>'Measurement Sheet (Explained)'!N34</f>
        <v>52</v>
      </c>
      <c r="L34" s="20">
        <f>'Measurement Sheet (Explained)'!O34</f>
        <v>0.30232558139534882</v>
      </c>
      <c r="M34" s="9">
        <f>'Measurement Sheet (Explained)'!P34</f>
        <v>120</v>
      </c>
      <c r="N34" s="21">
        <f>'Measurement Sheet (Explained)'!Q34</f>
        <v>0.69767441860465118</v>
      </c>
      <c r="O34" s="21">
        <v>0.05</v>
      </c>
      <c r="P34" s="83">
        <f t="shared" si="4"/>
        <v>320477.66925000004</v>
      </c>
      <c r="Q34" s="116">
        <f t="shared" si="5"/>
        <v>0</v>
      </c>
      <c r="R34" s="116">
        <f t="shared" si="6"/>
        <v>96888.59768023256</v>
      </c>
      <c r="S34" s="116">
        <f t="shared" si="7"/>
        <v>96888.59768023256</v>
      </c>
      <c r="T34" s="116">
        <f t="shared" si="8"/>
        <v>223589.07156976749</v>
      </c>
      <c r="U34" s="10" t="str">
        <f>IF(ISBLANK('Measurement Sheet (Explained)'!R34),"",'Measurement Sheet (Explained)'!R34)</f>
        <v/>
      </c>
      <c r="V34" s="58"/>
      <c r="AB34" s="9">
        <v>0</v>
      </c>
      <c r="AD34" s="74">
        <v>0</v>
      </c>
      <c r="AE34" s="74">
        <v>0</v>
      </c>
    </row>
    <row r="35" spans="1:31" ht="21.95" customHeight="1" x14ac:dyDescent="0.25">
      <c r="A35" s="65"/>
      <c r="B35" s="8">
        <f>'Measurement Sheet (Explained)'!B35</f>
        <v>4.0999999999999979</v>
      </c>
      <c r="C35" s="8" t="str">
        <f>'Measurement Sheet (Explained)'!C35</f>
        <v>Curing (2st Stage)</v>
      </c>
      <c r="D35" s="8" t="str">
        <f>'Measurement Sheet (Explained)'!D35</f>
        <v>NOS</v>
      </c>
      <c r="E35" s="38">
        <f>'Measurement Sheet (Explained)'!E35</f>
        <v>172</v>
      </c>
      <c r="F35" s="20">
        <f>'Measurement Sheet (Explained)'!G35</f>
        <v>1</v>
      </c>
      <c r="G35" s="130">
        <f>'Measurement Sheet (Explained)'!H35</f>
        <v>0</v>
      </c>
      <c r="H35" s="20">
        <f>'Measurement Sheet (Explained)'!J35</f>
        <v>0</v>
      </c>
      <c r="I35" s="130">
        <f>'Measurement Sheet (Explained)'!L35</f>
        <v>42</v>
      </c>
      <c r="J35" s="20">
        <f>'Measurement Sheet (Explained)'!M35</f>
        <v>0.2441860465116279</v>
      </c>
      <c r="K35" s="9">
        <f>'Measurement Sheet (Explained)'!N35</f>
        <v>42</v>
      </c>
      <c r="L35" s="20">
        <f>'Measurement Sheet (Explained)'!O35</f>
        <v>0.2441860465116279</v>
      </c>
      <c r="M35" s="9">
        <f>'Measurement Sheet (Explained)'!P35</f>
        <v>130</v>
      </c>
      <c r="N35" s="21">
        <f>'Measurement Sheet (Explained)'!Q35</f>
        <v>0.7558139534883721</v>
      </c>
      <c r="O35" s="21">
        <v>1.4999999999999999E-2</v>
      </c>
      <c r="P35" s="83">
        <f t="shared" si="4"/>
        <v>96143.300774999996</v>
      </c>
      <c r="Q35" s="116">
        <f t="shared" si="5"/>
        <v>0</v>
      </c>
      <c r="R35" s="116">
        <f t="shared" si="6"/>
        <v>23476.852514825579</v>
      </c>
      <c r="S35" s="116">
        <f t="shared" si="7"/>
        <v>23476.852514825579</v>
      </c>
      <c r="T35" s="116">
        <f t="shared" si="8"/>
        <v>72666.448260174424</v>
      </c>
      <c r="U35" s="10" t="str">
        <f>IF(ISBLANK('Measurement Sheet (Explained)'!R35),"",'Measurement Sheet (Explained)'!R35)</f>
        <v/>
      </c>
      <c r="V35" s="58"/>
      <c r="AB35" s="9">
        <v>0</v>
      </c>
      <c r="AD35" s="74">
        <v>0</v>
      </c>
      <c r="AE35" s="74">
        <v>0</v>
      </c>
    </row>
    <row r="36" spans="1:31" ht="21.95" customHeight="1" x14ac:dyDescent="0.25">
      <c r="A36" s="65"/>
      <c r="B36" s="8">
        <f>'Measurement Sheet (Explained)'!B36</f>
        <v>4.1099999999999977</v>
      </c>
      <c r="C36" s="8" t="str">
        <f>'Measurement Sheet (Explained)'!C36</f>
        <v>Deshuttering</v>
      </c>
      <c r="D36" s="8" t="str">
        <f>'Measurement Sheet (Explained)'!D36</f>
        <v>NOS</v>
      </c>
      <c r="E36" s="38">
        <f>'Measurement Sheet (Explained)'!E36</f>
        <v>172</v>
      </c>
      <c r="F36" s="20">
        <f>'Measurement Sheet (Explained)'!G36</f>
        <v>1</v>
      </c>
      <c r="G36" s="130">
        <f>'Measurement Sheet (Explained)'!H36</f>
        <v>0</v>
      </c>
      <c r="H36" s="20">
        <f>'Measurement Sheet (Explained)'!J36</f>
        <v>0</v>
      </c>
      <c r="I36" s="130">
        <f>'Measurement Sheet (Explained)'!L36</f>
        <v>0</v>
      </c>
      <c r="J36" s="20">
        <f>'Measurement Sheet (Explained)'!M36</f>
        <v>0</v>
      </c>
      <c r="K36" s="9">
        <f>'Measurement Sheet (Explained)'!N36</f>
        <v>0</v>
      </c>
      <c r="L36" s="20">
        <f>'Measurement Sheet (Explained)'!O36</f>
        <v>0</v>
      </c>
      <c r="M36" s="9">
        <f>'Measurement Sheet (Explained)'!P36</f>
        <v>172</v>
      </c>
      <c r="N36" s="21">
        <f>'Measurement Sheet (Explained)'!Q36</f>
        <v>1</v>
      </c>
      <c r="O36" s="21">
        <v>1.4999999999999999E-2</v>
      </c>
      <c r="P36" s="83">
        <f t="shared" si="4"/>
        <v>96143.300774999996</v>
      </c>
      <c r="Q36" s="116">
        <f t="shared" si="5"/>
        <v>0</v>
      </c>
      <c r="R36" s="116">
        <f t="shared" si="6"/>
        <v>0</v>
      </c>
      <c r="S36" s="116">
        <f t="shared" si="7"/>
        <v>0</v>
      </c>
      <c r="T36" s="116">
        <f t="shared" si="8"/>
        <v>96143.300774999996</v>
      </c>
      <c r="U36" s="10" t="str">
        <f>IF(ISBLANK('Measurement Sheet (Explained)'!R36),"",'Measurement Sheet (Explained)'!R36)</f>
        <v/>
      </c>
      <c r="V36" s="58"/>
      <c r="AB36" s="9">
        <v>0</v>
      </c>
      <c r="AD36" s="74">
        <v>0</v>
      </c>
      <c r="AE36" s="74">
        <v>0</v>
      </c>
    </row>
    <row r="37" spans="1:31" ht="21.95" customHeight="1" x14ac:dyDescent="0.25">
      <c r="A37" s="65"/>
      <c r="B37" s="8">
        <f>'Measurement Sheet (Explained)'!B37</f>
        <v>4.1199999999999974</v>
      </c>
      <c r="C37" s="75" t="str">
        <f>'Measurement Sheet (Explained)'!C37</f>
        <v>Pole top part installation</v>
      </c>
      <c r="D37" s="8" t="str">
        <f>'Measurement Sheet (Explained)'!D37</f>
        <v>NOS</v>
      </c>
      <c r="E37" s="38">
        <f>'Measurement Sheet (Explained)'!E37</f>
        <v>172</v>
      </c>
      <c r="F37" s="20">
        <f>'Measurement Sheet (Explained)'!G37</f>
        <v>1</v>
      </c>
      <c r="G37" s="130">
        <f>'Measurement Sheet (Explained)'!H37</f>
        <v>0</v>
      </c>
      <c r="H37" s="20">
        <f>'Measurement Sheet (Explained)'!J37</f>
        <v>0</v>
      </c>
      <c r="I37" s="130">
        <f>'Measurement Sheet (Explained)'!L37</f>
        <v>0</v>
      </c>
      <c r="J37" s="20">
        <f>'Measurement Sheet (Explained)'!M37</f>
        <v>0</v>
      </c>
      <c r="K37" s="9">
        <f>'Measurement Sheet (Explained)'!N37</f>
        <v>0</v>
      </c>
      <c r="L37" s="20">
        <f>'Measurement Sheet (Explained)'!O37</f>
        <v>0</v>
      </c>
      <c r="M37" s="9">
        <f>'Measurement Sheet (Explained)'!P37</f>
        <v>172</v>
      </c>
      <c r="N37" s="21">
        <f>'Measurement Sheet (Explained)'!Q37</f>
        <v>1</v>
      </c>
      <c r="O37" s="21">
        <v>0.04</v>
      </c>
      <c r="P37" s="83">
        <f t="shared" si="4"/>
        <v>256382.1354</v>
      </c>
      <c r="Q37" s="116">
        <f t="shared" si="5"/>
        <v>0</v>
      </c>
      <c r="R37" s="116">
        <f t="shared" si="6"/>
        <v>0</v>
      </c>
      <c r="S37" s="116">
        <f t="shared" si="7"/>
        <v>0</v>
      </c>
      <c r="T37" s="116">
        <f t="shared" si="8"/>
        <v>256382.1354</v>
      </c>
      <c r="U37" s="10" t="str">
        <f>IF(ISBLANK('Measurement Sheet (Explained)'!R37),"",'Measurement Sheet (Explained)'!R37)</f>
        <v/>
      </c>
      <c r="V37" s="58"/>
      <c r="AB37" s="9">
        <v>0</v>
      </c>
      <c r="AD37" s="74">
        <v>0</v>
      </c>
      <c r="AE37" s="74">
        <v>0</v>
      </c>
    </row>
    <row r="38" spans="1:31" ht="21.95" customHeight="1" x14ac:dyDescent="0.25">
      <c r="A38" s="65"/>
      <c r="B38" s="8">
        <f>'Measurement Sheet (Explained)'!B38</f>
        <v>4.1299999999999972</v>
      </c>
      <c r="C38" s="75" t="str">
        <f>'Measurement Sheet (Explained)'!C38</f>
        <v>Cross Arm Installation</v>
      </c>
      <c r="D38" s="8" t="str">
        <f>'Measurement Sheet (Explained)'!D38</f>
        <v>NOS</v>
      </c>
      <c r="E38" s="38">
        <f>'Measurement Sheet (Explained)'!E38</f>
        <v>172</v>
      </c>
      <c r="F38" s="20">
        <f>'Measurement Sheet (Explained)'!G38</f>
        <v>1</v>
      </c>
      <c r="G38" s="130">
        <f>'Measurement Sheet (Explained)'!H38</f>
        <v>0</v>
      </c>
      <c r="H38" s="20">
        <f>'Measurement Sheet (Explained)'!J38</f>
        <v>0</v>
      </c>
      <c r="I38" s="130">
        <f>'Measurement Sheet (Explained)'!L38</f>
        <v>0</v>
      </c>
      <c r="J38" s="20">
        <f>'Measurement Sheet (Explained)'!M38</f>
        <v>0</v>
      </c>
      <c r="K38" s="9">
        <f>'Measurement Sheet (Explained)'!N38</f>
        <v>0</v>
      </c>
      <c r="L38" s="20">
        <f>'Measurement Sheet (Explained)'!O38</f>
        <v>0</v>
      </c>
      <c r="M38" s="9">
        <f>'Measurement Sheet (Explained)'!P38</f>
        <v>172</v>
      </c>
      <c r="N38" s="21">
        <f>'Measurement Sheet (Explained)'!Q38</f>
        <v>1</v>
      </c>
      <c r="O38" s="21">
        <v>0.04</v>
      </c>
      <c r="P38" s="83">
        <f t="shared" si="4"/>
        <v>256382.1354</v>
      </c>
      <c r="Q38" s="116">
        <f t="shared" si="5"/>
        <v>0</v>
      </c>
      <c r="R38" s="116">
        <f t="shared" si="6"/>
        <v>0</v>
      </c>
      <c r="S38" s="116">
        <f t="shared" si="7"/>
        <v>0</v>
      </c>
      <c r="T38" s="116">
        <f t="shared" si="8"/>
        <v>256382.1354</v>
      </c>
      <c r="U38" s="10" t="str">
        <f>IF(ISBLANK('Measurement Sheet (Explained)'!R38),"",'Measurement Sheet (Explained)'!R38)</f>
        <v/>
      </c>
      <c r="V38" s="58"/>
      <c r="AB38" s="9">
        <v>0</v>
      </c>
      <c r="AD38" s="74">
        <v>0</v>
      </c>
      <c r="AE38" s="74">
        <v>0</v>
      </c>
    </row>
    <row r="39" spans="1:31" ht="21.95" customHeight="1" x14ac:dyDescent="0.25">
      <c r="A39" s="65"/>
      <c r="B39" s="8">
        <f>'Measurement Sheet (Explained)'!B39</f>
        <v>4.139999999999997</v>
      </c>
      <c r="C39" s="75" t="str">
        <f>'Measurement Sheet (Explained)'!C39</f>
        <v>Accessories Installation</v>
      </c>
      <c r="D39" s="8" t="str">
        <f>'Measurement Sheet (Explained)'!D39</f>
        <v>NOS</v>
      </c>
      <c r="E39" s="38">
        <f>'Measurement Sheet (Explained)'!E39</f>
        <v>172</v>
      </c>
      <c r="F39" s="20">
        <f>'Measurement Sheet (Explained)'!G39</f>
        <v>1</v>
      </c>
      <c r="G39" s="130">
        <f>'Measurement Sheet (Explained)'!H39</f>
        <v>0</v>
      </c>
      <c r="H39" s="20">
        <f>'Measurement Sheet (Explained)'!J39</f>
        <v>0</v>
      </c>
      <c r="I39" s="130">
        <f>'Measurement Sheet (Explained)'!L39</f>
        <v>0</v>
      </c>
      <c r="J39" s="20">
        <f>'Measurement Sheet (Explained)'!M39</f>
        <v>0</v>
      </c>
      <c r="K39" s="9">
        <f>'Measurement Sheet (Explained)'!N39</f>
        <v>0</v>
      </c>
      <c r="L39" s="20">
        <f>'Measurement Sheet (Explained)'!O39</f>
        <v>0</v>
      </c>
      <c r="M39" s="9">
        <f>'Measurement Sheet (Explained)'!P39</f>
        <v>172</v>
      </c>
      <c r="N39" s="21">
        <f>'Measurement Sheet (Explained)'!Q39</f>
        <v>1</v>
      </c>
      <c r="O39" s="21">
        <v>1.4999999999999999E-2</v>
      </c>
      <c r="P39" s="83">
        <f t="shared" si="4"/>
        <v>96143.300774999996</v>
      </c>
      <c r="Q39" s="116">
        <f t="shared" si="5"/>
        <v>0</v>
      </c>
      <c r="R39" s="116">
        <f t="shared" si="6"/>
        <v>0</v>
      </c>
      <c r="S39" s="116">
        <f t="shared" si="7"/>
        <v>0</v>
      </c>
      <c r="T39" s="116">
        <f t="shared" si="8"/>
        <v>96143.300774999996</v>
      </c>
      <c r="U39" s="10" t="str">
        <f>IF(ISBLANK('Measurement Sheet (Explained)'!R39),"",'Measurement Sheet (Explained)'!R39)</f>
        <v/>
      </c>
      <c r="V39" s="58"/>
      <c r="AB39" s="9">
        <v>0</v>
      </c>
      <c r="AD39" s="74">
        <v>0</v>
      </c>
      <c r="AE39" s="74">
        <v>0</v>
      </c>
    </row>
    <row r="40" spans="1:31" ht="21.95" customHeight="1" x14ac:dyDescent="0.25">
      <c r="A40" s="65"/>
      <c r="B40" s="8">
        <f>'Measurement Sheet (Explained)'!B40</f>
        <v>4.1499999999999968</v>
      </c>
      <c r="C40" s="75" t="str">
        <f>'Measurement Sheet (Explained)'!C40</f>
        <v>Grounding Installation</v>
      </c>
      <c r="D40" s="8" t="str">
        <f>'Measurement Sheet (Explained)'!D40</f>
        <v>NOS</v>
      </c>
      <c r="E40" s="38">
        <f>'Measurement Sheet (Explained)'!E40</f>
        <v>172</v>
      </c>
      <c r="F40" s="20">
        <f>'Measurement Sheet (Explained)'!G40</f>
        <v>1</v>
      </c>
      <c r="G40" s="130">
        <f>'Measurement Sheet (Explained)'!H40</f>
        <v>0</v>
      </c>
      <c r="H40" s="20">
        <f>'Measurement Sheet (Explained)'!J40</f>
        <v>0</v>
      </c>
      <c r="I40" s="130">
        <f>'Measurement Sheet (Explained)'!L40</f>
        <v>0</v>
      </c>
      <c r="J40" s="20">
        <f>'Measurement Sheet (Explained)'!M40</f>
        <v>0</v>
      </c>
      <c r="K40" s="9">
        <f>'Measurement Sheet (Explained)'!N40</f>
        <v>0</v>
      </c>
      <c r="L40" s="20">
        <f>'Measurement Sheet (Explained)'!O40</f>
        <v>0</v>
      </c>
      <c r="M40" s="9">
        <f>'Measurement Sheet (Explained)'!P40</f>
        <v>172</v>
      </c>
      <c r="N40" s="21">
        <f>'Measurement Sheet (Explained)'!Q40</f>
        <v>1</v>
      </c>
      <c r="O40" s="21">
        <v>1.4999999999999999E-2</v>
      </c>
      <c r="P40" s="83">
        <f t="shared" si="4"/>
        <v>96143.300774999996</v>
      </c>
      <c r="Q40" s="116">
        <f t="shared" si="5"/>
        <v>0</v>
      </c>
      <c r="R40" s="116">
        <f t="shared" si="6"/>
        <v>0</v>
      </c>
      <c r="S40" s="116">
        <f t="shared" si="7"/>
        <v>0</v>
      </c>
      <c r="T40" s="116">
        <f t="shared" si="8"/>
        <v>96143.300774999996</v>
      </c>
      <c r="U40" s="10" t="str">
        <f>IF(ISBLANK('Measurement Sheet (Explained)'!R40),"",'Measurement Sheet (Explained)'!R40)</f>
        <v/>
      </c>
      <c r="V40" s="58"/>
      <c r="AB40" s="9">
        <v>0</v>
      </c>
      <c r="AD40" s="74">
        <v>0</v>
      </c>
      <c r="AE40" s="74">
        <v>0</v>
      </c>
    </row>
    <row r="41" spans="1:31" ht="21.95" customHeight="1" x14ac:dyDescent="0.25">
      <c r="A41" s="65"/>
      <c r="B41" s="8">
        <f>'Measurement Sheet (Explained)'!B41</f>
        <v>4.1599999999999966</v>
      </c>
      <c r="C41" s="75" t="str">
        <f>'Measurement Sheet (Explained)'!C41</f>
        <v>Pole Identification</v>
      </c>
      <c r="D41" s="8" t="str">
        <f>'Measurement Sheet (Explained)'!D41</f>
        <v>NOS</v>
      </c>
      <c r="E41" s="9">
        <f>'Measurement Sheet (Explained)'!E41</f>
        <v>172</v>
      </c>
      <c r="F41" s="20">
        <f>'Measurement Sheet (Explained)'!G41</f>
        <v>1</v>
      </c>
      <c r="G41" s="130">
        <f>'Measurement Sheet (Explained)'!H41</f>
        <v>0</v>
      </c>
      <c r="H41" s="20">
        <f>'Measurement Sheet (Explained)'!J41</f>
        <v>0</v>
      </c>
      <c r="I41" s="130">
        <f>'Measurement Sheet (Explained)'!L41</f>
        <v>0</v>
      </c>
      <c r="J41" s="20">
        <f>'Measurement Sheet (Explained)'!M41</f>
        <v>0</v>
      </c>
      <c r="K41" s="9">
        <f>'Measurement Sheet (Explained)'!N41</f>
        <v>0</v>
      </c>
      <c r="L41" s="20">
        <f>'Measurement Sheet (Explained)'!O41</f>
        <v>0</v>
      </c>
      <c r="M41" s="9">
        <f>'Measurement Sheet (Explained)'!P41</f>
        <v>172</v>
      </c>
      <c r="N41" s="21">
        <f>'Measurement Sheet (Explained)'!Q41</f>
        <v>1</v>
      </c>
      <c r="O41" s="21">
        <v>1.4999999999999999E-2</v>
      </c>
      <c r="P41" s="83">
        <f t="shared" si="4"/>
        <v>96143.300774999996</v>
      </c>
      <c r="Q41" s="116">
        <f t="shared" si="5"/>
        <v>0</v>
      </c>
      <c r="R41" s="116">
        <f t="shared" si="6"/>
        <v>0</v>
      </c>
      <c r="S41" s="116">
        <f t="shared" si="7"/>
        <v>0</v>
      </c>
      <c r="T41" s="116">
        <f t="shared" si="8"/>
        <v>96143.300774999996</v>
      </c>
      <c r="U41" s="10" t="str">
        <f>IF(ISBLANK('Measurement Sheet (Explained)'!R41),"",'Measurement Sheet (Explained)'!R41)</f>
        <v/>
      </c>
      <c r="V41" s="58"/>
      <c r="AB41" s="9">
        <v>0</v>
      </c>
      <c r="AD41" s="74">
        <v>0</v>
      </c>
      <c r="AE41" s="74">
        <v>0</v>
      </c>
    </row>
    <row r="42" spans="1:31" ht="21.95" customHeight="1" x14ac:dyDescent="0.25">
      <c r="A42" s="65"/>
      <c r="B42" s="8">
        <f>'Measurement Sheet (Explained)'!B42</f>
        <v>4.1699999999999964</v>
      </c>
      <c r="C42" s="75" t="str">
        <f>'Measurement Sheet (Explained)'!C42</f>
        <v>Foundation Finishings</v>
      </c>
      <c r="D42" s="8" t="str">
        <f>'Measurement Sheet (Explained)'!D42</f>
        <v>NOS</v>
      </c>
      <c r="E42" s="38">
        <f>'Measurement Sheet (Explained)'!E42</f>
        <v>172</v>
      </c>
      <c r="F42" s="20">
        <f>'Measurement Sheet (Explained)'!G42</f>
        <v>1</v>
      </c>
      <c r="G42" s="130">
        <f>'Measurement Sheet (Explained)'!H42</f>
        <v>0</v>
      </c>
      <c r="H42" s="20">
        <f>'Measurement Sheet (Explained)'!J42</f>
        <v>0</v>
      </c>
      <c r="I42" s="130">
        <f>'Measurement Sheet (Explained)'!L42</f>
        <v>0</v>
      </c>
      <c r="J42" s="20">
        <f>'Measurement Sheet (Explained)'!M42</f>
        <v>0</v>
      </c>
      <c r="K42" s="9">
        <f>'Measurement Sheet (Explained)'!N42</f>
        <v>0</v>
      </c>
      <c r="L42" s="20">
        <f>'Measurement Sheet (Explained)'!O42</f>
        <v>0</v>
      </c>
      <c r="M42" s="9">
        <f>'Measurement Sheet (Explained)'!P42</f>
        <v>172</v>
      </c>
      <c r="N42" s="21">
        <f>'Measurement Sheet (Explained)'!Q42</f>
        <v>1</v>
      </c>
      <c r="O42" s="21">
        <v>0.03</v>
      </c>
      <c r="P42" s="83">
        <f t="shared" si="4"/>
        <v>192286.60154999999</v>
      </c>
      <c r="Q42" s="116">
        <f t="shared" si="5"/>
        <v>0</v>
      </c>
      <c r="R42" s="116">
        <f t="shared" si="6"/>
        <v>0</v>
      </c>
      <c r="S42" s="116">
        <f t="shared" si="7"/>
        <v>0</v>
      </c>
      <c r="T42" s="116">
        <f t="shared" si="8"/>
        <v>192286.60154999999</v>
      </c>
      <c r="U42" s="10" t="str">
        <f>IF(ISBLANK('Measurement Sheet (Explained)'!R42),"",'Measurement Sheet (Explained)'!R42)</f>
        <v/>
      </c>
      <c r="V42" s="58"/>
      <c r="AB42" s="9">
        <v>0</v>
      </c>
      <c r="AD42" s="74">
        <v>0</v>
      </c>
      <c r="AE42" s="74">
        <v>0</v>
      </c>
    </row>
    <row r="43" spans="1:31" ht="21.95" customHeight="1" x14ac:dyDescent="0.25">
      <c r="A43" s="65"/>
      <c r="B43" s="8">
        <f>'Measurement Sheet (Explained)'!B43</f>
        <v>4.1799999999999962</v>
      </c>
      <c r="C43" s="75" t="str">
        <f>'Measurement Sheet (Explained)'!C43</f>
        <v>ACSR Stringing</v>
      </c>
      <c r="D43" s="8" t="str">
        <f>'Measurement Sheet (Explained)'!D43</f>
        <v>LM</v>
      </c>
      <c r="E43" s="38">
        <f>'Measurement Sheet (Explained)'!E43</f>
        <v>36055.08</v>
      </c>
      <c r="F43" s="20">
        <f>'Measurement Sheet (Explained)'!G43</f>
        <v>1</v>
      </c>
      <c r="G43" s="130">
        <f>'Measurement Sheet (Explained)'!H43</f>
        <v>0</v>
      </c>
      <c r="H43" s="20">
        <f>'Measurement Sheet (Explained)'!J43</f>
        <v>0</v>
      </c>
      <c r="I43" s="130">
        <f>'Measurement Sheet (Explained)'!L43</f>
        <v>0</v>
      </c>
      <c r="J43" s="20">
        <f>'Measurement Sheet (Explained)'!M43</f>
        <v>0</v>
      </c>
      <c r="K43" s="9">
        <f>'Measurement Sheet (Explained)'!N43</f>
        <v>0</v>
      </c>
      <c r="L43" s="20">
        <f>'Measurement Sheet (Explained)'!O43</f>
        <v>0</v>
      </c>
      <c r="M43" s="9">
        <f>'Measurement Sheet (Explained)'!P43</f>
        <v>36055.08</v>
      </c>
      <c r="N43" s="21">
        <f>'Measurement Sheet (Explained)'!Q43</f>
        <v>1</v>
      </c>
      <c r="O43" s="21">
        <v>1.4999999999999999E-2</v>
      </c>
      <c r="P43" s="83">
        <f t="shared" si="4"/>
        <v>96143.300774999996</v>
      </c>
      <c r="Q43" s="116">
        <f t="shared" si="5"/>
        <v>0</v>
      </c>
      <c r="R43" s="116">
        <f t="shared" si="6"/>
        <v>0</v>
      </c>
      <c r="S43" s="116">
        <f t="shared" si="7"/>
        <v>0</v>
      </c>
      <c r="T43" s="116">
        <f t="shared" si="8"/>
        <v>96143.300774999996</v>
      </c>
      <c r="U43" s="10" t="str">
        <f>IF(ISBLANK('Measurement Sheet (Explained)'!R43),"",'Measurement Sheet (Explained)'!R43)</f>
        <v/>
      </c>
      <c r="V43" s="58"/>
      <c r="AB43" s="9">
        <v>0</v>
      </c>
      <c r="AD43" s="74">
        <v>0</v>
      </c>
      <c r="AE43" s="74">
        <v>0</v>
      </c>
    </row>
    <row r="44" spans="1:31" ht="21.95" customHeight="1" x14ac:dyDescent="0.25">
      <c r="A44" s="65"/>
      <c r="B44" s="8">
        <f>'Measurement Sheet (Explained)'!B44</f>
        <v>4.1899999999999959</v>
      </c>
      <c r="C44" s="75" t="str">
        <f>'Measurement Sheet (Explained)'!C44</f>
        <v>OGW Stringing</v>
      </c>
      <c r="D44" s="8" t="str">
        <f>'Measurement Sheet (Explained)'!D44</f>
        <v>LM</v>
      </c>
      <c r="E44" s="38">
        <f>'Measurement Sheet (Explained)'!E44</f>
        <v>12018.36</v>
      </c>
      <c r="F44" s="20">
        <f>'Measurement Sheet (Explained)'!G44</f>
        <v>1</v>
      </c>
      <c r="G44" s="130">
        <f>'Measurement Sheet (Explained)'!H44</f>
        <v>0</v>
      </c>
      <c r="H44" s="20">
        <f>'Measurement Sheet (Explained)'!J44</f>
        <v>0</v>
      </c>
      <c r="I44" s="130">
        <f>'Measurement Sheet (Explained)'!L44</f>
        <v>0</v>
      </c>
      <c r="J44" s="20">
        <f>'Measurement Sheet (Explained)'!M44</f>
        <v>0</v>
      </c>
      <c r="K44" s="9">
        <f>'Measurement Sheet (Explained)'!N44</f>
        <v>0</v>
      </c>
      <c r="L44" s="20">
        <f>'Measurement Sheet (Explained)'!O44</f>
        <v>0</v>
      </c>
      <c r="M44" s="9">
        <f>'Measurement Sheet (Explained)'!P44</f>
        <v>12018.36</v>
      </c>
      <c r="N44" s="21">
        <f>'Measurement Sheet (Explained)'!Q44</f>
        <v>1</v>
      </c>
      <c r="O44" s="21">
        <v>1.4999999999999999E-2</v>
      </c>
      <c r="P44" s="83">
        <f t="shared" si="4"/>
        <v>96143.300774999996</v>
      </c>
      <c r="Q44" s="116">
        <f t="shared" si="5"/>
        <v>0</v>
      </c>
      <c r="R44" s="116">
        <f t="shared" si="6"/>
        <v>0</v>
      </c>
      <c r="S44" s="116">
        <f t="shared" si="7"/>
        <v>0</v>
      </c>
      <c r="T44" s="116">
        <f t="shared" si="8"/>
        <v>96143.300774999996</v>
      </c>
      <c r="U44" s="10" t="str">
        <f>IF(ISBLANK('Measurement Sheet (Explained)'!R44),"",'Measurement Sheet (Explained)'!R44)</f>
        <v/>
      </c>
      <c r="V44" s="58"/>
      <c r="AB44" s="9">
        <v>0</v>
      </c>
      <c r="AD44" s="74">
        <v>0</v>
      </c>
      <c r="AE44" s="74">
        <v>0</v>
      </c>
    </row>
    <row r="45" spans="1:31" ht="21.95" customHeight="1" x14ac:dyDescent="0.25">
      <c r="A45" s="65"/>
      <c r="B45" s="8">
        <f>'Measurement Sheet (Explained)'!B45</f>
        <v>4.1999999999999957</v>
      </c>
      <c r="C45" s="75" t="str">
        <f>'Measurement Sheet (Explained)'!C45</f>
        <v>Yes Push Items</v>
      </c>
      <c r="D45" s="8" t="str">
        <f>'Measurement Sheet (Explained)'!D45</f>
        <v>Lot</v>
      </c>
      <c r="E45" s="9">
        <f>'Measurement Sheet (Explained)'!E45</f>
        <v>1</v>
      </c>
      <c r="F45" s="20">
        <f>'Measurement Sheet (Explained)'!G45</f>
        <v>1</v>
      </c>
      <c r="G45" s="130">
        <f>'Measurement Sheet (Explained)'!H45</f>
        <v>0</v>
      </c>
      <c r="H45" s="20">
        <f>'Measurement Sheet (Explained)'!J45</f>
        <v>0</v>
      </c>
      <c r="I45" s="130">
        <f>'Measurement Sheet (Explained)'!L45</f>
        <v>0</v>
      </c>
      <c r="J45" s="20">
        <f>'Measurement Sheet (Explained)'!M45</f>
        <v>0</v>
      </c>
      <c r="K45" s="9">
        <f>'Measurement Sheet (Explained)'!N45</f>
        <v>0</v>
      </c>
      <c r="L45" s="20">
        <f>'Measurement Sheet (Explained)'!O45</f>
        <v>0</v>
      </c>
      <c r="M45" s="9">
        <f>'Measurement Sheet (Explained)'!P45</f>
        <v>1</v>
      </c>
      <c r="N45" s="21">
        <f>'Measurement Sheet (Explained)'!Q45</f>
        <v>1</v>
      </c>
      <c r="O45" s="21">
        <v>1.4999999999999999E-2</v>
      </c>
      <c r="P45" s="83">
        <f t="shared" si="4"/>
        <v>96143.300774999996</v>
      </c>
      <c r="Q45" s="116">
        <f t="shared" si="5"/>
        <v>0</v>
      </c>
      <c r="R45" s="116">
        <f t="shared" si="6"/>
        <v>0</v>
      </c>
      <c r="S45" s="116">
        <f t="shared" si="7"/>
        <v>0</v>
      </c>
      <c r="T45" s="116">
        <f t="shared" si="8"/>
        <v>96143.300774999996</v>
      </c>
      <c r="U45" s="10" t="str">
        <f>IF(ISBLANK('Measurement Sheet (Explained)'!R45),"",'Measurement Sheet (Explained)'!R45)</f>
        <v/>
      </c>
      <c r="V45" s="58"/>
      <c r="AB45" s="9">
        <v>0</v>
      </c>
      <c r="AD45" s="74">
        <v>0</v>
      </c>
      <c r="AE45" s="74">
        <v>0</v>
      </c>
    </row>
    <row r="46" spans="1:31" ht="21.95" customHeight="1" x14ac:dyDescent="0.25">
      <c r="A46" s="65"/>
      <c r="B46" s="8">
        <f>'Measurement Sheet (Explained)'!B46</f>
        <v>4.2099999999999955</v>
      </c>
      <c r="C46" s="75" t="str">
        <f>'Measurement Sheet (Explained)'!C46</f>
        <v>No Push Items</v>
      </c>
      <c r="D46" s="8" t="str">
        <f>'Measurement Sheet (Explained)'!D46</f>
        <v xml:space="preserve">Lot </v>
      </c>
      <c r="E46" s="9">
        <f>'Measurement Sheet (Explained)'!E46</f>
        <v>1</v>
      </c>
      <c r="F46" s="20">
        <f>'Measurement Sheet (Explained)'!G46</f>
        <v>1</v>
      </c>
      <c r="G46" s="130">
        <f>'Measurement Sheet (Explained)'!H46</f>
        <v>0</v>
      </c>
      <c r="H46" s="20">
        <f>'Measurement Sheet (Explained)'!J46</f>
        <v>0</v>
      </c>
      <c r="I46" s="130">
        <f>'Measurement Sheet (Explained)'!L46</f>
        <v>0</v>
      </c>
      <c r="J46" s="20">
        <f>'Measurement Sheet (Explained)'!M46</f>
        <v>0</v>
      </c>
      <c r="K46" s="9">
        <f>'Measurement Sheet (Explained)'!N46</f>
        <v>0</v>
      </c>
      <c r="L46" s="20">
        <f>'Measurement Sheet (Explained)'!O46</f>
        <v>0</v>
      </c>
      <c r="M46" s="9">
        <f>'Measurement Sheet (Explained)'!P46</f>
        <v>1</v>
      </c>
      <c r="N46" s="21">
        <f>'Measurement Sheet (Explained)'!Q46</f>
        <v>1</v>
      </c>
      <c r="O46" s="21">
        <v>1.4999999999999999E-2</v>
      </c>
      <c r="P46" s="83">
        <f t="shared" si="4"/>
        <v>96143.300774999996</v>
      </c>
      <c r="Q46" s="116">
        <f t="shared" si="5"/>
        <v>0</v>
      </c>
      <c r="R46" s="116">
        <f t="shared" si="6"/>
        <v>0</v>
      </c>
      <c r="S46" s="116">
        <f t="shared" si="7"/>
        <v>0</v>
      </c>
      <c r="T46" s="116">
        <f t="shared" si="8"/>
        <v>96143.300774999996</v>
      </c>
      <c r="U46" s="10" t="str">
        <f>IF(ISBLANK('Measurement Sheet (Explained)'!R46),"",'Measurement Sheet (Explained)'!R46)</f>
        <v/>
      </c>
      <c r="V46" s="58"/>
      <c r="AB46" s="9">
        <v>0</v>
      </c>
      <c r="AD46" s="74">
        <v>0</v>
      </c>
      <c r="AE46" s="74">
        <v>0</v>
      </c>
    </row>
    <row r="47" spans="1:31" ht="21.95" customHeight="1" x14ac:dyDescent="0.25">
      <c r="A47" s="65"/>
      <c r="B47" s="12">
        <f>'Measurement Sheet (Explained)'!B47</f>
        <v>5</v>
      </c>
      <c r="C47" s="12" t="str">
        <f>'Measurement Sheet (Explained)'!C47</f>
        <v>Underground Crossings</v>
      </c>
      <c r="D47" s="12"/>
      <c r="E47" s="30"/>
      <c r="F47" s="12"/>
      <c r="G47" s="13"/>
      <c r="H47" s="13"/>
      <c r="I47" s="13"/>
      <c r="J47" s="13"/>
      <c r="K47" s="13"/>
      <c r="L47" s="13"/>
      <c r="M47" s="13"/>
      <c r="N47" s="13"/>
      <c r="O47" s="13"/>
      <c r="P47" s="84"/>
      <c r="Q47" s="117"/>
      <c r="R47" s="117"/>
      <c r="S47" s="117"/>
      <c r="T47" s="117"/>
      <c r="U47" s="13"/>
      <c r="V47" s="58"/>
      <c r="AB47" s="13"/>
      <c r="AD47" s="74"/>
      <c r="AE47" s="74"/>
    </row>
    <row r="48" spans="1:31" ht="21.95" customHeight="1" x14ac:dyDescent="0.25">
      <c r="A48" s="65"/>
      <c r="B48" s="8">
        <f>'Measurement Sheet (Explained)'!B48</f>
        <v>5.01</v>
      </c>
      <c r="C48" s="75" t="str">
        <f>'Measurement Sheet (Explained)'!C48</f>
        <v>Route Survey</v>
      </c>
      <c r="D48" s="8" t="str">
        <f>'Measurement Sheet (Explained)'!D48</f>
        <v>NOS</v>
      </c>
      <c r="E48" s="9">
        <f>'Measurement Sheet (Explained)'!E48</f>
        <v>5</v>
      </c>
      <c r="F48" s="20">
        <f>'Measurement Sheet (Explained)'!G48</f>
        <v>1</v>
      </c>
      <c r="G48" s="130">
        <f>'Measurement Sheet (Explained)'!H48</f>
        <v>0</v>
      </c>
      <c r="H48" s="20">
        <f>'Measurement Sheet (Explained)'!J48</f>
        <v>0</v>
      </c>
      <c r="I48" s="130">
        <f>'Measurement Sheet (Explained)'!L48</f>
        <v>0</v>
      </c>
      <c r="J48" s="20">
        <f>'Measurement Sheet (Explained)'!M48</f>
        <v>0</v>
      </c>
      <c r="K48" s="9">
        <f>'Measurement Sheet (Explained)'!N48</f>
        <v>0</v>
      </c>
      <c r="L48" s="20">
        <f>'Measurement Sheet (Explained)'!O48</f>
        <v>0</v>
      </c>
      <c r="M48" s="9">
        <f>'Measurement Sheet (Explained)'!P48</f>
        <v>5</v>
      </c>
      <c r="N48" s="21">
        <f>'Measurement Sheet (Explained)'!Q48</f>
        <v>1</v>
      </c>
      <c r="O48" s="21">
        <v>0.01</v>
      </c>
      <c r="P48" s="83">
        <f t="shared" ref="P48:P58" si="9">O48*$AJ$18</f>
        <v>64095.53385</v>
      </c>
      <c r="Q48" s="116">
        <f t="shared" ref="Q48:Q58" si="10">H48*P48</f>
        <v>0</v>
      </c>
      <c r="R48" s="116">
        <f t="shared" ref="R48:R58" si="11">J48*P48</f>
        <v>0</v>
      </c>
      <c r="S48" s="116">
        <f>R48+Q48</f>
        <v>0</v>
      </c>
      <c r="T48" s="116">
        <f t="shared" ref="T48:T58" si="12">P48-S48</f>
        <v>64095.53385</v>
      </c>
      <c r="U48" s="10" t="str">
        <f>IF(ISBLANK('Measurement Sheet (Explained)'!R48),"",'Measurement Sheet (Explained)'!R48)</f>
        <v/>
      </c>
      <c r="V48" s="58"/>
      <c r="AB48" s="9">
        <v>0</v>
      </c>
      <c r="AD48" s="74">
        <v>0</v>
      </c>
      <c r="AE48" s="74">
        <v>0</v>
      </c>
    </row>
    <row r="49" spans="1:31" ht="21.95" customHeight="1" x14ac:dyDescent="0.25">
      <c r="A49" s="65"/>
      <c r="B49" s="8">
        <f>'Measurement Sheet (Explained)'!B49</f>
        <v>5.0199999999999996</v>
      </c>
      <c r="C49" s="75" t="str">
        <f>'Measurement Sheet (Explained)'!C49</f>
        <v>Excavation</v>
      </c>
      <c r="D49" s="8" t="str">
        <f>'Measurement Sheet (Explained)'!D49</f>
        <v>LM</v>
      </c>
      <c r="E49" s="9">
        <f>'Measurement Sheet (Explained)'!E49</f>
        <v>379.88</v>
      </c>
      <c r="F49" s="20">
        <f>'Measurement Sheet (Explained)'!G49</f>
        <v>1</v>
      </c>
      <c r="G49" s="130">
        <f>'Measurement Sheet (Explained)'!H49</f>
        <v>0</v>
      </c>
      <c r="H49" s="20">
        <f>'Measurement Sheet (Explained)'!J49</f>
        <v>0</v>
      </c>
      <c r="I49" s="130">
        <f>'Measurement Sheet (Explained)'!L49</f>
        <v>0</v>
      </c>
      <c r="J49" s="20">
        <f>'Measurement Sheet (Explained)'!M49</f>
        <v>0</v>
      </c>
      <c r="K49" s="9">
        <f>'Measurement Sheet (Explained)'!N49</f>
        <v>0</v>
      </c>
      <c r="L49" s="20">
        <f>'Measurement Sheet (Explained)'!O49</f>
        <v>0</v>
      </c>
      <c r="M49" s="9">
        <f>'Measurement Sheet (Explained)'!P49</f>
        <v>379.88</v>
      </c>
      <c r="N49" s="21">
        <f>'Measurement Sheet (Explained)'!Q49</f>
        <v>1</v>
      </c>
      <c r="O49" s="21">
        <v>0.03</v>
      </c>
      <c r="P49" s="83">
        <f t="shared" si="9"/>
        <v>192286.60154999999</v>
      </c>
      <c r="Q49" s="116">
        <f t="shared" si="10"/>
        <v>0</v>
      </c>
      <c r="R49" s="116">
        <f t="shared" si="11"/>
        <v>0</v>
      </c>
      <c r="S49" s="116">
        <f t="shared" ref="S49:S58" si="13">R49+Q49</f>
        <v>0</v>
      </c>
      <c r="T49" s="116">
        <f t="shared" si="12"/>
        <v>192286.60154999999</v>
      </c>
      <c r="U49" s="10" t="str">
        <f>IF(ISBLANK('Measurement Sheet (Explained)'!R49),"",'Measurement Sheet (Explained)'!R49)</f>
        <v/>
      </c>
      <c r="V49" s="58"/>
      <c r="AB49" s="9">
        <v>0</v>
      </c>
      <c r="AD49" s="74">
        <v>0</v>
      </c>
      <c r="AE49" s="74">
        <v>0</v>
      </c>
    </row>
    <row r="50" spans="1:31" ht="21.95" customHeight="1" x14ac:dyDescent="0.25">
      <c r="A50" s="65"/>
      <c r="B50" s="8">
        <f>'Measurement Sheet (Explained)'!B50</f>
        <v>5.0299999999999994</v>
      </c>
      <c r="C50" s="75" t="str">
        <f>'Measurement Sheet (Explained)'!C50</f>
        <v>Sand Bedding &amp; Levelling</v>
      </c>
      <c r="D50" s="8" t="str">
        <f>'Measurement Sheet (Explained)'!D50</f>
        <v>LM</v>
      </c>
      <c r="E50" s="9">
        <f>'Measurement Sheet (Explained)'!E50</f>
        <v>379.88</v>
      </c>
      <c r="F50" s="20">
        <f>'Measurement Sheet (Explained)'!G50</f>
        <v>1</v>
      </c>
      <c r="G50" s="130">
        <f>'Measurement Sheet (Explained)'!H50</f>
        <v>0</v>
      </c>
      <c r="H50" s="20">
        <f>'Measurement Sheet (Explained)'!J50</f>
        <v>0</v>
      </c>
      <c r="I50" s="130">
        <f>'Measurement Sheet (Explained)'!L50</f>
        <v>0</v>
      </c>
      <c r="J50" s="20">
        <f>'Measurement Sheet (Explained)'!M50</f>
        <v>0</v>
      </c>
      <c r="K50" s="9">
        <f>'Measurement Sheet (Explained)'!N50</f>
        <v>0</v>
      </c>
      <c r="L50" s="20">
        <f>'Measurement Sheet (Explained)'!O50</f>
        <v>0</v>
      </c>
      <c r="M50" s="9">
        <f>'Measurement Sheet (Explained)'!P50</f>
        <v>379.88</v>
      </c>
      <c r="N50" s="21">
        <f>'Measurement Sheet (Explained)'!Q50</f>
        <v>1</v>
      </c>
      <c r="O50" s="21">
        <v>8.0000000000000002E-3</v>
      </c>
      <c r="P50" s="83">
        <f t="shared" si="9"/>
        <v>51276.427080000001</v>
      </c>
      <c r="Q50" s="116">
        <f t="shared" si="10"/>
        <v>0</v>
      </c>
      <c r="R50" s="116">
        <f t="shared" si="11"/>
        <v>0</v>
      </c>
      <c r="S50" s="116">
        <f t="shared" si="13"/>
        <v>0</v>
      </c>
      <c r="T50" s="116">
        <f t="shared" si="12"/>
        <v>51276.427080000001</v>
      </c>
      <c r="U50" s="10" t="str">
        <f>IF(ISBLANK('Measurement Sheet (Explained)'!R50),"",'Measurement Sheet (Explained)'!R50)</f>
        <v/>
      </c>
      <c r="V50" s="58"/>
      <c r="AB50" s="9">
        <v>0</v>
      </c>
      <c r="AD50" s="74">
        <v>0</v>
      </c>
      <c r="AE50" s="74">
        <v>0</v>
      </c>
    </row>
    <row r="51" spans="1:31" ht="21.95" customHeight="1" x14ac:dyDescent="0.25">
      <c r="A51" s="65"/>
      <c r="B51" s="8">
        <f>'Measurement Sheet (Explained)'!B51</f>
        <v>5.0399999999999991</v>
      </c>
      <c r="C51" s="75" t="str">
        <f>'Measurement Sheet (Explained)'!C51</f>
        <v>Cable Pulling</v>
      </c>
      <c r="D51" s="8" t="str">
        <f>'Measurement Sheet (Explained)'!D51</f>
        <v>LM</v>
      </c>
      <c r="E51" s="37">
        <f>'Measurement Sheet (Explained)'!E51</f>
        <v>1139.6399999999999</v>
      </c>
      <c r="F51" s="20">
        <f>'Measurement Sheet (Explained)'!G51</f>
        <v>1</v>
      </c>
      <c r="G51" s="130">
        <f>'Measurement Sheet (Explained)'!H51</f>
        <v>0</v>
      </c>
      <c r="H51" s="20">
        <f>'Measurement Sheet (Explained)'!J51</f>
        <v>0</v>
      </c>
      <c r="I51" s="130">
        <f>'Measurement Sheet (Explained)'!L51</f>
        <v>0</v>
      </c>
      <c r="J51" s="20">
        <f>'Measurement Sheet (Explained)'!M51</f>
        <v>0</v>
      </c>
      <c r="K51" s="9">
        <f>'Measurement Sheet (Explained)'!N51</f>
        <v>0</v>
      </c>
      <c r="L51" s="20">
        <f>'Measurement Sheet (Explained)'!O51</f>
        <v>0</v>
      </c>
      <c r="M51" s="9">
        <f>'Measurement Sheet (Explained)'!P51</f>
        <v>1139.6399999999999</v>
      </c>
      <c r="N51" s="21">
        <f>'Measurement Sheet (Explained)'!Q51</f>
        <v>1</v>
      </c>
      <c r="O51" s="21">
        <v>1.2E-2</v>
      </c>
      <c r="P51" s="83">
        <f t="shared" si="9"/>
        <v>76914.640620000006</v>
      </c>
      <c r="Q51" s="116">
        <f t="shared" si="10"/>
        <v>0</v>
      </c>
      <c r="R51" s="116">
        <f t="shared" si="11"/>
        <v>0</v>
      </c>
      <c r="S51" s="116">
        <f t="shared" si="13"/>
        <v>0</v>
      </c>
      <c r="T51" s="116">
        <f t="shared" si="12"/>
        <v>76914.640620000006</v>
      </c>
      <c r="U51" s="10" t="str">
        <f>IF(ISBLANK('Measurement Sheet (Explained)'!R51),"",'Measurement Sheet (Explained)'!R51)</f>
        <v/>
      </c>
      <c r="V51" s="58"/>
      <c r="AB51" s="9">
        <v>0</v>
      </c>
      <c r="AD51" s="74">
        <v>0</v>
      </c>
      <c r="AE51" s="74">
        <v>0</v>
      </c>
    </row>
    <row r="52" spans="1:31" ht="21.95" customHeight="1" x14ac:dyDescent="0.25">
      <c r="A52" s="65"/>
      <c r="B52" s="8">
        <f>'Measurement Sheet (Explained)'!B52</f>
        <v>5.0499999999999989</v>
      </c>
      <c r="C52" s="75" t="str">
        <f>'Measurement Sheet (Explained)'!C52</f>
        <v>Sand Cover</v>
      </c>
      <c r="D52" s="8" t="str">
        <f>'Measurement Sheet (Explained)'!D52</f>
        <v>LM</v>
      </c>
      <c r="E52" s="9">
        <f>'Measurement Sheet (Explained)'!E52</f>
        <v>379.88</v>
      </c>
      <c r="F52" s="20">
        <f>'Measurement Sheet (Explained)'!G52</f>
        <v>1</v>
      </c>
      <c r="G52" s="130">
        <f>'Measurement Sheet (Explained)'!H52</f>
        <v>0</v>
      </c>
      <c r="H52" s="20">
        <f>'Measurement Sheet (Explained)'!J52</f>
        <v>0</v>
      </c>
      <c r="I52" s="130">
        <f>'Measurement Sheet (Explained)'!L52</f>
        <v>0</v>
      </c>
      <c r="J52" s="20">
        <f>'Measurement Sheet (Explained)'!M52</f>
        <v>0</v>
      </c>
      <c r="K52" s="9">
        <f>'Measurement Sheet (Explained)'!N52</f>
        <v>0</v>
      </c>
      <c r="L52" s="20">
        <f>'Measurement Sheet (Explained)'!O52</f>
        <v>0</v>
      </c>
      <c r="M52" s="9">
        <f>'Measurement Sheet (Explained)'!P52</f>
        <v>379.88</v>
      </c>
      <c r="N52" s="21">
        <f>'Measurement Sheet (Explained)'!Q52</f>
        <v>1</v>
      </c>
      <c r="O52" s="21">
        <v>5.0000000000000001E-3</v>
      </c>
      <c r="P52" s="83">
        <f t="shared" si="9"/>
        <v>32047.766925</v>
      </c>
      <c r="Q52" s="116">
        <f t="shared" si="10"/>
        <v>0</v>
      </c>
      <c r="R52" s="116">
        <f t="shared" si="11"/>
        <v>0</v>
      </c>
      <c r="S52" s="116">
        <f t="shared" si="13"/>
        <v>0</v>
      </c>
      <c r="T52" s="116">
        <f t="shared" si="12"/>
        <v>32047.766925</v>
      </c>
      <c r="U52" s="10" t="str">
        <f>IF(ISBLANK('Measurement Sheet (Explained)'!R52),"",'Measurement Sheet (Explained)'!R52)</f>
        <v/>
      </c>
      <c r="V52" s="58"/>
      <c r="AB52" s="9">
        <v>0</v>
      </c>
      <c r="AD52" s="74">
        <v>0</v>
      </c>
      <c r="AE52" s="74">
        <v>0</v>
      </c>
    </row>
    <row r="53" spans="1:31" ht="21.95" customHeight="1" x14ac:dyDescent="0.25">
      <c r="A53" s="65"/>
      <c r="B53" s="8">
        <f>'Measurement Sheet (Explained)'!B53</f>
        <v>5.0599999999999987</v>
      </c>
      <c r="C53" s="75" t="str">
        <f>'Measurement Sheet (Explained)'!C53</f>
        <v>Laying Tiles</v>
      </c>
      <c r="D53" s="8" t="str">
        <f>'Measurement Sheet (Explained)'!D53</f>
        <v>LM</v>
      </c>
      <c r="E53" s="9">
        <f>'Measurement Sheet (Explained)'!E53</f>
        <v>379.88</v>
      </c>
      <c r="F53" s="20">
        <f>'Measurement Sheet (Explained)'!G53</f>
        <v>1</v>
      </c>
      <c r="G53" s="130">
        <f>'Measurement Sheet (Explained)'!H53</f>
        <v>0</v>
      </c>
      <c r="H53" s="20">
        <f>'Measurement Sheet (Explained)'!J53</f>
        <v>0</v>
      </c>
      <c r="I53" s="130">
        <f>'Measurement Sheet (Explained)'!L53</f>
        <v>0</v>
      </c>
      <c r="J53" s="20">
        <f>'Measurement Sheet (Explained)'!M53</f>
        <v>0</v>
      </c>
      <c r="K53" s="9">
        <f>'Measurement Sheet (Explained)'!N53</f>
        <v>0</v>
      </c>
      <c r="L53" s="20">
        <f>'Measurement Sheet (Explained)'!O53</f>
        <v>0</v>
      </c>
      <c r="M53" s="9">
        <f>'Measurement Sheet (Explained)'!P53</f>
        <v>379.88</v>
      </c>
      <c r="N53" s="21">
        <f>'Measurement Sheet (Explained)'!Q53</f>
        <v>1</v>
      </c>
      <c r="O53" s="21">
        <v>5.0000000000000001E-3</v>
      </c>
      <c r="P53" s="83">
        <f t="shared" si="9"/>
        <v>32047.766925</v>
      </c>
      <c r="Q53" s="116">
        <f t="shared" si="10"/>
        <v>0</v>
      </c>
      <c r="R53" s="116">
        <f t="shared" si="11"/>
        <v>0</v>
      </c>
      <c r="S53" s="116">
        <f t="shared" si="13"/>
        <v>0</v>
      </c>
      <c r="T53" s="116">
        <f t="shared" si="12"/>
        <v>32047.766925</v>
      </c>
      <c r="U53" s="10" t="str">
        <f>IF(ISBLANK('Measurement Sheet (Explained)'!R53),"",'Measurement Sheet (Explained)'!R53)</f>
        <v/>
      </c>
      <c r="V53" s="58"/>
      <c r="AB53" s="9">
        <v>0</v>
      </c>
      <c r="AD53" s="74">
        <v>0</v>
      </c>
      <c r="AE53" s="74">
        <v>0</v>
      </c>
    </row>
    <row r="54" spans="1:31" ht="21.95" customHeight="1" x14ac:dyDescent="0.25">
      <c r="A54" s="65"/>
      <c r="B54" s="8">
        <f>'Measurement Sheet (Explained)'!B54</f>
        <v>5.0699999999999985</v>
      </c>
      <c r="C54" s="75" t="str">
        <f>'Measurement Sheet (Explained)'!C54</f>
        <v>Sand Cover</v>
      </c>
      <c r="D54" s="8" t="str">
        <f>'Measurement Sheet (Explained)'!D54</f>
        <v>LM</v>
      </c>
      <c r="E54" s="9">
        <f>'Measurement Sheet (Explained)'!E54</f>
        <v>379.88</v>
      </c>
      <c r="F54" s="20">
        <f>'Measurement Sheet (Explained)'!G54</f>
        <v>1</v>
      </c>
      <c r="G54" s="130">
        <f>'Measurement Sheet (Explained)'!H54</f>
        <v>0</v>
      </c>
      <c r="H54" s="20">
        <f>'Measurement Sheet (Explained)'!J54</f>
        <v>0</v>
      </c>
      <c r="I54" s="130">
        <f>'Measurement Sheet (Explained)'!L54</f>
        <v>0</v>
      </c>
      <c r="J54" s="20">
        <f>'Measurement Sheet (Explained)'!M54</f>
        <v>0</v>
      </c>
      <c r="K54" s="9">
        <f>'Measurement Sheet (Explained)'!N54</f>
        <v>0</v>
      </c>
      <c r="L54" s="20">
        <f>'Measurement Sheet (Explained)'!O54</f>
        <v>0</v>
      </c>
      <c r="M54" s="9">
        <f>'Measurement Sheet (Explained)'!P54</f>
        <v>379.88</v>
      </c>
      <c r="N54" s="21">
        <f>'Measurement Sheet (Explained)'!Q54</f>
        <v>1</v>
      </c>
      <c r="O54" s="21">
        <v>5.0000000000000001E-3</v>
      </c>
      <c r="P54" s="83">
        <f t="shared" si="9"/>
        <v>32047.766925</v>
      </c>
      <c r="Q54" s="116">
        <f t="shared" si="10"/>
        <v>0</v>
      </c>
      <c r="R54" s="116">
        <f t="shared" si="11"/>
        <v>0</v>
      </c>
      <c r="S54" s="116">
        <f t="shared" si="13"/>
        <v>0</v>
      </c>
      <c r="T54" s="116">
        <f t="shared" si="12"/>
        <v>32047.766925</v>
      </c>
      <c r="U54" s="10" t="str">
        <f>IF(ISBLANK('Measurement Sheet (Explained)'!R54),"",'Measurement Sheet (Explained)'!R54)</f>
        <v/>
      </c>
      <c r="V54" s="58"/>
      <c r="AB54" s="9">
        <v>0</v>
      </c>
      <c r="AD54" s="74">
        <v>0</v>
      </c>
      <c r="AE54" s="74">
        <v>0</v>
      </c>
    </row>
    <row r="55" spans="1:31" ht="21.95" customHeight="1" x14ac:dyDescent="0.25">
      <c r="A55" s="65"/>
      <c r="B55" s="8">
        <f>'Measurement Sheet (Explained)'!B55</f>
        <v>5.0799999999999983</v>
      </c>
      <c r="C55" s="75" t="str">
        <f>'Measurement Sheet (Explained)'!C55</f>
        <v>Laying Warning Tapes</v>
      </c>
      <c r="D55" s="8" t="str">
        <f>'Measurement Sheet (Explained)'!D55</f>
        <v>LM</v>
      </c>
      <c r="E55" s="9">
        <f>'Measurement Sheet (Explained)'!E55</f>
        <v>379.88</v>
      </c>
      <c r="F55" s="20">
        <f>'Measurement Sheet (Explained)'!G55</f>
        <v>1</v>
      </c>
      <c r="G55" s="130">
        <f>'Measurement Sheet (Explained)'!H55</f>
        <v>0</v>
      </c>
      <c r="H55" s="20">
        <f>'Measurement Sheet (Explained)'!J55</f>
        <v>0</v>
      </c>
      <c r="I55" s="130">
        <f>'Measurement Sheet (Explained)'!L55</f>
        <v>0</v>
      </c>
      <c r="J55" s="20">
        <f>'Measurement Sheet (Explained)'!M55</f>
        <v>0</v>
      </c>
      <c r="K55" s="9">
        <f>'Measurement Sheet (Explained)'!N55</f>
        <v>0</v>
      </c>
      <c r="L55" s="20">
        <f>'Measurement Sheet (Explained)'!O55</f>
        <v>0</v>
      </c>
      <c r="M55" s="9">
        <f>'Measurement Sheet (Explained)'!P55</f>
        <v>379.88</v>
      </c>
      <c r="N55" s="21">
        <f>'Measurement Sheet (Explained)'!Q55</f>
        <v>1</v>
      </c>
      <c r="O55" s="21">
        <v>5.0000000000000001E-3</v>
      </c>
      <c r="P55" s="83">
        <f t="shared" si="9"/>
        <v>32047.766925</v>
      </c>
      <c r="Q55" s="116">
        <f t="shared" si="10"/>
        <v>0</v>
      </c>
      <c r="R55" s="116">
        <f t="shared" si="11"/>
        <v>0</v>
      </c>
      <c r="S55" s="116">
        <f t="shared" si="13"/>
        <v>0</v>
      </c>
      <c r="T55" s="116">
        <f t="shared" si="12"/>
        <v>32047.766925</v>
      </c>
      <c r="U55" s="10" t="str">
        <f>IF(ISBLANK('Measurement Sheet (Explained)'!R55),"",'Measurement Sheet (Explained)'!R55)</f>
        <v/>
      </c>
      <c r="V55" s="58"/>
      <c r="AB55" s="9">
        <v>0</v>
      </c>
      <c r="AD55" s="74">
        <v>0</v>
      </c>
      <c r="AE55" s="74">
        <v>0</v>
      </c>
    </row>
    <row r="56" spans="1:31" ht="21.95" customHeight="1" x14ac:dyDescent="0.25">
      <c r="A56" s="65"/>
      <c r="B56" s="8">
        <f>'Measurement Sheet (Explained)'!B56</f>
        <v>5.0899999999999981</v>
      </c>
      <c r="C56" s="75" t="str">
        <f>'Measurement Sheet (Explained)'!C56</f>
        <v>Final Backfilling</v>
      </c>
      <c r="D56" s="8" t="str">
        <f>'Measurement Sheet (Explained)'!D56</f>
        <v>LM</v>
      </c>
      <c r="E56" s="9">
        <f>'Measurement Sheet (Explained)'!E56</f>
        <v>379.88</v>
      </c>
      <c r="F56" s="20">
        <f>'Measurement Sheet (Explained)'!G56</f>
        <v>1</v>
      </c>
      <c r="G56" s="130">
        <f>'Measurement Sheet (Explained)'!H56</f>
        <v>0</v>
      </c>
      <c r="H56" s="20">
        <f>'Measurement Sheet (Explained)'!J56</f>
        <v>0</v>
      </c>
      <c r="I56" s="130">
        <f>'Measurement Sheet (Explained)'!L56</f>
        <v>0</v>
      </c>
      <c r="J56" s="20">
        <f>'Measurement Sheet (Explained)'!M56</f>
        <v>0</v>
      </c>
      <c r="K56" s="9">
        <f>'Measurement Sheet (Explained)'!N56</f>
        <v>0</v>
      </c>
      <c r="L56" s="20">
        <f>'Measurement Sheet (Explained)'!O56</f>
        <v>0</v>
      </c>
      <c r="M56" s="9">
        <f>'Measurement Sheet (Explained)'!P56</f>
        <v>379.88</v>
      </c>
      <c r="N56" s="21">
        <f>'Measurement Sheet (Explained)'!Q56</f>
        <v>1</v>
      </c>
      <c r="O56" s="21">
        <v>0.01</v>
      </c>
      <c r="P56" s="83">
        <f t="shared" si="9"/>
        <v>64095.53385</v>
      </c>
      <c r="Q56" s="116">
        <f t="shared" si="10"/>
        <v>0</v>
      </c>
      <c r="R56" s="116">
        <f t="shared" si="11"/>
        <v>0</v>
      </c>
      <c r="S56" s="116">
        <f t="shared" si="13"/>
        <v>0</v>
      </c>
      <c r="T56" s="116">
        <f t="shared" si="12"/>
        <v>64095.53385</v>
      </c>
      <c r="U56" s="10" t="str">
        <f>IF(ISBLANK('Measurement Sheet (Explained)'!R56),"",'Measurement Sheet (Explained)'!R56)</f>
        <v/>
      </c>
      <c r="V56" s="58"/>
      <c r="AB56" s="9">
        <v>0</v>
      </c>
      <c r="AD56" s="74">
        <v>0</v>
      </c>
      <c r="AE56" s="74">
        <v>0</v>
      </c>
    </row>
    <row r="57" spans="1:31" ht="21.95" customHeight="1" x14ac:dyDescent="0.25">
      <c r="A57" s="65"/>
      <c r="B57" s="8">
        <f>'Measurement Sheet (Explained)'!B57</f>
        <v>5.0999999999999979</v>
      </c>
      <c r="C57" s="75" t="str">
        <f>'Measurement Sheet (Explained)'!C57</f>
        <v>Excavation for DER Grounding Pit</v>
      </c>
      <c r="D57" s="8" t="str">
        <f>'Measurement Sheet (Explained)'!D57</f>
        <v>NOS</v>
      </c>
      <c r="E57" s="9">
        <f>'Measurement Sheet (Explained)'!E57</f>
        <v>10</v>
      </c>
      <c r="F57" s="20">
        <f>'Measurement Sheet (Explained)'!G57</f>
        <v>1</v>
      </c>
      <c r="G57" s="130">
        <f>'Measurement Sheet (Explained)'!H57</f>
        <v>0</v>
      </c>
      <c r="H57" s="20">
        <f>'Measurement Sheet (Explained)'!J57</f>
        <v>0</v>
      </c>
      <c r="I57" s="130">
        <f>'Measurement Sheet (Explained)'!L57</f>
        <v>0</v>
      </c>
      <c r="J57" s="20">
        <f>'Measurement Sheet (Explained)'!M57</f>
        <v>0</v>
      </c>
      <c r="K57" s="9">
        <f>'Measurement Sheet (Explained)'!N57</f>
        <v>0</v>
      </c>
      <c r="L57" s="20">
        <f>'Measurement Sheet (Explained)'!O57</f>
        <v>0</v>
      </c>
      <c r="M57" s="9">
        <f>'Measurement Sheet (Explained)'!P57</f>
        <v>10</v>
      </c>
      <c r="N57" s="21">
        <f>'Measurement Sheet (Explained)'!Q57</f>
        <v>1</v>
      </c>
      <c r="O57" s="21">
        <v>1.4999999999999999E-2</v>
      </c>
      <c r="P57" s="83">
        <f t="shared" si="9"/>
        <v>96143.300774999996</v>
      </c>
      <c r="Q57" s="116">
        <f t="shared" si="10"/>
        <v>0</v>
      </c>
      <c r="R57" s="116">
        <f t="shared" si="11"/>
        <v>0</v>
      </c>
      <c r="S57" s="116">
        <f t="shared" si="13"/>
        <v>0</v>
      </c>
      <c r="T57" s="116">
        <f t="shared" si="12"/>
        <v>96143.300774999996</v>
      </c>
      <c r="U57" s="10" t="str">
        <f>IF(ISBLANK('Measurement Sheet (Explained)'!R57),"",'Measurement Sheet (Explained)'!R57)</f>
        <v/>
      </c>
      <c r="V57" s="58"/>
      <c r="AB57" s="9">
        <v>0</v>
      </c>
      <c r="AD57" s="74">
        <v>0</v>
      </c>
      <c r="AE57" s="74">
        <v>0</v>
      </c>
    </row>
    <row r="58" spans="1:31" ht="21.95" customHeight="1" x14ac:dyDescent="0.25">
      <c r="A58" s="65"/>
      <c r="B58" s="8">
        <f>'Measurement Sheet (Explained)'!B58</f>
        <v>5.1099999999999977</v>
      </c>
      <c r="C58" s="75" t="str">
        <f>'Measurement Sheet (Explained)'!C58</f>
        <v>Termination with both DER</v>
      </c>
      <c r="D58" s="8" t="str">
        <f>'Measurement Sheet (Explained)'!D58</f>
        <v>NOS</v>
      </c>
      <c r="E58" s="9">
        <f>'Measurement Sheet (Explained)'!E58</f>
        <v>30</v>
      </c>
      <c r="F58" s="20">
        <f>'Measurement Sheet (Explained)'!G58</f>
        <v>1</v>
      </c>
      <c r="G58" s="130">
        <f>'Measurement Sheet (Explained)'!H58</f>
        <v>0</v>
      </c>
      <c r="H58" s="20">
        <f>'Measurement Sheet (Explained)'!J58</f>
        <v>0</v>
      </c>
      <c r="I58" s="130">
        <f>'Measurement Sheet (Explained)'!L58</f>
        <v>0</v>
      </c>
      <c r="J58" s="20">
        <f>'Measurement Sheet (Explained)'!M58</f>
        <v>0</v>
      </c>
      <c r="K58" s="9">
        <f>'Measurement Sheet (Explained)'!N58</f>
        <v>0</v>
      </c>
      <c r="L58" s="20">
        <f>'Measurement Sheet (Explained)'!O58</f>
        <v>0</v>
      </c>
      <c r="M58" s="9">
        <f>'Measurement Sheet (Explained)'!P58</f>
        <v>30</v>
      </c>
      <c r="N58" s="21">
        <f>'Measurement Sheet (Explained)'!Q58</f>
        <v>1</v>
      </c>
      <c r="O58" s="21">
        <v>1.4999999999999999E-2</v>
      </c>
      <c r="P58" s="83">
        <f t="shared" si="9"/>
        <v>96143.300774999996</v>
      </c>
      <c r="Q58" s="116">
        <f t="shared" si="10"/>
        <v>0</v>
      </c>
      <c r="R58" s="116">
        <f t="shared" si="11"/>
        <v>0</v>
      </c>
      <c r="S58" s="116">
        <f t="shared" si="13"/>
        <v>0</v>
      </c>
      <c r="T58" s="116">
        <f t="shared" si="12"/>
        <v>96143.300774999996</v>
      </c>
      <c r="U58" s="10" t="str">
        <f>IF(ISBLANK('Measurement Sheet (Explained)'!R58),"",'Measurement Sheet (Explained)'!R58)</f>
        <v/>
      </c>
      <c r="V58" s="58"/>
      <c r="AB58" s="9">
        <v>0</v>
      </c>
      <c r="AD58" s="74">
        <v>0</v>
      </c>
      <c r="AE58" s="74">
        <v>0</v>
      </c>
    </row>
    <row r="59" spans="1:31" ht="21.95" customHeight="1" x14ac:dyDescent="0.25">
      <c r="A59" s="65"/>
      <c r="B59" s="169" t="str">
        <f>'Measurement Sheet (Explained)'!B59</f>
        <v>Total</v>
      </c>
      <c r="C59" s="168"/>
      <c r="D59" s="76"/>
      <c r="E59" s="31"/>
      <c r="F59" s="77"/>
      <c r="G59" s="26"/>
      <c r="H59" s="26"/>
      <c r="I59" s="26"/>
      <c r="J59" s="26"/>
      <c r="K59" s="26"/>
      <c r="L59" s="26"/>
      <c r="M59" s="26"/>
      <c r="N59" s="26"/>
      <c r="O59" s="26">
        <f t="shared" ref="O59:T59" si="14">SUM(O12:O58)</f>
        <v>1.0000000000000004</v>
      </c>
      <c r="P59" s="85">
        <f t="shared" si="14"/>
        <v>6409553.384999997</v>
      </c>
      <c r="Q59" s="85">
        <f t="shared" si="14"/>
        <v>1994918.0324888388</v>
      </c>
      <c r="R59" s="85">
        <f t="shared" si="14"/>
        <v>371690.58654263249</v>
      </c>
      <c r="S59" s="85">
        <f t="shared" si="14"/>
        <v>2366608.6190314712</v>
      </c>
      <c r="T59" s="85">
        <f t="shared" si="14"/>
        <v>4042944.7659685276</v>
      </c>
      <c r="U59" s="26"/>
      <c r="V59" s="58"/>
      <c r="AD59" s="74"/>
      <c r="AE59" s="74"/>
    </row>
    <row r="60" spans="1:31" ht="6" customHeight="1" x14ac:dyDescent="0.25">
      <c r="A60" s="65"/>
      <c r="E60" s="57"/>
      <c r="V60" s="58"/>
    </row>
    <row r="61" spans="1:31" ht="18" customHeight="1" x14ac:dyDescent="0.25">
      <c r="A61" s="65"/>
      <c r="B61" s="41" t="s">
        <v>78</v>
      </c>
      <c r="C61" s="42"/>
      <c r="D61" s="42"/>
      <c r="E61" s="43"/>
      <c r="F61" s="44"/>
      <c r="G61" s="45"/>
      <c r="H61" s="45"/>
      <c r="I61" s="45"/>
      <c r="J61" s="45"/>
      <c r="K61" s="45"/>
      <c r="L61" s="45"/>
      <c r="M61" s="45"/>
      <c r="N61" s="45"/>
      <c r="O61" s="45"/>
      <c r="P61" s="86"/>
      <c r="Q61" s="118"/>
      <c r="R61" s="118"/>
      <c r="S61" s="118"/>
      <c r="T61" s="118"/>
      <c r="U61" s="46"/>
      <c r="V61" s="58"/>
    </row>
    <row r="62" spans="1:31" ht="16.5" customHeight="1" x14ac:dyDescent="0.25">
      <c r="A62" s="65"/>
      <c r="B62" s="47" t="s">
        <v>79</v>
      </c>
      <c r="C62" s="48"/>
      <c r="D62" s="48"/>
      <c r="E62" s="48" t="s">
        <v>47</v>
      </c>
      <c r="G62" s="49"/>
      <c r="H62" s="49"/>
      <c r="I62" s="49"/>
      <c r="J62" s="48" t="s">
        <v>80</v>
      </c>
      <c r="K62" s="49"/>
      <c r="L62" s="49"/>
      <c r="M62" s="49"/>
      <c r="N62" s="49"/>
      <c r="O62" s="49"/>
      <c r="P62" s="80"/>
      <c r="Q62" s="113"/>
      <c r="R62" s="113"/>
      <c r="S62" s="113"/>
      <c r="T62" s="113"/>
      <c r="U62" s="50"/>
      <c r="V62" s="58"/>
    </row>
    <row r="63" spans="1:31" ht="17.25" customHeight="1" x14ac:dyDescent="0.25">
      <c r="A63" s="65"/>
      <c r="B63" s="47" t="s">
        <v>48</v>
      </c>
      <c r="C63" s="48"/>
      <c r="D63" s="48"/>
      <c r="E63" s="48" t="s">
        <v>50</v>
      </c>
      <c r="G63" s="49"/>
      <c r="H63" s="49"/>
      <c r="I63" s="49"/>
      <c r="J63" s="48" t="s">
        <v>49</v>
      </c>
      <c r="K63" s="49"/>
      <c r="L63" s="49"/>
      <c r="M63" s="49"/>
      <c r="N63" s="49"/>
      <c r="O63" s="49"/>
      <c r="P63" s="80"/>
      <c r="Q63" s="113"/>
      <c r="R63" s="113"/>
      <c r="S63" s="113"/>
      <c r="T63" s="113"/>
      <c r="U63" s="50"/>
      <c r="V63" s="58"/>
    </row>
    <row r="64" spans="1:31" ht="41.25" customHeight="1" x14ac:dyDescent="0.25">
      <c r="A64" s="65"/>
      <c r="B64" s="51"/>
      <c r="C64" s="52"/>
      <c r="D64" s="52"/>
      <c r="E64" s="53"/>
      <c r="F64" s="54"/>
      <c r="G64" s="55"/>
      <c r="H64" s="55"/>
      <c r="I64" s="55"/>
      <c r="J64" s="55"/>
      <c r="K64" s="55"/>
      <c r="L64" s="55"/>
      <c r="M64" s="55"/>
      <c r="N64" s="55"/>
      <c r="O64" s="55"/>
      <c r="P64" s="87"/>
      <c r="Q64" s="119"/>
      <c r="R64" s="119"/>
      <c r="S64" s="119"/>
      <c r="T64" s="119"/>
      <c r="U64" s="56"/>
      <c r="V64" s="58"/>
    </row>
    <row r="65" spans="1:22" ht="18" customHeight="1" x14ac:dyDescent="0.25">
      <c r="A65" s="65"/>
      <c r="B65" s="41" t="s">
        <v>59</v>
      </c>
      <c r="C65" s="42"/>
      <c r="D65" s="42"/>
      <c r="E65" s="43"/>
      <c r="F65" s="44"/>
      <c r="G65" s="45"/>
      <c r="H65" s="45"/>
      <c r="I65" s="45"/>
      <c r="J65" s="45"/>
      <c r="K65" s="45"/>
      <c r="L65" s="45"/>
      <c r="M65" s="45"/>
      <c r="N65" s="45"/>
      <c r="O65" s="45"/>
      <c r="P65" s="86"/>
      <c r="Q65" s="118"/>
      <c r="R65" s="118"/>
      <c r="S65" s="118"/>
      <c r="T65" s="118"/>
      <c r="U65" s="46"/>
      <c r="V65" s="58"/>
    </row>
    <row r="66" spans="1:22" ht="18.75" customHeight="1" x14ac:dyDescent="0.25">
      <c r="A66" s="65"/>
      <c r="B66" s="47" t="s">
        <v>81</v>
      </c>
      <c r="C66" s="48"/>
      <c r="D66" s="48"/>
      <c r="E66" s="48" t="s">
        <v>47</v>
      </c>
      <c r="G66" s="49"/>
      <c r="H66" s="49"/>
      <c r="I66" s="49"/>
      <c r="J66" s="48" t="s">
        <v>80</v>
      </c>
      <c r="K66" s="49"/>
      <c r="L66" s="49"/>
      <c r="M66" s="49"/>
      <c r="N66" s="49"/>
      <c r="O66" s="49"/>
      <c r="P66" s="80"/>
      <c r="Q66" s="113"/>
      <c r="R66" s="113"/>
      <c r="S66" s="113"/>
      <c r="T66" s="113"/>
      <c r="U66" s="50"/>
      <c r="V66" s="58"/>
    </row>
    <row r="67" spans="1:22" ht="14.45" customHeight="1" x14ac:dyDescent="0.25">
      <c r="A67" s="65"/>
      <c r="B67" s="47" t="s">
        <v>82</v>
      </c>
      <c r="E67" s="48" t="s">
        <v>50</v>
      </c>
      <c r="J67" s="48" t="s">
        <v>49</v>
      </c>
      <c r="P67" s="80"/>
      <c r="U67" s="58"/>
      <c r="V67" s="58"/>
    </row>
    <row r="68" spans="1:22" ht="55.5" customHeight="1" x14ac:dyDescent="0.25">
      <c r="A68" s="65"/>
      <c r="B68" s="59"/>
      <c r="C68" s="60"/>
      <c r="D68" s="60"/>
      <c r="E68" s="53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88"/>
      <c r="Q68" s="120"/>
      <c r="R68" s="120"/>
      <c r="S68" s="120"/>
      <c r="T68" s="120"/>
      <c r="U68" s="61"/>
      <c r="V68" s="58"/>
    </row>
    <row r="69" spans="1:22" ht="11.25" customHeight="1" x14ac:dyDescent="0.25">
      <c r="A69" s="59"/>
      <c r="B69" s="60"/>
      <c r="C69" s="60"/>
      <c r="D69" s="60"/>
      <c r="E69" s="53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88"/>
      <c r="Q69" s="120"/>
      <c r="R69" s="120"/>
      <c r="S69" s="120"/>
      <c r="T69" s="120"/>
      <c r="U69" s="60"/>
      <c r="V69" s="61"/>
    </row>
    <row r="72" spans="1:22" ht="21" customHeight="1" thickBot="1" x14ac:dyDescent="0.3">
      <c r="A72" s="15"/>
      <c r="B72" s="16"/>
      <c r="C72" s="16"/>
      <c r="D72" s="16"/>
      <c r="E72" s="33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89"/>
      <c r="Q72" s="121"/>
      <c r="R72" s="121"/>
      <c r="S72" s="121"/>
      <c r="T72" s="121"/>
      <c r="U72" s="16"/>
      <c r="V72" s="17"/>
    </row>
  </sheetData>
  <sheetProtection selectLockedCells="1"/>
  <mergeCells count="5">
    <mergeCell ref="R3:S3"/>
    <mergeCell ref="R5:S5"/>
    <mergeCell ref="T5:U5"/>
    <mergeCell ref="B9:U9"/>
    <mergeCell ref="B59:C59"/>
  </mergeCells>
  <pageMargins left="0.25" right="0.25" top="0.5" bottom="0.5" header="0.3" footer="0.3"/>
  <pageSetup paperSize="9" scale="48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21316-8223-4BD0-B1BE-C82826B147E6}">
  <sheetPr>
    <pageSetUpPr fitToPage="1"/>
  </sheetPr>
  <dimension ref="A1:AN73"/>
  <sheetViews>
    <sheetView showGridLines="0" view="pageBreakPreview" zoomScaleNormal="100" zoomScaleSheetLayoutView="100" workbookViewId="0">
      <pane ySplit="11" topLeftCell="A49" activePane="bottomLeft" state="frozen"/>
      <selection pane="bottomLeft" activeCell="E52" sqref="E52"/>
    </sheetView>
  </sheetViews>
  <sheetFormatPr defaultColWidth="9.28515625" defaultRowHeight="21" customHeight="1" x14ac:dyDescent="0.25"/>
  <cols>
    <col min="1" max="1" width="2.42578125" style="1" customWidth="1"/>
    <col min="2" max="2" width="7.5703125" style="1" customWidth="1"/>
    <col min="3" max="3" width="39.85546875" style="1" bestFit="1" customWidth="1"/>
    <col min="4" max="4" width="7.140625" style="1" customWidth="1"/>
    <col min="5" max="5" width="10.85546875" style="1" customWidth="1"/>
    <col min="6" max="6" width="11.28515625" style="32" bestFit="1" customWidth="1"/>
    <col min="7" max="7" width="9.7109375" style="34" customWidth="1"/>
    <col min="8" max="9" width="12.140625" style="34" customWidth="1"/>
    <col min="10" max="10" width="9.140625" style="34" customWidth="1"/>
    <col min="11" max="11" width="14.42578125" style="34" customWidth="1"/>
    <col min="12" max="12" width="16.42578125" style="32" bestFit="1" customWidth="1"/>
    <col min="13" max="13" width="12.28515625" style="34" customWidth="1"/>
    <col min="14" max="14" width="15.28515625" style="34" customWidth="1"/>
    <col min="15" max="15" width="14.5703125" style="34" customWidth="1"/>
    <col min="16" max="16" width="11.28515625" style="34" customWidth="1"/>
    <col min="17" max="18" width="10.7109375" style="34" customWidth="1"/>
    <col min="19" max="19" width="17.42578125" style="79" bestFit="1" customWidth="1"/>
    <col min="20" max="20" width="17.42578125" style="79" customWidth="1"/>
    <col min="21" max="21" width="17.42578125" style="112" bestFit="1" customWidth="1"/>
    <col min="22" max="24" width="17.42578125" style="112" customWidth="1"/>
    <col min="25" max="25" width="17.7109375" style="1" customWidth="1"/>
    <col min="26" max="26" width="2.5703125" style="1" customWidth="1"/>
    <col min="27" max="27" width="4.7109375" style="1" customWidth="1"/>
    <col min="28" max="29" width="9.28515625" style="1" hidden="1" customWidth="1"/>
    <col min="30" max="30" width="9" style="1" hidden="1" customWidth="1"/>
    <col min="31" max="31" width="9.28515625" style="1" hidden="1" customWidth="1"/>
    <col min="32" max="32" width="11.28515625" style="1" hidden="1" customWidth="1"/>
    <col min="33" max="33" width="0" style="1" hidden="1" customWidth="1"/>
    <col min="34" max="34" width="13.42578125" style="1" hidden="1" customWidth="1"/>
    <col min="35" max="35" width="0" style="1" hidden="1" customWidth="1"/>
    <col min="36" max="36" width="4" style="1" customWidth="1"/>
    <col min="37" max="37" width="9.28515625" style="1"/>
    <col min="38" max="38" width="24.42578125" style="93" customWidth="1"/>
    <col min="39" max="39" width="9.28515625" style="1"/>
    <col min="40" max="40" width="16.28515625" style="1" bestFit="1" customWidth="1"/>
    <col min="41" max="16384" width="9.28515625" style="1"/>
  </cols>
  <sheetData>
    <row r="1" spans="1:40" ht="9.6" customHeight="1" x14ac:dyDescent="0.25">
      <c r="A1" s="62"/>
      <c r="B1" s="63"/>
      <c r="C1" s="63"/>
      <c r="D1" s="63"/>
      <c r="E1" s="63"/>
      <c r="F1" s="43"/>
      <c r="G1" s="44"/>
      <c r="H1" s="44"/>
      <c r="I1" s="44"/>
      <c r="J1" s="44"/>
      <c r="K1" s="44"/>
      <c r="L1" s="43"/>
      <c r="M1" s="44"/>
      <c r="N1" s="44"/>
      <c r="O1" s="44"/>
      <c r="P1" s="44"/>
      <c r="Q1" s="44"/>
      <c r="R1" s="44"/>
      <c r="S1" s="78"/>
      <c r="T1" s="78"/>
      <c r="U1" s="111"/>
      <c r="V1" s="111"/>
      <c r="W1" s="111"/>
      <c r="X1" s="111"/>
      <c r="Y1" s="63"/>
      <c r="Z1" s="64"/>
    </row>
    <row r="2" spans="1:40" ht="41.25" customHeight="1" x14ac:dyDescent="0.25">
      <c r="A2" s="65"/>
      <c r="F2" s="57"/>
      <c r="Z2" s="58"/>
    </row>
    <row r="3" spans="1:40" ht="12.75" customHeight="1" x14ac:dyDescent="0.25">
      <c r="A3" s="65"/>
      <c r="B3" s="48" t="s">
        <v>0</v>
      </c>
      <c r="F3" s="57"/>
      <c r="R3" s="66"/>
      <c r="S3" s="80"/>
      <c r="T3" s="80"/>
      <c r="U3" s="113"/>
      <c r="V3" s="162" t="s">
        <v>58</v>
      </c>
      <c r="W3" s="162"/>
      <c r="X3" s="66">
        <f>'Measurement Sheet (Explained)'!P3</f>
        <v>45791</v>
      </c>
      <c r="Y3" s="66">
        <f>'Measurement Sheet (Explained)'!Q3</f>
        <v>45839</v>
      </c>
      <c r="Z3" s="58"/>
    </row>
    <row r="4" spans="1:40" ht="12.75" customHeight="1" x14ac:dyDescent="0.25">
      <c r="A4" s="65"/>
      <c r="B4" s="48" t="s">
        <v>1</v>
      </c>
      <c r="F4" s="57"/>
      <c r="V4" s="34"/>
      <c r="W4" s="34"/>
      <c r="X4" s="34"/>
      <c r="Y4" s="34"/>
      <c r="Z4" s="58"/>
    </row>
    <row r="5" spans="1:40" ht="12.75" customHeight="1" x14ac:dyDescent="0.25">
      <c r="A5" s="65"/>
      <c r="B5" s="48" t="s">
        <v>2</v>
      </c>
      <c r="F5" s="57"/>
      <c r="L5" s="57"/>
      <c r="R5" s="66"/>
      <c r="S5" s="80"/>
      <c r="T5" s="80"/>
      <c r="U5" s="150"/>
      <c r="V5" s="162" t="s">
        <v>57</v>
      </c>
      <c r="W5" s="162"/>
      <c r="X5" s="163">
        <f>'Measurement Sheet (Explained)'!P5</f>
        <v>45844</v>
      </c>
      <c r="Y5" s="163"/>
      <c r="Z5" s="58"/>
    </row>
    <row r="6" spans="1:40" ht="2.4500000000000002" customHeight="1" x14ac:dyDescent="0.25">
      <c r="A6" s="65"/>
      <c r="F6" s="57"/>
      <c r="L6" s="57"/>
      <c r="U6" s="151"/>
      <c r="V6" s="151"/>
      <c r="W6" s="151"/>
      <c r="X6" s="151"/>
      <c r="Z6" s="58"/>
    </row>
    <row r="7" spans="1:40" ht="21" hidden="1" customHeight="1" x14ac:dyDescent="0.25">
      <c r="A7" s="65"/>
      <c r="B7" s="1" t="s">
        <v>3</v>
      </c>
      <c r="F7" s="57"/>
      <c r="L7" s="57"/>
      <c r="U7" s="151"/>
      <c r="V7" s="151"/>
      <c r="W7" s="151"/>
      <c r="X7" s="151"/>
      <c r="Z7" s="58"/>
    </row>
    <row r="8" spans="1:40" ht="21" hidden="1" customHeight="1" x14ac:dyDescent="0.25">
      <c r="A8" s="65"/>
      <c r="B8" s="2">
        <f>'[1]Construction Summary'!$M$2</f>
        <v>6409553.3849999998</v>
      </c>
      <c r="F8" s="57"/>
      <c r="L8" s="57"/>
      <c r="U8" s="151"/>
      <c r="V8" s="151"/>
      <c r="W8" s="151"/>
      <c r="X8" s="151"/>
      <c r="Z8" s="58"/>
    </row>
    <row r="9" spans="1:40" s="3" customFormat="1" ht="21" customHeight="1" x14ac:dyDescent="0.25">
      <c r="A9" s="69"/>
      <c r="B9" s="164" t="s">
        <v>99</v>
      </c>
      <c r="C9" s="165"/>
      <c r="D9" s="165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5"/>
      <c r="U9" s="165"/>
      <c r="V9" s="165"/>
      <c r="W9" s="165"/>
      <c r="X9" s="165"/>
      <c r="Y9" s="166"/>
      <c r="Z9" s="70"/>
      <c r="AL9" s="94"/>
    </row>
    <row r="10" spans="1:40" s="3" customFormat="1" ht="35.25" customHeight="1" x14ac:dyDescent="0.25">
      <c r="A10" s="69"/>
      <c r="B10" s="148"/>
      <c r="C10" s="148"/>
      <c r="D10" s="148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9"/>
      <c r="P10" s="148"/>
      <c r="Q10" s="148"/>
      <c r="R10" s="148"/>
      <c r="S10" s="148"/>
      <c r="T10" s="148"/>
      <c r="U10" s="149"/>
      <c r="V10" s="148"/>
      <c r="W10" s="149"/>
      <c r="X10" s="148"/>
      <c r="Y10" s="148"/>
      <c r="Z10" s="70"/>
      <c r="AL10" s="94"/>
    </row>
    <row r="11" spans="1:40" s="5" customFormat="1" ht="87.75" x14ac:dyDescent="0.25">
      <c r="A11" s="71"/>
      <c r="B11" s="4" t="s">
        <v>4</v>
      </c>
      <c r="C11" s="4" t="s">
        <v>5</v>
      </c>
      <c r="D11" s="4" t="s">
        <v>51</v>
      </c>
      <c r="E11" s="136" t="s">
        <v>101</v>
      </c>
      <c r="F11" s="28" t="s">
        <v>60</v>
      </c>
      <c r="G11" s="4" t="s">
        <v>61</v>
      </c>
      <c r="H11" s="4" t="s">
        <v>62</v>
      </c>
      <c r="I11" s="140" t="s">
        <v>102</v>
      </c>
      <c r="J11" s="4" t="s">
        <v>63</v>
      </c>
      <c r="K11" s="140" t="s">
        <v>103</v>
      </c>
      <c r="L11" s="28" t="s">
        <v>64</v>
      </c>
      <c r="M11" s="4" t="s">
        <v>65</v>
      </c>
      <c r="N11" s="4" t="s">
        <v>66</v>
      </c>
      <c r="O11" s="147" t="s">
        <v>107</v>
      </c>
      <c r="P11" s="4" t="s">
        <v>68</v>
      </c>
      <c r="Q11" s="4" t="s">
        <v>69</v>
      </c>
      <c r="R11" s="4" t="s">
        <v>90</v>
      </c>
      <c r="S11" s="81" t="s">
        <v>83</v>
      </c>
      <c r="T11" s="140" t="s">
        <v>105</v>
      </c>
      <c r="U11" s="147" t="s">
        <v>104</v>
      </c>
      <c r="V11" s="114" t="s">
        <v>91</v>
      </c>
      <c r="W11" s="147" t="s">
        <v>106</v>
      </c>
      <c r="X11" s="114" t="s">
        <v>93</v>
      </c>
      <c r="Y11" s="4" t="s">
        <v>6</v>
      </c>
      <c r="Z11" s="72"/>
      <c r="AH11" s="73" t="s">
        <v>62</v>
      </c>
      <c r="AI11" s="73" t="s">
        <v>64</v>
      </c>
      <c r="AK11" s="108" t="s">
        <v>84</v>
      </c>
      <c r="AL11" s="109" t="s">
        <v>85</v>
      </c>
      <c r="AM11" s="110" t="s">
        <v>88</v>
      </c>
      <c r="AN11" s="108" t="s">
        <v>89</v>
      </c>
    </row>
    <row r="12" spans="1:40" ht="24.95" customHeight="1" x14ac:dyDescent="0.25">
      <c r="A12" s="65"/>
      <c r="B12" s="6">
        <f>'Measurement Sheet (Explained)'!B11</f>
        <v>1</v>
      </c>
      <c r="C12" s="6" t="str">
        <f>'Measurement Sheet (Explained)'!C11</f>
        <v>Survey</v>
      </c>
      <c r="D12" s="6"/>
      <c r="E12" s="6"/>
      <c r="F12" s="29"/>
      <c r="G12" s="6"/>
      <c r="H12" s="7"/>
      <c r="I12" s="131"/>
      <c r="J12" s="7"/>
      <c r="K12" s="131"/>
      <c r="L12" s="29"/>
      <c r="M12" s="7"/>
      <c r="N12" s="7"/>
      <c r="O12" s="7"/>
      <c r="P12" s="7"/>
      <c r="Q12" s="7"/>
      <c r="R12" s="7"/>
      <c r="S12" s="82"/>
      <c r="T12" s="82"/>
      <c r="U12" s="115"/>
      <c r="V12" s="115"/>
      <c r="W12" s="115"/>
      <c r="X12" s="115"/>
      <c r="Y12" s="7"/>
      <c r="Z12" s="58"/>
      <c r="AH12" s="74"/>
      <c r="AI12" s="74"/>
      <c r="AK12" s="104">
        <v>1</v>
      </c>
      <c r="AL12" s="105" t="s">
        <v>7</v>
      </c>
      <c r="AM12" s="106">
        <v>0.03</v>
      </c>
      <c r="AN12" s="107">
        <v>192286.60154999999</v>
      </c>
    </row>
    <row r="13" spans="1:40" ht="24.95" customHeight="1" x14ac:dyDescent="0.25">
      <c r="A13" s="65"/>
      <c r="B13" s="8">
        <f>'Measurement Sheet (Explained)'!B12</f>
        <v>1.01</v>
      </c>
      <c r="C13" s="8" t="str">
        <f>'Measurement Sheet (Explained)'!C12</f>
        <v>Project Complete  Surveying</v>
      </c>
      <c r="D13" s="8" t="str">
        <f>'Measurement Sheet (Explained)'!D12</f>
        <v>NOS</v>
      </c>
      <c r="E13" s="137">
        <v>1</v>
      </c>
      <c r="F13" s="9">
        <f>'Measurement Sheet (Explained)'!E12</f>
        <v>1</v>
      </c>
      <c r="G13" s="20">
        <f>'Measurement Sheet (Explained)'!G12</f>
        <v>1</v>
      </c>
      <c r="H13" s="130">
        <f>'Measurement Sheet (Explained)'!H12</f>
        <v>1</v>
      </c>
      <c r="I13" s="141">
        <v>1</v>
      </c>
      <c r="J13" s="20">
        <f>'Measurement Sheet (Explained)'!J12</f>
        <v>1</v>
      </c>
      <c r="K13" s="141">
        <f>J13-I13</f>
        <v>0</v>
      </c>
      <c r="L13" s="130">
        <f>'Measurement Sheet (Explained)'!L12</f>
        <v>0</v>
      </c>
      <c r="M13" s="20">
        <f>'Measurement Sheet (Explained)'!M12</f>
        <v>0</v>
      </c>
      <c r="N13" s="9">
        <f>'Measurement Sheet (Explained)'!N12</f>
        <v>1</v>
      </c>
      <c r="O13" s="20">
        <f>'Measurement Sheet (Explained)'!O12</f>
        <v>1</v>
      </c>
      <c r="P13" s="9">
        <f>'Measurement Sheet (Explained)'!P12</f>
        <v>0</v>
      </c>
      <c r="Q13" s="21">
        <f>'Measurement Sheet (Explained)'!Q12</f>
        <v>0</v>
      </c>
      <c r="R13" s="21">
        <v>0.03</v>
      </c>
      <c r="S13" s="83">
        <f>R13*$AN$19</f>
        <v>192286.60154999999</v>
      </c>
      <c r="T13" s="145">
        <v>192286.60154999999</v>
      </c>
      <c r="U13" s="116">
        <f>J13*S13</f>
        <v>192286.60154999999</v>
      </c>
      <c r="V13" s="116">
        <f>M13*S13</f>
        <v>0</v>
      </c>
      <c r="W13" s="116">
        <f>V13+T13</f>
        <v>192286.60154999999</v>
      </c>
      <c r="X13" s="116">
        <f>S13-W13</f>
        <v>0</v>
      </c>
      <c r="Y13" s="27" t="str">
        <f>'Measurement Sheet (Explained)'!R12</f>
        <v>Completed</v>
      </c>
      <c r="Z13" s="58"/>
      <c r="AF13" s="9">
        <v>0</v>
      </c>
      <c r="AH13" s="74">
        <v>1</v>
      </c>
      <c r="AI13" s="74">
        <v>0</v>
      </c>
      <c r="AK13" s="90">
        <v>2</v>
      </c>
      <c r="AL13" s="95" t="s">
        <v>9</v>
      </c>
      <c r="AM13" s="98">
        <v>0.2</v>
      </c>
      <c r="AN13" s="100">
        <v>1281910.6770000001</v>
      </c>
    </row>
    <row r="14" spans="1:40" ht="24.95" customHeight="1" x14ac:dyDescent="0.25">
      <c r="A14" s="65"/>
      <c r="B14" s="6">
        <f>'Measurement Sheet (Explained)'!B13</f>
        <v>2</v>
      </c>
      <c r="C14" s="6" t="str">
        <f>'Measurement Sheet (Explained)'!C13</f>
        <v>Access Road</v>
      </c>
      <c r="D14" s="6"/>
      <c r="E14" s="29"/>
      <c r="F14" s="29"/>
      <c r="G14" s="6"/>
      <c r="H14" s="7"/>
      <c r="I14" s="131"/>
      <c r="J14" s="7"/>
      <c r="K14" s="131"/>
      <c r="L14" s="29"/>
      <c r="M14" s="7"/>
      <c r="N14" s="7"/>
      <c r="O14" s="7"/>
      <c r="P14" s="7"/>
      <c r="Q14" s="7"/>
      <c r="R14" s="7"/>
      <c r="S14" s="82"/>
      <c r="T14" s="82"/>
      <c r="U14" s="115"/>
      <c r="V14" s="115"/>
      <c r="W14" s="115"/>
      <c r="X14" s="115"/>
      <c r="Y14" s="7"/>
      <c r="Z14" s="58"/>
      <c r="AF14" s="7"/>
      <c r="AH14" s="74"/>
      <c r="AI14" s="74"/>
      <c r="AK14" s="90">
        <v>3</v>
      </c>
      <c r="AL14" s="95" t="s">
        <v>12</v>
      </c>
      <c r="AM14" s="98">
        <v>0.15</v>
      </c>
      <c r="AN14" s="100">
        <v>961433.00774999987</v>
      </c>
    </row>
    <row r="15" spans="1:40" ht="24.95" customHeight="1" x14ac:dyDescent="0.25">
      <c r="A15" s="65"/>
      <c r="B15" s="8">
        <f>'Measurement Sheet (Explained)'!B14</f>
        <v>2.0099999999999998</v>
      </c>
      <c r="C15" s="8" t="str">
        <f>'Measurement Sheet (Explained)'!C14</f>
        <v>Access Road Surveying</v>
      </c>
      <c r="D15" s="8" t="str">
        <f>'Measurement Sheet (Explained)'!D14</f>
        <v>LM</v>
      </c>
      <c r="E15" s="138">
        <v>11965.44</v>
      </c>
      <c r="F15" s="39">
        <f>'Measurement Sheet (Explained)'!E14</f>
        <v>11870.597999999998</v>
      </c>
      <c r="G15" s="20">
        <f>'Measurement Sheet (Explained)'!G14</f>
        <v>1</v>
      </c>
      <c r="H15" s="130">
        <f>'Measurement Sheet (Explained)'!H14</f>
        <v>11965.44</v>
      </c>
      <c r="I15" s="142">
        <v>1</v>
      </c>
      <c r="J15" s="20">
        <f>'Measurement Sheet (Explained)'!J14</f>
        <v>1.0079896564604414</v>
      </c>
      <c r="K15" s="142">
        <f t="shared" ref="K15:K19" si="0">J15-I15</f>
        <v>7.9896564604413634E-3</v>
      </c>
      <c r="L15" s="130">
        <f>'Measurement Sheet (Explained)'!L14</f>
        <v>0</v>
      </c>
      <c r="M15" s="20">
        <f>'Measurement Sheet (Explained)'!M14</f>
        <v>0</v>
      </c>
      <c r="N15" s="9">
        <f>'Measurement Sheet (Explained)'!N14</f>
        <v>11965.44</v>
      </c>
      <c r="O15" s="20">
        <f>'Measurement Sheet (Explained)'!O14</f>
        <v>1</v>
      </c>
      <c r="P15" s="9">
        <f>'Measurement Sheet (Explained)'!P14</f>
        <v>-94.842000000002372</v>
      </c>
      <c r="Q15" s="21">
        <f>'Measurement Sheet (Explained)'!Q14</f>
        <v>0</v>
      </c>
      <c r="R15" s="21">
        <v>0.03</v>
      </c>
      <c r="S15" s="83">
        <f>R15*$AN$19</f>
        <v>192286.60154999999</v>
      </c>
      <c r="T15" s="145">
        <v>192286.60154999999</v>
      </c>
      <c r="U15" s="116">
        <f>J15*S15</f>
        <v>193822.90543833026</v>
      </c>
      <c r="V15" s="116">
        <f>M15*S15</f>
        <v>0</v>
      </c>
      <c r="W15" s="116">
        <f t="shared" ref="W15:W19" si="1">V15+T15</f>
        <v>192286.60154999999</v>
      </c>
      <c r="X15" s="116">
        <f>S15-W15</f>
        <v>0</v>
      </c>
      <c r="Y15" s="27" t="str">
        <f>'Measurement Sheet (Explained)'!R14</f>
        <v>Completed</v>
      </c>
      <c r="Z15" s="58"/>
      <c r="AF15" s="9">
        <v>0</v>
      </c>
      <c r="AH15" s="74">
        <v>11965.44</v>
      </c>
      <c r="AI15" s="74">
        <v>0</v>
      </c>
      <c r="AK15" s="90">
        <v>4</v>
      </c>
      <c r="AL15" s="95" t="s">
        <v>18</v>
      </c>
      <c r="AM15" s="98">
        <v>0.5</v>
      </c>
      <c r="AN15" s="101">
        <v>3204776.6924999999</v>
      </c>
    </row>
    <row r="16" spans="1:40" ht="24.95" customHeight="1" x14ac:dyDescent="0.25">
      <c r="A16" s="65"/>
      <c r="B16" s="8">
        <f>'Measurement Sheet (Explained)'!B15</f>
        <v>2.0199999999999996</v>
      </c>
      <c r="C16" s="8" t="str">
        <f>'Measurement Sheet (Explained)'!C15</f>
        <v>Grading</v>
      </c>
      <c r="D16" s="8" t="str">
        <f>'Measurement Sheet (Explained)'!D15</f>
        <v>LM</v>
      </c>
      <c r="E16" s="138">
        <v>11965.44</v>
      </c>
      <c r="F16" s="39">
        <f>'Measurement Sheet (Explained)'!E15</f>
        <v>11870.597999999998</v>
      </c>
      <c r="G16" s="20">
        <f>'Measurement Sheet (Explained)'!G15</f>
        <v>1</v>
      </c>
      <c r="H16" s="130">
        <f>'Measurement Sheet (Explained)'!H15</f>
        <v>11525.111808</v>
      </c>
      <c r="I16" s="142">
        <v>0.96319999999999995</v>
      </c>
      <c r="J16" s="20">
        <f>'Measurement Sheet (Explained)'!J15</f>
        <v>0.97089563710269711</v>
      </c>
      <c r="K16" s="142">
        <f t="shared" si="0"/>
        <v>7.6956371026971615E-3</v>
      </c>
      <c r="L16" s="130">
        <f>'Measurement Sheet (Explained)'!L15</f>
        <v>0</v>
      </c>
      <c r="M16" s="20">
        <f>'Measurement Sheet (Explained)'!M15</f>
        <v>0</v>
      </c>
      <c r="N16" s="9">
        <f>'Measurement Sheet (Explained)'!N15</f>
        <v>11525.111808</v>
      </c>
      <c r="O16" s="20">
        <f>'Measurement Sheet (Explained)'!O15</f>
        <v>0.96319999999999995</v>
      </c>
      <c r="P16" s="9">
        <f>'Measurement Sheet (Explained)'!P15</f>
        <v>345.48619199999848</v>
      </c>
      <c r="Q16" s="21">
        <f>'Measurement Sheet (Explained)'!Q15</f>
        <v>3.6800000000000055E-2</v>
      </c>
      <c r="R16" s="21">
        <v>0.05</v>
      </c>
      <c r="S16" s="83">
        <f>R16*$AN$19</f>
        <v>320477.66925000004</v>
      </c>
      <c r="T16" s="145">
        <v>308684.0910216</v>
      </c>
      <c r="U16" s="116">
        <f>J16*S16</f>
        <v>311150.37086366623</v>
      </c>
      <c r="V16" s="116">
        <f>M16*S16</f>
        <v>0</v>
      </c>
      <c r="W16" s="116">
        <f t="shared" si="1"/>
        <v>308684.0910216</v>
      </c>
      <c r="X16" s="116">
        <f>S16-W16</f>
        <v>11793.578228400031</v>
      </c>
      <c r="Y16" s="10" t="str">
        <f>IF(ISBLANK('Measurement Sheet (Explained)'!R15),"",'Measurement Sheet (Explained)'!R15)</f>
        <v/>
      </c>
      <c r="Z16" s="58"/>
      <c r="AF16" s="9">
        <v>0</v>
      </c>
      <c r="AH16" s="74">
        <v>11525.111808</v>
      </c>
      <c r="AI16" s="74">
        <v>0</v>
      </c>
      <c r="AK16" s="91">
        <v>4.0999999999999996</v>
      </c>
      <c r="AL16" s="96" t="s">
        <v>86</v>
      </c>
      <c r="AM16" s="98"/>
      <c r="AN16" s="102">
        <v>0</v>
      </c>
    </row>
    <row r="17" spans="1:40" ht="24.95" customHeight="1" x14ac:dyDescent="0.25">
      <c r="A17" s="65"/>
      <c r="B17" s="8">
        <f>'Measurement Sheet (Explained)'!B16</f>
        <v>2.0299999999999994</v>
      </c>
      <c r="C17" s="8" t="str">
        <f>'Measurement Sheet (Explained)'!C16</f>
        <v>Water Pouring</v>
      </c>
      <c r="D17" s="8" t="str">
        <f>'Measurement Sheet (Explained)'!D16</f>
        <v>LM</v>
      </c>
      <c r="E17" s="138">
        <v>11965.44</v>
      </c>
      <c r="F17" s="39">
        <f>'Measurement Sheet (Explained)'!E16</f>
        <v>11870.597999999998</v>
      </c>
      <c r="G17" s="20">
        <f>'Measurement Sheet (Explained)'!G16</f>
        <v>1</v>
      </c>
      <c r="H17" s="130">
        <f>'Measurement Sheet (Explained)'!H16</f>
        <v>10563.090432000001</v>
      </c>
      <c r="I17" s="142">
        <v>0.88280000000000003</v>
      </c>
      <c r="J17" s="20">
        <f>'Measurement Sheet (Explained)'!J16</f>
        <v>0.88985326872327764</v>
      </c>
      <c r="K17" s="142">
        <f t="shared" si="0"/>
        <v>7.0532687232776059E-3</v>
      </c>
      <c r="L17" s="130">
        <f>'Measurement Sheet (Explained)'!L16</f>
        <v>835.25856800000099</v>
      </c>
      <c r="M17" s="20">
        <f>'Measurement Sheet (Explained)'!M16</f>
        <v>7.0363647054680914E-2</v>
      </c>
      <c r="N17" s="9">
        <f>'Measurement Sheet (Explained)'!N16</f>
        <v>11398.349000000002</v>
      </c>
      <c r="O17" s="20">
        <f>'Measurement Sheet (Explained)'!O16</f>
        <v>0.95316364705468093</v>
      </c>
      <c r="P17" s="9">
        <f>'Measurement Sheet (Explained)'!P16</f>
        <v>472.24899999999616</v>
      </c>
      <c r="Q17" s="21">
        <f>'Measurement Sheet (Explained)'!Q16</f>
        <v>4.6836352945319071E-2</v>
      </c>
      <c r="R17" s="21">
        <v>0.02</v>
      </c>
      <c r="S17" s="83">
        <f>R17*$AN$19</f>
        <v>128191.0677</v>
      </c>
      <c r="T17" s="145">
        <v>113167.07456556</v>
      </c>
      <c r="U17" s="116">
        <f>J17*S17</f>
        <v>114071.24061397198</v>
      </c>
      <c r="V17" s="116">
        <f>M17*S17</f>
        <v>9019.9910432055058</v>
      </c>
      <c r="W17" s="116">
        <f t="shared" si="1"/>
        <v>122187.06560876551</v>
      </c>
      <c r="X17" s="116">
        <f>S17-W17</f>
        <v>6004.0020912344917</v>
      </c>
      <c r="Y17" s="10" t="str">
        <f>IF(ISBLANK('Measurement Sheet (Explained)'!R16),"",'Measurement Sheet (Explained)'!R16)</f>
        <v/>
      </c>
      <c r="Z17" s="58"/>
      <c r="AF17" s="9">
        <v>0</v>
      </c>
      <c r="AH17" s="74">
        <v>10563.090432000001</v>
      </c>
      <c r="AI17" s="74">
        <v>0</v>
      </c>
      <c r="AK17" s="91">
        <v>4.2</v>
      </c>
      <c r="AL17" s="96" t="s">
        <v>87</v>
      </c>
      <c r="AM17" s="98"/>
      <c r="AN17" s="102">
        <v>0</v>
      </c>
    </row>
    <row r="18" spans="1:40" ht="24.95" customHeight="1" x14ac:dyDescent="0.25">
      <c r="A18" s="65"/>
      <c r="B18" s="8">
        <f>'Measurement Sheet (Explained)'!B17</f>
        <v>2.0399999999999991</v>
      </c>
      <c r="C18" s="8" t="str">
        <f>'Measurement Sheet (Explained)'!C17</f>
        <v xml:space="preserve">Marl Filling </v>
      </c>
      <c r="D18" s="8" t="str">
        <f>'Measurement Sheet (Explained)'!D17</f>
        <v>LM</v>
      </c>
      <c r="E18" s="138">
        <v>11965.44</v>
      </c>
      <c r="F18" s="39">
        <f>'Measurement Sheet (Explained)'!E17</f>
        <v>11870.597999999998</v>
      </c>
      <c r="G18" s="20">
        <f>'Measurement Sheet (Explained)'!G17</f>
        <v>1</v>
      </c>
      <c r="H18" s="130">
        <f>'Measurement Sheet (Explained)'!H17</f>
        <v>9569.9589120000001</v>
      </c>
      <c r="I18" s="142">
        <v>0.79979999999999996</v>
      </c>
      <c r="J18" s="20">
        <f>'Measurement Sheet (Explained)'!J17</f>
        <v>0.80619012723706096</v>
      </c>
      <c r="K18" s="142">
        <f t="shared" si="0"/>
        <v>6.3901272370610052E-3</v>
      </c>
      <c r="L18" s="130">
        <f>'Measurement Sheet (Explained)'!L17</f>
        <v>636.50008800000069</v>
      </c>
      <c r="M18" s="20">
        <f>'Measurement Sheet (Explained)'!M17</f>
        <v>5.3619884019322432E-2</v>
      </c>
      <c r="N18" s="9">
        <f>'Measurement Sheet (Explained)'!N17</f>
        <v>10206.459000000001</v>
      </c>
      <c r="O18" s="20">
        <f>'Measurement Sheet (Explained)'!O17</f>
        <v>0.85341988401932234</v>
      </c>
      <c r="P18" s="9">
        <f>'Measurement Sheet (Explained)'!P17</f>
        <v>1664.1389999999974</v>
      </c>
      <c r="Q18" s="21">
        <f>'Measurement Sheet (Explained)'!Q17</f>
        <v>0.14658011598067766</v>
      </c>
      <c r="R18" s="21">
        <v>0.05</v>
      </c>
      <c r="S18" s="83">
        <f>R18*$AN$19</f>
        <v>320477.66925000004</v>
      </c>
      <c r="T18" s="145">
        <v>256318.03986615001</v>
      </c>
      <c r="U18" s="116">
        <f>J18*S18</f>
        <v>258365.93294929428</v>
      </c>
      <c r="V18" s="116">
        <f>M18*S18</f>
        <v>17183.975455967779</v>
      </c>
      <c r="W18" s="116">
        <f t="shared" si="1"/>
        <v>273502.01532211778</v>
      </c>
      <c r="X18" s="116">
        <f>S18-W18</f>
        <v>46975.65392788226</v>
      </c>
      <c r="Y18" s="10" t="str">
        <f>IF(ISBLANK('Measurement Sheet (Explained)'!R17),"",'Measurement Sheet (Explained)'!R17)</f>
        <v/>
      </c>
      <c r="Z18" s="58"/>
      <c r="AB18" s="1">
        <f>5470</f>
        <v>5470</v>
      </c>
      <c r="AC18" s="1">
        <f>9198.45-7279.01</f>
        <v>1919.4400000000005</v>
      </c>
      <c r="AD18" s="1">
        <f>10948.64-9331.45</f>
        <v>1617.1899999999987</v>
      </c>
      <c r="AE18" s="1">
        <v>30</v>
      </c>
      <c r="AF18" s="9">
        <v>0</v>
      </c>
      <c r="AH18" s="74">
        <v>9569.9589120000001</v>
      </c>
      <c r="AI18" s="74">
        <v>0</v>
      </c>
      <c r="AK18" s="90">
        <v>5</v>
      </c>
      <c r="AL18" s="95" t="s">
        <v>36</v>
      </c>
      <c r="AM18" s="98">
        <v>0.12</v>
      </c>
      <c r="AN18" s="100">
        <v>769146.40619999997</v>
      </c>
    </row>
    <row r="19" spans="1:40" ht="24.95" customHeight="1" x14ac:dyDescent="0.25">
      <c r="A19" s="65"/>
      <c r="B19" s="8">
        <f>'Measurement Sheet (Explained)'!B18</f>
        <v>2.0499999999999989</v>
      </c>
      <c r="C19" s="8" t="str">
        <f>'Measurement Sheet (Explained)'!C18</f>
        <v xml:space="preserve"> Compaction</v>
      </c>
      <c r="D19" s="8" t="str">
        <f>'Measurement Sheet (Explained)'!D18</f>
        <v>LM</v>
      </c>
      <c r="E19" s="138">
        <v>11965.44</v>
      </c>
      <c r="F19" s="39">
        <f>'Measurement Sheet (Explained)'!E18</f>
        <v>11870.597999999998</v>
      </c>
      <c r="G19" s="20">
        <f>'Measurement Sheet (Explained)'!G18</f>
        <v>1</v>
      </c>
      <c r="H19" s="130">
        <f>'Measurement Sheet (Explained)'!H18</f>
        <v>8500.248576</v>
      </c>
      <c r="I19" s="142">
        <v>0.71039999999999992</v>
      </c>
      <c r="J19" s="20">
        <f>'Measurement Sheet (Explained)'!J18</f>
        <v>0.71607585194949752</v>
      </c>
      <c r="K19" s="142">
        <f t="shared" si="0"/>
        <v>5.6758519494976012E-3</v>
      </c>
      <c r="L19" s="130">
        <f>'Measurement Sheet (Explained)'!L18</f>
        <v>1706.2104240000008</v>
      </c>
      <c r="M19" s="20">
        <f>'Measurement Sheet (Explained)'!M18</f>
        <v>0.14373415930688588</v>
      </c>
      <c r="N19" s="9">
        <f>'Measurement Sheet (Explained)'!N18</f>
        <v>10206.459000000001</v>
      </c>
      <c r="O19" s="20">
        <f>'Measurement Sheet (Explained)'!O18</f>
        <v>0.85413415930688585</v>
      </c>
      <c r="P19" s="9">
        <f>'Measurement Sheet (Explained)'!P18</f>
        <v>1664.1389999999974</v>
      </c>
      <c r="Q19" s="21">
        <f>'Measurement Sheet (Explained)'!Q18</f>
        <v>0.14586584069311415</v>
      </c>
      <c r="R19" s="21">
        <v>0.05</v>
      </c>
      <c r="S19" s="83">
        <f>R19*$AN$19</f>
        <v>320477.66925000004</v>
      </c>
      <c r="T19" s="145">
        <v>227667.3362352</v>
      </c>
      <c r="U19" s="116">
        <f>J19*S19</f>
        <v>229486.32003898305</v>
      </c>
      <c r="V19" s="116">
        <f>M19*S19</f>
        <v>46063.588366278986</v>
      </c>
      <c r="W19" s="116">
        <f t="shared" si="1"/>
        <v>273730.92460147897</v>
      </c>
      <c r="X19" s="116">
        <f>S19-W19</f>
        <v>46746.744648521068</v>
      </c>
      <c r="Y19" s="10" t="str">
        <f>IF(ISBLANK('Measurement Sheet (Explained)'!R18),"",'Measurement Sheet (Explained)'!R18)</f>
        <v/>
      </c>
      <c r="Z19" s="58"/>
      <c r="AF19" s="9">
        <v>63.416831999999999</v>
      </c>
      <c r="AH19" s="74">
        <v>8202.3091199999999</v>
      </c>
      <c r="AI19" s="74">
        <v>297.69088000000011</v>
      </c>
      <c r="AK19" s="92"/>
      <c r="AL19" s="97" t="s">
        <v>46</v>
      </c>
      <c r="AM19" s="99">
        <v>1</v>
      </c>
      <c r="AN19" s="103">
        <v>6409553.3849999998</v>
      </c>
    </row>
    <row r="20" spans="1:40" ht="24.95" customHeight="1" x14ac:dyDescent="0.25">
      <c r="A20" s="65"/>
      <c r="B20" s="6">
        <f>'Measurement Sheet (Explained)'!B19</f>
        <v>3</v>
      </c>
      <c r="C20" s="6" t="str">
        <f>'Measurement Sheet (Explained)'!C19</f>
        <v>HDD</v>
      </c>
      <c r="D20" s="6"/>
      <c r="E20" s="29"/>
      <c r="F20" s="29"/>
      <c r="G20" s="6"/>
      <c r="H20" s="7"/>
      <c r="I20" s="131"/>
      <c r="J20" s="7"/>
      <c r="K20" s="131"/>
      <c r="L20" s="29"/>
      <c r="M20" s="7"/>
      <c r="N20" s="7"/>
      <c r="O20" s="7"/>
      <c r="P20" s="7"/>
      <c r="Q20" s="7"/>
      <c r="R20" s="7"/>
      <c r="S20" s="82"/>
      <c r="T20" s="82"/>
      <c r="U20" s="115"/>
      <c r="V20" s="115"/>
      <c r="W20" s="115"/>
      <c r="X20" s="115"/>
      <c r="Y20" s="7"/>
      <c r="Z20" s="58"/>
      <c r="AF20" s="7"/>
      <c r="AH20" s="74"/>
      <c r="AI20" s="74"/>
    </row>
    <row r="21" spans="1:40" ht="24.95" customHeight="1" x14ac:dyDescent="0.25">
      <c r="A21" s="65"/>
      <c r="B21" s="8">
        <f>'Measurement Sheet (Explained)'!B20</f>
        <v>3.01</v>
      </c>
      <c r="C21" s="8" t="str">
        <f>'Measurement Sheet (Explained)'!C20</f>
        <v>Excavation Sending pit</v>
      </c>
      <c r="D21" s="8" t="str">
        <f>'Measurement Sheet (Explained)'!D20</f>
        <v>CUM</v>
      </c>
      <c r="E21" s="137">
        <v>213.12</v>
      </c>
      <c r="F21" s="9">
        <f>'Measurement Sheet (Explained)'!E20</f>
        <v>213.12</v>
      </c>
      <c r="G21" s="20">
        <f>'Measurement Sheet (Explained)'!G20</f>
        <v>1</v>
      </c>
      <c r="H21" s="130">
        <f>'Measurement Sheet (Explained)'!H20</f>
        <v>0</v>
      </c>
      <c r="I21" s="141">
        <v>0</v>
      </c>
      <c r="J21" s="20">
        <f>'Measurement Sheet (Explained)'!J20</f>
        <v>0</v>
      </c>
      <c r="K21" s="141">
        <f t="shared" ref="K21:K25" si="2">J21-I21</f>
        <v>0</v>
      </c>
      <c r="L21" s="130">
        <f>'Measurement Sheet (Explained)'!L20</f>
        <v>0</v>
      </c>
      <c r="M21" s="20">
        <f>'Measurement Sheet (Explained)'!M20</f>
        <v>0</v>
      </c>
      <c r="N21" s="22">
        <f>'Measurement Sheet (Explained)'!N20</f>
        <v>0</v>
      </c>
      <c r="O21" s="20">
        <f>'Measurement Sheet (Explained)'!O20</f>
        <v>0</v>
      </c>
      <c r="P21" s="9">
        <f>'Measurement Sheet (Explained)'!P20</f>
        <v>213.12</v>
      </c>
      <c r="Q21" s="21">
        <f>'Measurement Sheet (Explained)'!Q20</f>
        <v>1</v>
      </c>
      <c r="R21" s="21">
        <v>2.2499999999999999E-2</v>
      </c>
      <c r="S21" s="83">
        <f>R21*$AN$19</f>
        <v>144214.95116249999</v>
      </c>
      <c r="T21" s="145">
        <v>0</v>
      </c>
      <c r="U21" s="116">
        <f>J21*S21</f>
        <v>0</v>
      </c>
      <c r="V21" s="116">
        <f>M21*S21</f>
        <v>0</v>
      </c>
      <c r="W21" s="116">
        <f t="shared" ref="W21:W25" si="3">V21+T21</f>
        <v>0</v>
      </c>
      <c r="X21" s="116">
        <f>S21-W21</f>
        <v>144214.95116249999</v>
      </c>
      <c r="Y21" s="10" t="str">
        <f>IF(ISBLANK('Measurement Sheet (Explained)'!R20),"",'Measurement Sheet (Explained)'!R20)</f>
        <v/>
      </c>
      <c r="Z21" s="58"/>
      <c r="AC21" s="36"/>
      <c r="AF21" s="9">
        <v>0</v>
      </c>
      <c r="AH21" s="74">
        <v>0</v>
      </c>
      <c r="AI21" s="74">
        <v>0</v>
      </c>
    </row>
    <row r="22" spans="1:40" ht="24.95" customHeight="1" x14ac:dyDescent="0.25">
      <c r="A22" s="65"/>
      <c r="B22" s="8">
        <f>'Measurement Sheet (Explained)'!B21</f>
        <v>3.0199999999999996</v>
      </c>
      <c r="C22" s="8" t="str">
        <f>'Measurement Sheet (Explained)'!C21</f>
        <v>Excavation Receiving pit</v>
      </c>
      <c r="D22" s="8" t="str">
        <f>'Measurement Sheet (Explained)'!D21</f>
        <v>CUM</v>
      </c>
      <c r="E22" s="137">
        <v>213.12</v>
      </c>
      <c r="F22" s="9">
        <f>'Measurement Sheet (Explained)'!E21</f>
        <v>213.12</v>
      </c>
      <c r="G22" s="20">
        <f>'Measurement Sheet (Explained)'!G21</f>
        <v>1</v>
      </c>
      <c r="H22" s="130">
        <f>'Measurement Sheet (Explained)'!H21</f>
        <v>0</v>
      </c>
      <c r="I22" s="141">
        <v>0</v>
      </c>
      <c r="J22" s="20">
        <f>'Measurement Sheet (Explained)'!J21</f>
        <v>0</v>
      </c>
      <c r="K22" s="141">
        <f t="shared" si="2"/>
        <v>0</v>
      </c>
      <c r="L22" s="130">
        <f>'Measurement Sheet (Explained)'!L21</f>
        <v>0</v>
      </c>
      <c r="M22" s="20">
        <f>'Measurement Sheet (Explained)'!M21</f>
        <v>0</v>
      </c>
      <c r="N22" s="9">
        <f>'Measurement Sheet (Explained)'!N21</f>
        <v>0</v>
      </c>
      <c r="O22" s="20">
        <f>'Measurement Sheet (Explained)'!O21</f>
        <v>0</v>
      </c>
      <c r="P22" s="9">
        <f>'Measurement Sheet (Explained)'!P21</f>
        <v>213.12</v>
      </c>
      <c r="Q22" s="21">
        <f>'Measurement Sheet (Explained)'!Q21</f>
        <v>1</v>
      </c>
      <c r="R22" s="21">
        <v>2.2499999999999999E-2</v>
      </c>
      <c r="S22" s="83">
        <f>R22*$AN$19</f>
        <v>144214.95116249999</v>
      </c>
      <c r="T22" s="145">
        <v>0</v>
      </c>
      <c r="U22" s="116">
        <f>J22*S22</f>
        <v>0</v>
      </c>
      <c r="V22" s="116">
        <f>M22*S22</f>
        <v>0</v>
      </c>
      <c r="W22" s="116">
        <f t="shared" si="3"/>
        <v>0</v>
      </c>
      <c r="X22" s="116">
        <f>S22-W22</f>
        <v>144214.95116249999</v>
      </c>
      <c r="Y22" s="10" t="str">
        <f>IF(ISBLANK('Measurement Sheet (Explained)'!R21),"",'Measurement Sheet (Explained)'!R21)</f>
        <v/>
      </c>
      <c r="Z22" s="58"/>
      <c r="AF22" s="9">
        <v>0</v>
      </c>
      <c r="AH22" s="74">
        <v>0</v>
      </c>
      <c r="AI22" s="74">
        <v>0</v>
      </c>
    </row>
    <row r="23" spans="1:40" ht="24.95" customHeight="1" x14ac:dyDescent="0.25">
      <c r="A23" s="65"/>
      <c r="B23" s="8">
        <f>'Measurement Sheet (Explained)'!B22</f>
        <v>3.0299999999999994</v>
      </c>
      <c r="C23" s="8" t="str">
        <f>'Measurement Sheet (Explained)'!C22</f>
        <v>Drilling</v>
      </c>
      <c r="D23" s="8" t="str">
        <f>'Measurement Sheet (Explained)'!D22</f>
        <v>LM</v>
      </c>
      <c r="E23" s="139">
        <f>308.62</f>
        <v>308.62</v>
      </c>
      <c r="F23" s="37">
        <f>'Measurement Sheet (Explained)'!E22</f>
        <v>229.69</v>
      </c>
      <c r="G23" s="20">
        <f>'Measurement Sheet (Explained)'!G22</f>
        <v>1</v>
      </c>
      <c r="H23" s="130">
        <f>'Measurement Sheet (Explained)'!H22</f>
        <v>0</v>
      </c>
      <c r="I23" s="143">
        <v>0</v>
      </c>
      <c r="J23" s="20">
        <f>'Measurement Sheet (Explained)'!J22</f>
        <v>0</v>
      </c>
      <c r="K23" s="143">
        <f t="shared" si="2"/>
        <v>0</v>
      </c>
      <c r="L23" s="130">
        <f>'Measurement Sheet (Explained)'!L22</f>
        <v>0</v>
      </c>
      <c r="M23" s="20">
        <f>'Measurement Sheet (Explained)'!M22</f>
        <v>0</v>
      </c>
      <c r="N23" s="9">
        <f>'Measurement Sheet (Explained)'!N22</f>
        <v>0</v>
      </c>
      <c r="O23" s="20">
        <f>'Measurement Sheet (Explained)'!O22</f>
        <v>0</v>
      </c>
      <c r="P23" s="9">
        <f>'Measurement Sheet (Explained)'!P22</f>
        <v>229.69</v>
      </c>
      <c r="Q23" s="21">
        <f>'Measurement Sheet (Explained)'!Q22</f>
        <v>1</v>
      </c>
      <c r="R23" s="21">
        <v>7.4999999999999997E-2</v>
      </c>
      <c r="S23" s="83">
        <f>R23*$AN$19</f>
        <v>480716.50387499994</v>
      </c>
      <c r="T23" s="145">
        <v>0</v>
      </c>
      <c r="U23" s="116">
        <f>J23*S23</f>
        <v>0</v>
      </c>
      <c r="V23" s="116">
        <f>M23*S23</f>
        <v>0</v>
      </c>
      <c r="W23" s="116">
        <f t="shared" si="3"/>
        <v>0</v>
      </c>
      <c r="X23" s="116">
        <f>S23-W23</f>
        <v>480716.50387499994</v>
      </c>
      <c r="Y23" s="10" t="str">
        <f>IF(ISBLANK('Measurement Sheet (Explained)'!R22),"",'Measurement Sheet (Explained)'!R22)</f>
        <v/>
      </c>
      <c r="Z23" s="58"/>
      <c r="AF23" s="9">
        <v>0</v>
      </c>
      <c r="AH23" s="74">
        <v>0</v>
      </c>
      <c r="AI23" s="74">
        <v>0</v>
      </c>
    </row>
    <row r="24" spans="1:40" ht="24.95" customHeight="1" x14ac:dyDescent="0.25">
      <c r="A24" s="65"/>
      <c r="B24" s="8">
        <f>'Measurement Sheet (Explained)'!B23</f>
        <v>3.0399999999999991</v>
      </c>
      <c r="C24" s="8" t="str">
        <f>'Measurement Sheet (Explained)'!C23</f>
        <v>Cable Pulling</v>
      </c>
      <c r="D24" s="8" t="str">
        <f>'Measurement Sheet (Explained)'!D23</f>
        <v>LM</v>
      </c>
      <c r="E24" s="139">
        <v>1396.26</v>
      </c>
      <c r="F24" s="37">
        <f>'Measurement Sheet (Explained)'!E23</f>
        <v>869.06999999999994</v>
      </c>
      <c r="G24" s="20">
        <f>'Measurement Sheet (Explained)'!G23</f>
        <v>1</v>
      </c>
      <c r="H24" s="130">
        <f>'Measurement Sheet (Explained)'!H23</f>
        <v>0</v>
      </c>
      <c r="I24" s="143">
        <v>0</v>
      </c>
      <c r="J24" s="20">
        <f>'Measurement Sheet (Explained)'!J23</f>
        <v>0</v>
      </c>
      <c r="K24" s="143">
        <f t="shared" si="2"/>
        <v>0</v>
      </c>
      <c r="L24" s="130">
        <f>'Measurement Sheet (Explained)'!L23</f>
        <v>0</v>
      </c>
      <c r="M24" s="20">
        <f>'Measurement Sheet (Explained)'!M23</f>
        <v>0</v>
      </c>
      <c r="N24" s="9">
        <f>'Measurement Sheet (Explained)'!N23</f>
        <v>0</v>
      </c>
      <c r="O24" s="20">
        <f>'Measurement Sheet (Explained)'!O23</f>
        <v>0</v>
      </c>
      <c r="P24" s="9">
        <f>'Measurement Sheet (Explained)'!P23</f>
        <v>869.06999999999994</v>
      </c>
      <c r="Q24" s="21">
        <f>'Measurement Sheet (Explained)'!Q23</f>
        <v>1</v>
      </c>
      <c r="R24" s="21">
        <v>1.4999999999999999E-2</v>
      </c>
      <c r="S24" s="83">
        <f>R24*$AN$19</f>
        <v>96143.300774999996</v>
      </c>
      <c r="T24" s="145">
        <v>0</v>
      </c>
      <c r="U24" s="116">
        <f>J24*S24</f>
        <v>0</v>
      </c>
      <c r="V24" s="116">
        <f>M24*S24</f>
        <v>0</v>
      </c>
      <c r="W24" s="116">
        <f t="shared" si="3"/>
        <v>0</v>
      </c>
      <c r="X24" s="116">
        <f>S24-W24</f>
        <v>96143.300774999996</v>
      </c>
      <c r="Y24" s="10" t="str">
        <f>IF(ISBLANK('Measurement Sheet (Explained)'!R23),"",'Measurement Sheet (Explained)'!R23)</f>
        <v/>
      </c>
      <c r="Z24" s="58"/>
      <c r="AF24" s="9">
        <v>0</v>
      </c>
      <c r="AH24" s="74">
        <v>0</v>
      </c>
      <c r="AI24" s="74">
        <v>0</v>
      </c>
    </row>
    <row r="25" spans="1:40" ht="24.95" customHeight="1" x14ac:dyDescent="0.25">
      <c r="A25" s="65"/>
      <c r="B25" s="8">
        <f>'Measurement Sheet (Explained)'!B24</f>
        <v>3.0499999999999989</v>
      </c>
      <c r="C25" s="8" t="str">
        <f>'Measurement Sheet (Explained)'!C24</f>
        <v>Termination</v>
      </c>
      <c r="D25" s="8" t="str">
        <f>'Measurement Sheet (Explained)'!D24</f>
        <v>NOS</v>
      </c>
      <c r="E25" s="139">
        <f>4*3</f>
        <v>12</v>
      </c>
      <c r="F25" s="37">
        <f>'Measurement Sheet (Explained)'!E24</f>
        <v>12</v>
      </c>
      <c r="G25" s="20">
        <f>'Measurement Sheet (Explained)'!G24</f>
        <v>1</v>
      </c>
      <c r="H25" s="130">
        <f>'Measurement Sheet (Explained)'!H24</f>
        <v>0</v>
      </c>
      <c r="I25" s="143">
        <v>0</v>
      </c>
      <c r="J25" s="20">
        <f>'Measurement Sheet (Explained)'!J24</f>
        <v>0</v>
      </c>
      <c r="K25" s="143">
        <f t="shared" si="2"/>
        <v>0</v>
      </c>
      <c r="L25" s="130">
        <f>'Measurement Sheet (Explained)'!L24</f>
        <v>0</v>
      </c>
      <c r="M25" s="20">
        <f>'Measurement Sheet (Explained)'!M24</f>
        <v>0</v>
      </c>
      <c r="N25" s="9">
        <f>'Measurement Sheet (Explained)'!N24</f>
        <v>0</v>
      </c>
      <c r="O25" s="20">
        <f>'Measurement Sheet (Explained)'!O24</f>
        <v>0</v>
      </c>
      <c r="P25" s="9">
        <f>'Measurement Sheet (Explained)'!P24</f>
        <v>12</v>
      </c>
      <c r="Q25" s="21">
        <f>'Measurement Sheet (Explained)'!Q24</f>
        <v>1</v>
      </c>
      <c r="R25" s="21">
        <v>1.4999999999999999E-2</v>
      </c>
      <c r="S25" s="83">
        <f>R25*$AN$19</f>
        <v>96143.300774999996</v>
      </c>
      <c r="T25" s="145">
        <v>0</v>
      </c>
      <c r="U25" s="116">
        <f>J25*S25</f>
        <v>0</v>
      </c>
      <c r="V25" s="116">
        <f>M25*S25</f>
        <v>0</v>
      </c>
      <c r="W25" s="116">
        <f t="shared" si="3"/>
        <v>0</v>
      </c>
      <c r="X25" s="116">
        <f>S25-W25</f>
        <v>96143.300774999996</v>
      </c>
      <c r="Y25" s="10" t="str">
        <f>IF(ISBLANK('Measurement Sheet (Explained)'!R24),"",'Measurement Sheet (Explained)'!R24)</f>
        <v/>
      </c>
      <c r="Z25" s="58"/>
      <c r="AF25" s="9">
        <v>0</v>
      </c>
      <c r="AH25" s="74">
        <v>0</v>
      </c>
      <c r="AI25" s="74">
        <v>0</v>
      </c>
    </row>
    <row r="26" spans="1:40" ht="24.95" customHeight="1" x14ac:dyDescent="0.25">
      <c r="A26" s="65"/>
      <c r="B26" s="6">
        <f>'Measurement Sheet (Explained)'!B25</f>
        <v>4</v>
      </c>
      <c r="C26" s="6" t="str">
        <f>'Measurement Sheet (Explained)'!C25</f>
        <v>OHPL</v>
      </c>
      <c r="D26" s="6"/>
      <c r="E26" s="29"/>
      <c r="F26" s="29"/>
      <c r="G26" s="6"/>
      <c r="H26" s="7"/>
      <c r="I26" s="131"/>
      <c r="J26" s="7"/>
      <c r="K26" s="131"/>
      <c r="L26" s="29"/>
      <c r="M26" s="7"/>
      <c r="N26" s="7"/>
      <c r="O26" s="7"/>
      <c r="P26" s="7"/>
      <c r="Q26" s="7"/>
      <c r="R26" s="7"/>
      <c r="S26" s="82"/>
      <c r="T26" s="82"/>
      <c r="U26" s="115"/>
      <c r="V26" s="115"/>
      <c r="W26" s="115"/>
      <c r="X26" s="115"/>
      <c r="Y26" s="7"/>
      <c r="Z26" s="58"/>
      <c r="AF26" s="7"/>
      <c r="AH26" s="74"/>
      <c r="AI26" s="74"/>
    </row>
    <row r="27" spans="1:40" ht="24.95" customHeight="1" x14ac:dyDescent="0.25">
      <c r="A27" s="65"/>
      <c r="B27" s="8">
        <f>'Measurement Sheet (Explained)'!B26</f>
        <v>4.01</v>
      </c>
      <c r="C27" s="8" t="str">
        <f>'Measurement Sheet (Explained)'!C26</f>
        <v>Rebar Assembly  Febrication for Steel Cage</v>
      </c>
      <c r="D27" s="8" t="str">
        <f>'Measurement Sheet (Explained)'!D26</f>
        <v>NOS</v>
      </c>
      <c r="E27" s="138">
        <v>179</v>
      </c>
      <c r="F27" s="38">
        <f>'Measurement Sheet (Explained)'!E26</f>
        <v>172</v>
      </c>
      <c r="G27" s="20">
        <f>'Measurement Sheet (Explained)'!G26</f>
        <v>1</v>
      </c>
      <c r="H27" s="130">
        <f>'Measurement Sheet (Explained)'!H26</f>
        <v>126</v>
      </c>
      <c r="I27" s="142">
        <v>0.7039106145251397</v>
      </c>
      <c r="J27" s="20">
        <f>'Measurement Sheet (Explained)'!J26</f>
        <v>0.73255813953488369</v>
      </c>
      <c r="K27" s="142">
        <f t="shared" ref="K27:K47" si="4">J27-I27</f>
        <v>2.864752500974399E-2</v>
      </c>
      <c r="L27" s="130">
        <f>'Measurement Sheet (Explained)'!L26</f>
        <v>17</v>
      </c>
      <c r="M27" s="20">
        <f>'Measurement Sheet (Explained)'!M26</f>
        <v>9.8837209302325577E-2</v>
      </c>
      <c r="N27" s="9">
        <f>'Measurement Sheet (Explained)'!N26</f>
        <v>143</v>
      </c>
      <c r="O27" s="20">
        <f>'Measurement Sheet (Explained)'!O26</f>
        <v>0.80274782382746523</v>
      </c>
      <c r="P27" s="9">
        <f>'Measurement Sheet (Explained)'!P26</f>
        <v>29</v>
      </c>
      <c r="Q27" s="21">
        <f>'Measurement Sheet (Explained)'!Q26</f>
        <v>0.19725217617253477</v>
      </c>
      <c r="R27" s="21">
        <v>0.02</v>
      </c>
      <c r="S27" s="83">
        <f t="shared" ref="S27:S47" si="5">R27*$AN$19</f>
        <v>128191.0677</v>
      </c>
      <c r="T27" s="145">
        <v>90235.053241340793</v>
      </c>
      <c r="U27" s="116">
        <f t="shared" ref="U27:U47" si="6">J27*S27</f>
        <v>93907.410059302318</v>
      </c>
      <c r="V27" s="116">
        <f t="shared" ref="V27:V47" si="7">M27*S27</f>
        <v>12670.047388953488</v>
      </c>
      <c r="W27" s="116">
        <f t="shared" ref="W27:W47" si="8">V27+T27</f>
        <v>102905.10063029428</v>
      </c>
      <c r="X27" s="116">
        <f t="shared" ref="X27:X47" si="9">S27-W27</f>
        <v>25285.967069705715</v>
      </c>
      <c r="Y27" s="10" t="str">
        <f>IF(ISBLANK('Measurement Sheet (Explained)'!R26),"",'Measurement Sheet (Explained)'!R26)</f>
        <v/>
      </c>
      <c r="Z27" s="58"/>
      <c r="AF27" s="9">
        <v>0</v>
      </c>
      <c r="AH27" s="74">
        <v>90</v>
      </c>
      <c r="AI27" s="74">
        <v>35.996900000000004</v>
      </c>
    </row>
    <row r="28" spans="1:40" ht="24.95" customHeight="1" x14ac:dyDescent="0.25">
      <c r="A28" s="65"/>
      <c r="B28" s="8">
        <f>'Measurement Sheet (Explained)'!B27</f>
        <v>4.0199999999999996</v>
      </c>
      <c r="C28" s="8" t="str">
        <f>'Measurement Sheet (Explained)'!C27</f>
        <v>Pole Surveying</v>
      </c>
      <c r="D28" s="8" t="str">
        <f>'Measurement Sheet (Explained)'!D27</f>
        <v>NOS</v>
      </c>
      <c r="E28" s="138">
        <v>179</v>
      </c>
      <c r="F28" s="38">
        <f>'Measurement Sheet (Explained)'!E27</f>
        <v>172</v>
      </c>
      <c r="G28" s="20">
        <f>'Measurement Sheet (Explained)'!G27</f>
        <v>1</v>
      </c>
      <c r="H28" s="130">
        <f>'Measurement Sheet (Explained)'!H27</f>
        <v>179</v>
      </c>
      <c r="I28" s="142">
        <v>1</v>
      </c>
      <c r="J28" s="20">
        <f>'Measurement Sheet (Explained)'!J27</f>
        <v>1.0406976744186047</v>
      </c>
      <c r="K28" s="142">
        <f t="shared" si="4"/>
        <v>4.0697674418604723E-2</v>
      </c>
      <c r="L28" s="130">
        <f>'Measurement Sheet (Explained)'!L27</f>
        <v>0</v>
      </c>
      <c r="M28" s="20">
        <f>'Measurement Sheet (Explained)'!M27</f>
        <v>0</v>
      </c>
      <c r="N28" s="9">
        <f>'Measurement Sheet (Explained)'!N27</f>
        <v>179</v>
      </c>
      <c r="O28" s="20">
        <f>'Measurement Sheet (Explained)'!O27</f>
        <v>1</v>
      </c>
      <c r="P28" s="9">
        <f>'Measurement Sheet (Explained)'!P27</f>
        <v>-7</v>
      </c>
      <c r="Q28" s="21">
        <f>'Measurement Sheet (Explained)'!Q27</f>
        <v>0</v>
      </c>
      <c r="R28" s="21">
        <v>0.01</v>
      </c>
      <c r="S28" s="83">
        <f t="shared" si="5"/>
        <v>64095.53385</v>
      </c>
      <c r="T28" s="145">
        <v>64095.53385</v>
      </c>
      <c r="U28" s="116">
        <f t="shared" si="6"/>
        <v>66704.073018313953</v>
      </c>
      <c r="V28" s="116">
        <f t="shared" si="7"/>
        <v>0</v>
      </c>
      <c r="W28" s="116">
        <f t="shared" si="8"/>
        <v>64095.53385</v>
      </c>
      <c r="X28" s="116">
        <f t="shared" si="9"/>
        <v>0</v>
      </c>
      <c r="Y28" s="27" t="str">
        <f>'Measurement Sheet (Explained)'!R27</f>
        <v>Completed</v>
      </c>
      <c r="Z28" s="58"/>
      <c r="AF28" s="9">
        <v>0</v>
      </c>
      <c r="AH28" s="74">
        <v>179</v>
      </c>
      <c r="AI28" s="74">
        <v>0</v>
      </c>
    </row>
    <row r="29" spans="1:40" ht="24.95" customHeight="1" x14ac:dyDescent="0.25">
      <c r="A29" s="65"/>
      <c r="B29" s="8">
        <f>'Measurement Sheet (Explained)'!B28</f>
        <v>4.0299999999999994</v>
      </c>
      <c r="C29" s="8" t="str">
        <f>'Measurement Sheet (Explained)'!C28</f>
        <v>Auguring</v>
      </c>
      <c r="D29" s="8" t="str">
        <f>'Measurement Sheet (Explained)'!D28</f>
        <v>NOS</v>
      </c>
      <c r="E29" s="138">
        <v>179</v>
      </c>
      <c r="F29" s="38">
        <f>'Measurement Sheet (Explained)'!E28</f>
        <v>172</v>
      </c>
      <c r="G29" s="20">
        <f>'Measurement Sheet (Explained)'!G28</f>
        <v>1</v>
      </c>
      <c r="H29" s="130">
        <f>'Measurement Sheet (Explained)'!H28</f>
        <v>102</v>
      </c>
      <c r="I29" s="142">
        <v>0.56983240223463683</v>
      </c>
      <c r="J29" s="20">
        <f>'Measurement Sheet (Explained)'!J28</f>
        <v>0.59302325581395354</v>
      </c>
      <c r="K29" s="142">
        <f t="shared" si="4"/>
        <v>2.3190853579316717E-2</v>
      </c>
      <c r="L29" s="130">
        <f>'Measurement Sheet (Explained)'!L28</f>
        <v>21</v>
      </c>
      <c r="M29" s="20">
        <f>'Measurement Sheet (Explained)'!M28</f>
        <v>0.12209302325581395</v>
      </c>
      <c r="N29" s="9">
        <f>'Measurement Sheet (Explained)'!N28</f>
        <v>123</v>
      </c>
      <c r="O29" s="20">
        <f>'Measurement Sheet (Explained)'!O28</f>
        <v>0.69192542549045077</v>
      </c>
      <c r="P29" s="9">
        <f>'Measurement Sheet (Explained)'!P28</f>
        <v>49</v>
      </c>
      <c r="Q29" s="21">
        <f>'Measurement Sheet (Explained)'!Q28</f>
        <v>0.30807457450954923</v>
      </c>
      <c r="R29" s="21">
        <v>0.06</v>
      </c>
      <c r="S29" s="83">
        <f t="shared" si="5"/>
        <v>384573.20309999998</v>
      </c>
      <c r="T29" s="145">
        <v>219142.27215754188</v>
      </c>
      <c r="U29" s="116">
        <f t="shared" si="6"/>
        <v>228060.85300116279</v>
      </c>
      <c r="V29" s="116">
        <f t="shared" si="7"/>
        <v>46953.705029651159</v>
      </c>
      <c r="W29" s="116">
        <f t="shared" si="8"/>
        <v>266095.97718719306</v>
      </c>
      <c r="X29" s="116">
        <f t="shared" si="9"/>
        <v>118477.22591280693</v>
      </c>
      <c r="Y29" s="10" t="str">
        <f>IF(ISBLANK('Measurement Sheet (Explained)'!R28),"",'Measurement Sheet (Explained)'!R28)</f>
        <v/>
      </c>
      <c r="Z29" s="58"/>
      <c r="AF29" s="9">
        <v>102</v>
      </c>
      <c r="AH29" s="74">
        <v>0</v>
      </c>
      <c r="AI29" s="74">
        <v>102</v>
      </c>
    </row>
    <row r="30" spans="1:40" ht="24.95" customHeight="1" x14ac:dyDescent="0.25">
      <c r="A30" s="65"/>
      <c r="B30" s="8">
        <f>'Measurement Sheet (Explained)'!B29</f>
        <v>4.0399999999999991</v>
      </c>
      <c r="C30" s="8" t="str">
        <f>'Measurement Sheet (Explained)'!C29</f>
        <v>Drum Installation</v>
      </c>
      <c r="D30" s="8" t="str">
        <f>'Measurement Sheet (Explained)'!D29</f>
        <v>NOS</v>
      </c>
      <c r="E30" s="138">
        <v>179</v>
      </c>
      <c r="F30" s="38">
        <f>'Measurement Sheet (Explained)'!E29</f>
        <v>172</v>
      </c>
      <c r="G30" s="20">
        <f>'Measurement Sheet (Explained)'!G29</f>
        <v>1</v>
      </c>
      <c r="H30" s="130">
        <f>'Measurement Sheet (Explained)'!H29</f>
        <v>102</v>
      </c>
      <c r="I30" s="142">
        <v>0.56983240223463683</v>
      </c>
      <c r="J30" s="20">
        <f>'Measurement Sheet (Explained)'!J29</f>
        <v>0.59302325581395354</v>
      </c>
      <c r="K30" s="142">
        <f t="shared" si="4"/>
        <v>2.3190853579316717E-2</v>
      </c>
      <c r="L30" s="130">
        <f>'Measurement Sheet (Explained)'!L29</f>
        <v>21</v>
      </c>
      <c r="M30" s="20">
        <f>'Measurement Sheet (Explained)'!M29</f>
        <v>0.12209302325581395</v>
      </c>
      <c r="N30" s="9">
        <f>'Measurement Sheet (Explained)'!N29</f>
        <v>123</v>
      </c>
      <c r="O30" s="20">
        <f>'Measurement Sheet (Explained)'!O29</f>
        <v>0.69192542549045077</v>
      </c>
      <c r="P30" s="9">
        <f>'Measurement Sheet (Explained)'!P29</f>
        <v>49</v>
      </c>
      <c r="Q30" s="21">
        <f>'Measurement Sheet (Explained)'!Q29</f>
        <v>0.30807457450954923</v>
      </c>
      <c r="R30" s="21">
        <v>1.4999999999999999E-2</v>
      </c>
      <c r="S30" s="83">
        <f t="shared" si="5"/>
        <v>96143.300774999996</v>
      </c>
      <c r="T30" s="145">
        <v>54785.568039385471</v>
      </c>
      <c r="U30" s="116">
        <f t="shared" si="6"/>
        <v>57015.213250290697</v>
      </c>
      <c r="V30" s="116">
        <f t="shared" si="7"/>
        <v>11738.42625741279</v>
      </c>
      <c r="W30" s="116">
        <f t="shared" si="8"/>
        <v>66523.994296798264</v>
      </c>
      <c r="X30" s="116">
        <f t="shared" si="9"/>
        <v>29619.306478201732</v>
      </c>
      <c r="Y30" s="10" t="str">
        <f>IF(ISBLANK('Measurement Sheet (Explained)'!R29),"",'Measurement Sheet (Explained)'!R29)</f>
        <v/>
      </c>
      <c r="Z30" s="58"/>
      <c r="AF30" s="9">
        <v>102</v>
      </c>
      <c r="AH30" s="74">
        <v>0</v>
      </c>
      <c r="AI30" s="74">
        <v>102</v>
      </c>
    </row>
    <row r="31" spans="1:40" ht="24.95" customHeight="1" x14ac:dyDescent="0.25">
      <c r="A31" s="65"/>
      <c r="B31" s="8">
        <f>'Measurement Sheet (Explained)'!B30</f>
        <v>4.0499999999999989</v>
      </c>
      <c r="C31" s="8" t="str">
        <f>'Measurement Sheet (Explained)'!C30</f>
        <v>Lowering Steel Cage</v>
      </c>
      <c r="D31" s="8" t="str">
        <f>'Measurement Sheet (Explained)'!D30</f>
        <v>NOS</v>
      </c>
      <c r="E31" s="138">
        <v>179</v>
      </c>
      <c r="F31" s="38">
        <f>'Measurement Sheet (Explained)'!E30</f>
        <v>172</v>
      </c>
      <c r="G31" s="20">
        <f>'Measurement Sheet (Explained)'!G30</f>
        <v>1</v>
      </c>
      <c r="H31" s="130">
        <f>'Measurement Sheet (Explained)'!H30</f>
        <v>95</v>
      </c>
      <c r="I31" s="142">
        <v>0.53072625698324027</v>
      </c>
      <c r="J31" s="20">
        <f>'Measurement Sheet (Explained)'!J30</f>
        <v>0.55232558139534882</v>
      </c>
      <c r="K31" s="142">
        <f t="shared" si="4"/>
        <v>2.1599324412108545E-2</v>
      </c>
      <c r="L31" s="130">
        <f>'Measurement Sheet (Explained)'!L30</f>
        <v>13</v>
      </c>
      <c r="M31" s="20">
        <f>'Measurement Sheet (Explained)'!M30</f>
        <v>7.5581395348837205E-2</v>
      </c>
      <c r="N31" s="9">
        <f>'Measurement Sheet (Explained)'!N30</f>
        <v>108</v>
      </c>
      <c r="O31" s="20">
        <f>'Measurement Sheet (Explained)'!O30</f>
        <v>0.60630765233207751</v>
      </c>
      <c r="P31" s="9">
        <f>'Measurement Sheet (Explained)'!P30</f>
        <v>64</v>
      </c>
      <c r="Q31" s="21">
        <f>'Measurement Sheet (Explained)'!Q30</f>
        <v>0.39369234766792249</v>
      </c>
      <c r="R31" s="21">
        <v>5.0000000000000001E-3</v>
      </c>
      <c r="S31" s="83">
        <f t="shared" si="5"/>
        <v>32047.766925</v>
      </c>
      <c r="T31" s="145">
        <v>17008.591384776537</v>
      </c>
      <c r="U31" s="116">
        <f t="shared" si="6"/>
        <v>17700.801499273257</v>
      </c>
      <c r="V31" s="116">
        <f t="shared" si="7"/>
        <v>2422.214942005814</v>
      </c>
      <c r="W31" s="116">
        <f t="shared" si="8"/>
        <v>19430.806326782353</v>
      </c>
      <c r="X31" s="116">
        <f t="shared" si="9"/>
        <v>12616.960598217647</v>
      </c>
      <c r="Y31" s="10" t="str">
        <f>IF(ISBLANK('Measurement Sheet (Explained)'!R30),"",'Measurement Sheet (Explained)'!R30)</f>
        <v/>
      </c>
      <c r="Z31" s="58"/>
      <c r="AF31" s="9">
        <v>95</v>
      </c>
      <c r="AH31" s="74">
        <v>0</v>
      </c>
      <c r="AI31" s="74">
        <v>94.995299999999986</v>
      </c>
    </row>
    <row r="32" spans="1:40" ht="24.95" customHeight="1" x14ac:dyDescent="0.25">
      <c r="A32" s="65"/>
      <c r="B32" s="8">
        <f>'Measurement Sheet (Explained)'!B31</f>
        <v>4.0599999999999987</v>
      </c>
      <c r="C32" s="8" t="str">
        <f>'Measurement Sheet (Explained)'!C31</f>
        <v>Concrete Pouring 1st Stage</v>
      </c>
      <c r="D32" s="8" t="str">
        <f>'Measurement Sheet (Explained)'!D31</f>
        <v>NOS</v>
      </c>
      <c r="E32" s="138">
        <v>179</v>
      </c>
      <c r="F32" s="38">
        <f>'Measurement Sheet (Explained)'!E31</f>
        <v>172</v>
      </c>
      <c r="G32" s="20">
        <f>'Measurement Sheet (Explained)'!G31</f>
        <v>1</v>
      </c>
      <c r="H32" s="130">
        <f>'Measurement Sheet (Explained)'!H31</f>
        <v>95</v>
      </c>
      <c r="I32" s="142">
        <v>0.53072625698324027</v>
      </c>
      <c r="J32" s="20">
        <f>'Measurement Sheet (Explained)'!J31</f>
        <v>0.55232558139534882</v>
      </c>
      <c r="K32" s="142">
        <f t="shared" si="4"/>
        <v>2.1599324412108545E-2</v>
      </c>
      <c r="L32" s="130">
        <f>'Measurement Sheet (Explained)'!L31</f>
        <v>13</v>
      </c>
      <c r="M32" s="20">
        <f>'Measurement Sheet (Explained)'!M31</f>
        <v>7.5581395348837205E-2</v>
      </c>
      <c r="N32" s="9">
        <f>'Measurement Sheet (Explained)'!N31</f>
        <v>108</v>
      </c>
      <c r="O32" s="20">
        <f>'Measurement Sheet (Explained)'!O31</f>
        <v>0.60630765233207751</v>
      </c>
      <c r="P32" s="9">
        <f>'Measurement Sheet (Explained)'!P31</f>
        <v>64</v>
      </c>
      <c r="Q32" s="21">
        <f>'Measurement Sheet (Explained)'!Q31</f>
        <v>0.39369234766792249</v>
      </c>
      <c r="R32" s="21">
        <v>0.05</v>
      </c>
      <c r="S32" s="83">
        <f t="shared" si="5"/>
        <v>320477.66925000004</v>
      </c>
      <c r="T32" s="145">
        <v>170085.91384776539</v>
      </c>
      <c r="U32" s="116">
        <f t="shared" si="6"/>
        <v>177008.01499273258</v>
      </c>
      <c r="V32" s="116">
        <f t="shared" si="7"/>
        <v>24222.14942005814</v>
      </c>
      <c r="W32" s="116">
        <f t="shared" si="8"/>
        <v>194308.06326782354</v>
      </c>
      <c r="X32" s="116">
        <f t="shared" si="9"/>
        <v>126169.60598217649</v>
      </c>
      <c r="Y32" s="10" t="str">
        <f>IF(ISBLANK('Measurement Sheet (Explained)'!R31),"",'Measurement Sheet (Explained)'!R31)</f>
        <v/>
      </c>
      <c r="Z32" s="58"/>
      <c r="AF32" s="9">
        <v>5.9965000000000002</v>
      </c>
      <c r="AH32" s="74">
        <v>89</v>
      </c>
      <c r="AI32" s="74">
        <v>5.9965000000000002</v>
      </c>
    </row>
    <row r="33" spans="1:35" ht="24.95" customHeight="1" x14ac:dyDescent="0.25">
      <c r="A33" s="65"/>
      <c r="B33" s="8">
        <f>'Measurement Sheet (Explained)'!B32</f>
        <v>4.0699999999999985</v>
      </c>
      <c r="C33" s="8" t="str">
        <f>'Measurement Sheet (Explained)'!C32</f>
        <v>Curing (1st Stage)</v>
      </c>
      <c r="D33" s="8" t="str">
        <f>'Measurement Sheet (Explained)'!D32</f>
        <v>NOS</v>
      </c>
      <c r="E33" s="138">
        <v>179</v>
      </c>
      <c r="F33" s="38">
        <f>'Measurement Sheet (Explained)'!E32</f>
        <v>172</v>
      </c>
      <c r="G33" s="20">
        <f>'Measurement Sheet (Explained)'!G32</f>
        <v>1</v>
      </c>
      <c r="H33" s="130">
        <f>'Measurement Sheet (Explained)'!H32</f>
        <v>95</v>
      </c>
      <c r="I33" s="142">
        <v>0.53072625698324027</v>
      </c>
      <c r="J33" s="20">
        <f>'Measurement Sheet (Explained)'!J32</f>
        <v>0.55232558139534882</v>
      </c>
      <c r="K33" s="142">
        <f t="shared" si="4"/>
        <v>2.1599324412108545E-2</v>
      </c>
      <c r="L33" s="130">
        <f>'Measurement Sheet (Explained)'!L32</f>
        <v>13</v>
      </c>
      <c r="M33" s="20">
        <f>'Measurement Sheet (Explained)'!M32</f>
        <v>7.5581395348837205E-2</v>
      </c>
      <c r="N33" s="9">
        <f>'Measurement Sheet (Explained)'!N32</f>
        <v>108</v>
      </c>
      <c r="O33" s="20">
        <f>'Measurement Sheet (Explained)'!O32</f>
        <v>0.60630765233207751</v>
      </c>
      <c r="P33" s="9">
        <f>'Measurement Sheet (Explained)'!P32</f>
        <v>64</v>
      </c>
      <c r="Q33" s="21">
        <f>'Measurement Sheet (Explained)'!Q32</f>
        <v>0.39369234766792249</v>
      </c>
      <c r="R33" s="21">
        <v>1.4999999999999999E-2</v>
      </c>
      <c r="S33" s="83">
        <f t="shared" si="5"/>
        <v>96143.300774999996</v>
      </c>
      <c r="T33" s="145">
        <v>51025.774154329614</v>
      </c>
      <c r="U33" s="116">
        <f t="shared" si="6"/>
        <v>53102.404497819763</v>
      </c>
      <c r="V33" s="116">
        <f t="shared" si="7"/>
        <v>7266.6448260174411</v>
      </c>
      <c r="W33" s="116">
        <f t="shared" si="8"/>
        <v>58292.418980347058</v>
      </c>
      <c r="X33" s="116">
        <f t="shared" si="9"/>
        <v>37850.881794652938</v>
      </c>
      <c r="Y33" s="10" t="str">
        <f>IF(ISBLANK('Measurement Sheet (Explained)'!R32),"",'Measurement Sheet (Explained)'!R32)</f>
        <v/>
      </c>
      <c r="Z33" s="58"/>
      <c r="AF33" s="9">
        <v>95</v>
      </c>
      <c r="AH33" s="74">
        <v>0</v>
      </c>
      <c r="AI33" s="74">
        <v>94.995299999999986</v>
      </c>
    </row>
    <row r="34" spans="1:35" ht="24.95" customHeight="1" x14ac:dyDescent="0.25">
      <c r="A34" s="65"/>
      <c r="B34" s="8">
        <f>'Measurement Sheet (Explained)'!B33</f>
        <v>4.0799999999999983</v>
      </c>
      <c r="C34" s="8" t="str">
        <f>'Measurement Sheet (Explained)'!C33</f>
        <v>Pole base &amp; Anchor alignment</v>
      </c>
      <c r="D34" s="8" t="str">
        <f>'Measurement Sheet (Explained)'!D33</f>
        <v>NOS</v>
      </c>
      <c r="E34" s="138">
        <v>179</v>
      </c>
      <c r="F34" s="38">
        <f>'Measurement Sheet (Explained)'!E33</f>
        <v>172</v>
      </c>
      <c r="G34" s="20">
        <f>'Measurement Sheet (Explained)'!G33</f>
        <v>1</v>
      </c>
      <c r="H34" s="130">
        <f>'Measurement Sheet (Explained)'!H33</f>
        <v>2</v>
      </c>
      <c r="I34" s="142">
        <v>1.11731843575419E-2</v>
      </c>
      <c r="J34" s="20">
        <f>'Measurement Sheet (Explained)'!J33</f>
        <v>1.1627906976744186E-2</v>
      </c>
      <c r="K34" s="142">
        <f t="shared" si="4"/>
        <v>4.5472261920228609E-4</v>
      </c>
      <c r="L34" s="130">
        <f>'Measurement Sheet (Explained)'!L33</f>
        <v>66</v>
      </c>
      <c r="M34" s="20">
        <f>'Measurement Sheet (Explained)'!M33</f>
        <v>0.38372093023255816</v>
      </c>
      <c r="N34" s="9">
        <f>'Measurement Sheet (Explained)'!N33</f>
        <v>68</v>
      </c>
      <c r="O34" s="20">
        <f>'Measurement Sheet (Explained)'!O33</f>
        <v>0.39489411459010004</v>
      </c>
      <c r="P34" s="9">
        <f>'Measurement Sheet (Explained)'!P33</f>
        <v>104</v>
      </c>
      <c r="Q34" s="21">
        <f>'Measurement Sheet (Explained)'!Q33</f>
        <v>0.60510588540989996</v>
      </c>
      <c r="R34" s="21">
        <v>0.03</v>
      </c>
      <c r="S34" s="83">
        <f t="shared" si="5"/>
        <v>192286.60154999999</v>
      </c>
      <c r="T34" s="145">
        <v>2148.4536486033521</v>
      </c>
      <c r="U34" s="116">
        <f t="shared" si="6"/>
        <v>2235.8907156976743</v>
      </c>
      <c r="V34" s="116">
        <f t="shared" si="7"/>
        <v>73784.393618023256</v>
      </c>
      <c r="W34" s="116">
        <f t="shared" si="8"/>
        <v>75932.847266626603</v>
      </c>
      <c r="X34" s="116">
        <f t="shared" si="9"/>
        <v>116353.75428337339</v>
      </c>
      <c r="Y34" s="10" t="str">
        <f>IF(ISBLANK('Measurement Sheet (Explained)'!R33),"",'Measurement Sheet (Explained)'!R33)</f>
        <v/>
      </c>
      <c r="Z34" s="58"/>
      <c r="AF34" s="9">
        <v>2</v>
      </c>
      <c r="AH34" s="74">
        <v>0</v>
      </c>
      <c r="AI34" s="74">
        <v>2.0047999999999999</v>
      </c>
    </row>
    <row r="35" spans="1:35" ht="24.95" customHeight="1" x14ac:dyDescent="0.25">
      <c r="A35" s="65"/>
      <c r="B35" s="8">
        <f>'Measurement Sheet (Explained)'!B34</f>
        <v>4.0899999999999981</v>
      </c>
      <c r="C35" s="8" t="str">
        <f>'Measurement Sheet (Explained)'!C34</f>
        <v>Concrete Pouring 2nd Stage</v>
      </c>
      <c r="D35" s="8" t="str">
        <f>'Measurement Sheet (Explained)'!D34</f>
        <v>NOS</v>
      </c>
      <c r="E35" s="138">
        <v>179</v>
      </c>
      <c r="F35" s="38">
        <f>'Measurement Sheet (Explained)'!E34</f>
        <v>172</v>
      </c>
      <c r="G35" s="20">
        <f>'Measurement Sheet (Explained)'!G34</f>
        <v>1</v>
      </c>
      <c r="H35" s="130">
        <f>'Measurement Sheet (Explained)'!H34</f>
        <v>0</v>
      </c>
      <c r="I35" s="142">
        <v>0</v>
      </c>
      <c r="J35" s="20">
        <f>'Measurement Sheet (Explained)'!J34</f>
        <v>0</v>
      </c>
      <c r="K35" s="142">
        <f t="shared" si="4"/>
        <v>0</v>
      </c>
      <c r="L35" s="130">
        <f>'Measurement Sheet (Explained)'!L34</f>
        <v>52</v>
      </c>
      <c r="M35" s="20">
        <f>'Measurement Sheet (Explained)'!M34</f>
        <v>0.30232558139534882</v>
      </c>
      <c r="N35" s="9">
        <f>'Measurement Sheet (Explained)'!N34</f>
        <v>52</v>
      </c>
      <c r="O35" s="20">
        <f>'Measurement Sheet (Explained)'!O34</f>
        <v>0.30232558139534882</v>
      </c>
      <c r="P35" s="9">
        <f>'Measurement Sheet (Explained)'!P34</f>
        <v>120</v>
      </c>
      <c r="Q35" s="21">
        <f>'Measurement Sheet (Explained)'!Q34</f>
        <v>0.69767441860465118</v>
      </c>
      <c r="R35" s="21">
        <v>0.05</v>
      </c>
      <c r="S35" s="83">
        <f t="shared" si="5"/>
        <v>320477.66925000004</v>
      </c>
      <c r="T35" s="145">
        <v>0</v>
      </c>
      <c r="U35" s="116">
        <f t="shared" si="6"/>
        <v>0</v>
      </c>
      <c r="V35" s="116">
        <f t="shared" si="7"/>
        <v>96888.59768023256</v>
      </c>
      <c r="W35" s="116">
        <f t="shared" si="8"/>
        <v>96888.59768023256</v>
      </c>
      <c r="X35" s="116">
        <f t="shared" si="9"/>
        <v>223589.07156976749</v>
      </c>
      <c r="Y35" s="10" t="str">
        <f>IF(ISBLANK('Measurement Sheet (Explained)'!R34),"",'Measurement Sheet (Explained)'!R34)</f>
        <v/>
      </c>
      <c r="Z35" s="58"/>
      <c r="AF35" s="9">
        <v>0</v>
      </c>
      <c r="AH35" s="74">
        <v>0</v>
      </c>
      <c r="AI35" s="74">
        <v>0</v>
      </c>
    </row>
    <row r="36" spans="1:35" ht="24.95" customHeight="1" x14ac:dyDescent="0.25">
      <c r="A36" s="65"/>
      <c r="B36" s="8">
        <f>'Measurement Sheet (Explained)'!B35</f>
        <v>4.0999999999999979</v>
      </c>
      <c r="C36" s="8" t="str">
        <f>'Measurement Sheet (Explained)'!C35</f>
        <v>Curing (2st Stage)</v>
      </c>
      <c r="D36" s="8" t="str">
        <f>'Measurement Sheet (Explained)'!D35</f>
        <v>NOS</v>
      </c>
      <c r="E36" s="138">
        <v>179</v>
      </c>
      <c r="F36" s="38">
        <f>'Measurement Sheet (Explained)'!E35</f>
        <v>172</v>
      </c>
      <c r="G36" s="20">
        <f>'Measurement Sheet (Explained)'!G35</f>
        <v>1</v>
      </c>
      <c r="H36" s="130">
        <f>'Measurement Sheet (Explained)'!H35</f>
        <v>0</v>
      </c>
      <c r="I36" s="142">
        <v>0</v>
      </c>
      <c r="J36" s="20">
        <f>'Measurement Sheet (Explained)'!J35</f>
        <v>0</v>
      </c>
      <c r="K36" s="142">
        <f t="shared" si="4"/>
        <v>0</v>
      </c>
      <c r="L36" s="130">
        <f>'Measurement Sheet (Explained)'!L35</f>
        <v>42</v>
      </c>
      <c r="M36" s="20">
        <f>'Measurement Sheet (Explained)'!M35</f>
        <v>0.2441860465116279</v>
      </c>
      <c r="N36" s="9">
        <f>'Measurement Sheet (Explained)'!N35</f>
        <v>42</v>
      </c>
      <c r="O36" s="20">
        <f>'Measurement Sheet (Explained)'!O35</f>
        <v>0.2441860465116279</v>
      </c>
      <c r="P36" s="9">
        <f>'Measurement Sheet (Explained)'!P35</f>
        <v>130</v>
      </c>
      <c r="Q36" s="21">
        <f>'Measurement Sheet (Explained)'!Q35</f>
        <v>0.7558139534883721</v>
      </c>
      <c r="R36" s="21">
        <v>1.4999999999999999E-2</v>
      </c>
      <c r="S36" s="83">
        <f t="shared" si="5"/>
        <v>96143.300774999996</v>
      </c>
      <c r="T36" s="145">
        <v>0</v>
      </c>
      <c r="U36" s="116">
        <f t="shared" si="6"/>
        <v>0</v>
      </c>
      <c r="V36" s="116">
        <f t="shared" si="7"/>
        <v>23476.852514825579</v>
      </c>
      <c r="W36" s="116">
        <f t="shared" si="8"/>
        <v>23476.852514825579</v>
      </c>
      <c r="X36" s="116">
        <f t="shared" si="9"/>
        <v>72666.448260174424</v>
      </c>
      <c r="Y36" s="10" t="str">
        <f>IF(ISBLANK('Measurement Sheet (Explained)'!R35),"",'Measurement Sheet (Explained)'!R35)</f>
        <v/>
      </c>
      <c r="Z36" s="58"/>
      <c r="AF36" s="9">
        <v>0</v>
      </c>
      <c r="AH36" s="74">
        <v>0</v>
      </c>
      <c r="AI36" s="74">
        <v>0</v>
      </c>
    </row>
    <row r="37" spans="1:35" ht="24.95" customHeight="1" x14ac:dyDescent="0.25">
      <c r="A37" s="65"/>
      <c r="B37" s="8">
        <f>'Measurement Sheet (Explained)'!B36</f>
        <v>4.1099999999999977</v>
      </c>
      <c r="C37" s="8" t="str">
        <f>'Measurement Sheet (Explained)'!C36</f>
        <v>Deshuttering</v>
      </c>
      <c r="D37" s="8" t="str">
        <f>'Measurement Sheet (Explained)'!D36</f>
        <v>NOS</v>
      </c>
      <c r="E37" s="138">
        <v>179</v>
      </c>
      <c r="F37" s="38">
        <f>'Measurement Sheet (Explained)'!E36</f>
        <v>172</v>
      </c>
      <c r="G37" s="20">
        <f>'Measurement Sheet (Explained)'!G36</f>
        <v>1</v>
      </c>
      <c r="H37" s="130">
        <f>'Measurement Sheet (Explained)'!H36</f>
        <v>0</v>
      </c>
      <c r="I37" s="142">
        <v>0</v>
      </c>
      <c r="J37" s="20">
        <f>'Measurement Sheet (Explained)'!J36</f>
        <v>0</v>
      </c>
      <c r="K37" s="142">
        <f t="shared" si="4"/>
        <v>0</v>
      </c>
      <c r="L37" s="130">
        <f>'Measurement Sheet (Explained)'!L36</f>
        <v>0</v>
      </c>
      <c r="M37" s="20">
        <f>'Measurement Sheet (Explained)'!M36</f>
        <v>0</v>
      </c>
      <c r="N37" s="9">
        <f>'Measurement Sheet (Explained)'!N36</f>
        <v>0</v>
      </c>
      <c r="O37" s="20">
        <f>'Measurement Sheet (Explained)'!O36</f>
        <v>0</v>
      </c>
      <c r="P37" s="9">
        <f>'Measurement Sheet (Explained)'!P36</f>
        <v>172</v>
      </c>
      <c r="Q37" s="21">
        <f>'Measurement Sheet (Explained)'!Q36</f>
        <v>1</v>
      </c>
      <c r="R37" s="21">
        <v>1.4999999999999999E-2</v>
      </c>
      <c r="S37" s="83">
        <f t="shared" si="5"/>
        <v>96143.300774999996</v>
      </c>
      <c r="T37" s="145">
        <v>0</v>
      </c>
      <c r="U37" s="116">
        <f t="shared" si="6"/>
        <v>0</v>
      </c>
      <c r="V37" s="116">
        <f t="shared" si="7"/>
        <v>0</v>
      </c>
      <c r="W37" s="116">
        <f t="shared" si="8"/>
        <v>0</v>
      </c>
      <c r="X37" s="116">
        <f t="shared" si="9"/>
        <v>96143.300774999996</v>
      </c>
      <c r="Y37" s="10" t="str">
        <f>IF(ISBLANK('Measurement Sheet (Explained)'!R36),"",'Measurement Sheet (Explained)'!R36)</f>
        <v/>
      </c>
      <c r="Z37" s="58"/>
      <c r="AF37" s="9">
        <v>0</v>
      </c>
      <c r="AH37" s="74">
        <v>0</v>
      </c>
      <c r="AI37" s="74">
        <v>0</v>
      </c>
    </row>
    <row r="38" spans="1:35" ht="24.95" customHeight="1" x14ac:dyDescent="0.25">
      <c r="A38" s="65"/>
      <c r="B38" s="8">
        <f>'Measurement Sheet (Explained)'!B37</f>
        <v>4.1199999999999974</v>
      </c>
      <c r="C38" s="75" t="str">
        <f>'Measurement Sheet (Explained)'!C37</f>
        <v>Pole top part installation</v>
      </c>
      <c r="D38" s="8" t="str">
        <f>'Measurement Sheet (Explained)'!D37</f>
        <v>NOS</v>
      </c>
      <c r="E38" s="138">
        <v>179</v>
      </c>
      <c r="F38" s="38">
        <f>'Measurement Sheet (Explained)'!E37</f>
        <v>172</v>
      </c>
      <c r="G38" s="20">
        <f>'Measurement Sheet (Explained)'!G37</f>
        <v>1</v>
      </c>
      <c r="H38" s="130">
        <f>'Measurement Sheet (Explained)'!H37</f>
        <v>0</v>
      </c>
      <c r="I38" s="142">
        <v>0</v>
      </c>
      <c r="J38" s="20">
        <f>'Measurement Sheet (Explained)'!J37</f>
        <v>0</v>
      </c>
      <c r="K38" s="142">
        <f t="shared" si="4"/>
        <v>0</v>
      </c>
      <c r="L38" s="130">
        <f>'Measurement Sheet (Explained)'!L37</f>
        <v>0</v>
      </c>
      <c r="M38" s="20">
        <f>'Measurement Sheet (Explained)'!M37</f>
        <v>0</v>
      </c>
      <c r="N38" s="9">
        <f>'Measurement Sheet (Explained)'!N37</f>
        <v>0</v>
      </c>
      <c r="O38" s="20">
        <f>'Measurement Sheet (Explained)'!O37</f>
        <v>0</v>
      </c>
      <c r="P38" s="9">
        <f>'Measurement Sheet (Explained)'!P37</f>
        <v>172</v>
      </c>
      <c r="Q38" s="21">
        <f>'Measurement Sheet (Explained)'!Q37</f>
        <v>1</v>
      </c>
      <c r="R38" s="21">
        <v>0.04</v>
      </c>
      <c r="S38" s="83">
        <f t="shared" si="5"/>
        <v>256382.1354</v>
      </c>
      <c r="T38" s="145">
        <v>0</v>
      </c>
      <c r="U38" s="116">
        <f t="shared" si="6"/>
        <v>0</v>
      </c>
      <c r="V38" s="116">
        <f t="shared" si="7"/>
        <v>0</v>
      </c>
      <c r="W38" s="116">
        <f t="shared" si="8"/>
        <v>0</v>
      </c>
      <c r="X38" s="116">
        <f t="shared" si="9"/>
        <v>256382.1354</v>
      </c>
      <c r="Y38" s="10" t="str">
        <f>IF(ISBLANK('Measurement Sheet (Explained)'!R37),"",'Measurement Sheet (Explained)'!R37)</f>
        <v/>
      </c>
      <c r="Z38" s="58"/>
      <c r="AF38" s="9">
        <v>0</v>
      </c>
      <c r="AH38" s="74">
        <v>0</v>
      </c>
      <c r="AI38" s="74">
        <v>0</v>
      </c>
    </row>
    <row r="39" spans="1:35" ht="24.95" customHeight="1" x14ac:dyDescent="0.25">
      <c r="A39" s="65"/>
      <c r="B39" s="8">
        <f>'Measurement Sheet (Explained)'!B38</f>
        <v>4.1299999999999972</v>
      </c>
      <c r="C39" s="75" t="str">
        <f>'Measurement Sheet (Explained)'!C38</f>
        <v>Cross Arm Installation</v>
      </c>
      <c r="D39" s="8" t="str">
        <f>'Measurement Sheet (Explained)'!D38</f>
        <v>NOS</v>
      </c>
      <c r="E39" s="138">
        <v>179</v>
      </c>
      <c r="F39" s="38">
        <f>'Measurement Sheet (Explained)'!E38</f>
        <v>172</v>
      </c>
      <c r="G39" s="20">
        <f>'Measurement Sheet (Explained)'!G38</f>
        <v>1</v>
      </c>
      <c r="H39" s="130">
        <f>'Measurement Sheet (Explained)'!H38</f>
        <v>0</v>
      </c>
      <c r="I39" s="142">
        <v>0</v>
      </c>
      <c r="J39" s="20">
        <f>'Measurement Sheet (Explained)'!J38</f>
        <v>0</v>
      </c>
      <c r="K39" s="142">
        <f t="shared" si="4"/>
        <v>0</v>
      </c>
      <c r="L39" s="130">
        <f>'Measurement Sheet (Explained)'!L38</f>
        <v>0</v>
      </c>
      <c r="M39" s="20">
        <f>'Measurement Sheet (Explained)'!M38</f>
        <v>0</v>
      </c>
      <c r="N39" s="9">
        <f>'Measurement Sheet (Explained)'!N38</f>
        <v>0</v>
      </c>
      <c r="O39" s="20">
        <f>'Measurement Sheet (Explained)'!O38</f>
        <v>0</v>
      </c>
      <c r="P39" s="9">
        <f>'Measurement Sheet (Explained)'!P38</f>
        <v>172</v>
      </c>
      <c r="Q39" s="21">
        <f>'Measurement Sheet (Explained)'!Q38</f>
        <v>1</v>
      </c>
      <c r="R39" s="21">
        <v>0.04</v>
      </c>
      <c r="S39" s="83">
        <f t="shared" si="5"/>
        <v>256382.1354</v>
      </c>
      <c r="T39" s="145">
        <v>0</v>
      </c>
      <c r="U39" s="116">
        <f t="shared" si="6"/>
        <v>0</v>
      </c>
      <c r="V39" s="116">
        <f t="shared" si="7"/>
        <v>0</v>
      </c>
      <c r="W39" s="116">
        <f t="shared" si="8"/>
        <v>0</v>
      </c>
      <c r="X39" s="116">
        <f t="shared" si="9"/>
        <v>256382.1354</v>
      </c>
      <c r="Y39" s="10" t="str">
        <f>IF(ISBLANK('Measurement Sheet (Explained)'!R38),"",'Measurement Sheet (Explained)'!R38)</f>
        <v/>
      </c>
      <c r="Z39" s="58"/>
      <c r="AF39" s="9">
        <v>0</v>
      </c>
      <c r="AH39" s="74">
        <v>0</v>
      </c>
      <c r="AI39" s="74">
        <v>0</v>
      </c>
    </row>
    <row r="40" spans="1:35" ht="24.95" customHeight="1" x14ac:dyDescent="0.25">
      <c r="A40" s="65"/>
      <c r="B40" s="8">
        <f>'Measurement Sheet (Explained)'!B39</f>
        <v>4.139999999999997</v>
      </c>
      <c r="C40" s="75" t="str">
        <f>'Measurement Sheet (Explained)'!C39</f>
        <v>Accessories Installation</v>
      </c>
      <c r="D40" s="8" t="str">
        <f>'Measurement Sheet (Explained)'!D39</f>
        <v>NOS</v>
      </c>
      <c r="E40" s="138">
        <v>179</v>
      </c>
      <c r="F40" s="38">
        <f>'Measurement Sheet (Explained)'!E39</f>
        <v>172</v>
      </c>
      <c r="G40" s="20">
        <f>'Measurement Sheet (Explained)'!G39</f>
        <v>1</v>
      </c>
      <c r="H40" s="130">
        <f>'Measurement Sheet (Explained)'!H39</f>
        <v>0</v>
      </c>
      <c r="I40" s="142">
        <v>0</v>
      </c>
      <c r="J40" s="20">
        <f>'Measurement Sheet (Explained)'!J39</f>
        <v>0</v>
      </c>
      <c r="K40" s="142">
        <f t="shared" si="4"/>
        <v>0</v>
      </c>
      <c r="L40" s="130">
        <f>'Measurement Sheet (Explained)'!L39</f>
        <v>0</v>
      </c>
      <c r="M40" s="20">
        <f>'Measurement Sheet (Explained)'!M39</f>
        <v>0</v>
      </c>
      <c r="N40" s="9">
        <f>'Measurement Sheet (Explained)'!N39</f>
        <v>0</v>
      </c>
      <c r="O40" s="20">
        <f>'Measurement Sheet (Explained)'!O39</f>
        <v>0</v>
      </c>
      <c r="P40" s="9">
        <f>'Measurement Sheet (Explained)'!P39</f>
        <v>172</v>
      </c>
      <c r="Q40" s="21">
        <f>'Measurement Sheet (Explained)'!Q39</f>
        <v>1</v>
      </c>
      <c r="R40" s="21">
        <v>1.4999999999999999E-2</v>
      </c>
      <c r="S40" s="83">
        <f t="shared" si="5"/>
        <v>96143.300774999996</v>
      </c>
      <c r="T40" s="145">
        <v>0</v>
      </c>
      <c r="U40" s="116">
        <f t="shared" si="6"/>
        <v>0</v>
      </c>
      <c r="V40" s="116">
        <f t="shared" si="7"/>
        <v>0</v>
      </c>
      <c r="W40" s="116">
        <f t="shared" si="8"/>
        <v>0</v>
      </c>
      <c r="X40" s="116">
        <f t="shared" si="9"/>
        <v>96143.300774999996</v>
      </c>
      <c r="Y40" s="10" t="str">
        <f>IF(ISBLANK('Measurement Sheet (Explained)'!R39),"",'Measurement Sheet (Explained)'!R39)</f>
        <v/>
      </c>
      <c r="Z40" s="58"/>
      <c r="AF40" s="9">
        <v>0</v>
      </c>
      <c r="AH40" s="74">
        <v>0</v>
      </c>
      <c r="AI40" s="74">
        <v>0</v>
      </c>
    </row>
    <row r="41" spans="1:35" ht="24.95" customHeight="1" x14ac:dyDescent="0.25">
      <c r="A41" s="65"/>
      <c r="B41" s="8">
        <f>'Measurement Sheet (Explained)'!B40</f>
        <v>4.1499999999999968</v>
      </c>
      <c r="C41" s="75" t="str">
        <f>'Measurement Sheet (Explained)'!C40</f>
        <v>Grounding Installation</v>
      </c>
      <c r="D41" s="8" t="str">
        <f>'Measurement Sheet (Explained)'!D40</f>
        <v>NOS</v>
      </c>
      <c r="E41" s="138">
        <v>179</v>
      </c>
      <c r="F41" s="38">
        <f>'Measurement Sheet (Explained)'!E40</f>
        <v>172</v>
      </c>
      <c r="G41" s="20">
        <f>'Measurement Sheet (Explained)'!G40</f>
        <v>1</v>
      </c>
      <c r="H41" s="130">
        <f>'Measurement Sheet (Explained)'!H40</f>
        <v>0</v>
      </c>
      <c r="I41" s="142">
        <v>0</v>
      </c>
      <c r="J41" s="20">
        <f>'Measurement Sheet (Explained)'!J40</f>
        <v>0</v>
      </c>
      <c r="K41" s="142">
        <f t="shared" si="4"/>
        <v>0</v>
      </c>
      <c r="L41" s="130">
        <f>'Measurement Sheet (Explained)'!L40</f>
        <v>0</v>
      </c>
      <c r="M41" s="20">
        <f>'Measurement Sheet (Explained)'!M40</f>
        <v>0</v>
      </c>
      <c r="N41" s="9">
        <f>'Measurement Sheet (Explained)'!N40</f>
        <v>0</v>
      </c>
      <c r="O41" s="20">
        <f>'Measurement Sheet (Explained)'!O40</f>
        <v>0</v>
      </c>
      <c r="P41" s="9">
        <f>'Measurement Sheet (Explained)'!P40</f>
        <v>172</v>
      </c>
      <c r="Q41" s="21">
        <f>'Measurement Sheet (Explained)'!Q40</f>
        <v>1</v>
      </c>
      <c r="R41" s="21">
        <v>1.4999999999999999E-2</v>
      </c>
      <c r="S41" s="83">
        <f t="shared" si="5"/>
        <v>96143.300774999996</v>
      </c>
      <c r="T41" s="145">
        <v>0</v>
      </c>
      <c r="U41" s="116">
        <f t="shared" si="6"/>
        <v>0</v>
      </c>
      <c r="V41" s="116">
        <f t="shared" si="7"/>
        <v>0</v>
      </c>
      <c r="W41" s="116">
        <f t="shared" si="8"/>
        <v>0</v>
      </c>
      <c r="X41" s="116">
        <f t="shared" si="9"/>
        <v>96143.300774999996</v>
      </c>
      <c r="Y41" s="10" t="str">
        <f>IF(ISBLANK('Measurement Sheet (Explained)'!R40),"",'Measurement Sheet (Explained)'!R40)</f>
        <v/>
      </c>
      <c r="Z41" s="58"/>
      <c r="AF41" s="9">
        <v>0</v>
      </c>
      <c r="AH41" s="74">
        <v>0</v>
      </c>
      <c r="AI41" s="74">
        <v>0</v>
      </c>
    </row>
    <row r="42" spans="1:35" ht="24.95" customHeight="1" x14ac:dyDescent="0.25">
      <c r="A42" s="65"/>
      <c r="B42" s="8">
        <f>'Measurement Sheet (Explained)'!B41</f>
        <v>4.1599999999999966</v>
      </c>
      <c r="C42" s="75" t="str">
        <f>'Measurement Sheet (Explained)'!C41</f>
        <v>Pole Identification</v>
      </c>
      <c r="D42" s="8" t="str">
        <f>'Measurement Sheet (Explained)'!D41</f>
        <v>NOS</v>
      </c>
      <c r="E42" s="137">
        <v>179</v>
      </c>
      <c r="F42" s="9">
        <f>'Measurement Sheet (Explained)'!E41</f>
        <v>172</v>
      </c>
      <c r="G42" s="20">
        <f>'Measurement Sheet (Explained)'!G41</f>
        <v>1</v>
      </c>
      <c r="H42" s="130">
        <f>'Measurement Sheet (Explained)'!H41</f>
        <v>0</v>
      </c>
      <c r="I42" s="141">
        <v>0</v>
      </c>
      <c r="J42" s="20">
        <f>'Measurement Sheet (Explained)'!J41</f>
        <v>0</v>
      </c>
      <c r="K42" s="141">
        <f t="shared" si="4"/>
        <v>0</v>
      </c>
      <c r="L42" s="130">
        <f>'Measurement Sheet (Explained)'!L41</f>
        <v>0</v>
      </c>
      <c r="M42" s="20">
        <f>'Measurement Sheet (Explained)'!M41</f>
        <v>0</v>
      </c>
      <c r="N42" s="9">
        <f>'Measurement Sheet (Explained)'!N41</f>
        <v>0</v>
      </c>
      <c r="O42" s="20">
        <f>'Measurement Sheet (Explained)'!O41</f>
        <v>0</v>
      </c>
      <c r="P42" s="9">
        <f>'Measurement Sheet (Explained)'!P41</f>
        <v>172</v>
      </c>
      <c r="Q42" s="21">
        <f>'Measurement Sheet (Explained)'!Q41</f>
        <v>1</v>
      </c>
      <c r="R42" s="21">
        <v>1.4999999999999999E-2</v>
      </c>
      <c r="S42" s="83">
        <f t="shared" si="5"/>
        <v>96143.300774999996</v>
      </c>
      <c r="T42" s="145">
        <v>0</v>
      </c>
      <c r="U42" s="116">
        <f t="shared" si="6"/>
        <v>0</v>
      </c>
      <c r="V42" s="116">
        <f t="shared" si="7"/>
        <v>0</v>
      </c>
      <c r="W42" s="116">
        <f t="shared" si="8"/>
        <v>0</v>
      </c>
      <c r="X42" s="116">
        <f t="shared" si="9"/>
        <v>96143.300774999996</v>
      </c>
      <c r="Y42" s="10" t="str">
        <f>IF(ISBLANK('Measurement Sheet (Explained)'!R41),"",'Measurement Sheet (Explained)'!R41)</f>
        <v/>
      </c>
      <c r="Z42" s="58"/>
      <c r="AF42" s="9">
        <v>0</v>
      </c>
      <c r="AH42" s="74">
        <v>0</v>
      </c>
      <c r="AI42" s="74">
        <v>0</v>
      </c>
    </row>
    <row r="43" spans="1:35" ht="24.95" customHeight="1" x14ac:dyDescent="0.25">
      <c r="A43" s="65"/>
      <c r="B43" s="8">
        <f>'Measurement Sheet (Explained)'!B42</f>
        <v>4.1699999999999964</v>
      </c>
      <c r="C43" s="75" t="str">
        <f>'Measurement Sheet (Explained)'!C42</f>
        <v>Foundation Finishings</v>
      </c>
      <c r="D43" s="8" t="str">
        <f>'Measurement Sheet (Explained)'!D42</f>
        <v>NOS</v>
      </c>
      <c r="E43" s="138">
        <v>179</v>
      </c>
      <c r="F43" s="38">
        <f>'Measurement Sheet (Explained)'!E42</f>
        <v>172</v>
      </c>
      <c r="G43" s="20">
        <f>'Measurement Sheet (Explained)'!G42</f>
        <v>1</v>
      </c>
      <c r="H43" s="130">
        <f>'Measurement Sheet (Explained)'!H42</f>
        <v>0</v>
      </c>
      <c r="I43" s="142">
        <v>0</v>
      </c>
      <c r="J43" s="20">
        <f>'Measurement Sheet (Explained)'!J42</f>
        <v>0</v>
      </c>
      <c r="K43" s="142">
        <f t="shared" si="4"/>
        <v>0</v>
      </c>
      <c r="L43" s="130">
        <f>'Measurement Sheet (Explained)'!L42</f>
        <v>0</v>
      </c>
      <c r="M43" s="20">
        <f>'Measurement Sheet (Explained)'!M42</f>
        <v>0</v>
      </c>
      <c r="N43" s="9">
        <f>'Measurement Sheet (Explained)'!N42</f>
        <v>0</v>
      </c>
      <c r="O43" s="20">
        <f>'Measurement Sheet (Explained)'!O42</f>
        <v>0</v>
      </c>
      <c r="P43" s="9">
        <f>'Measurement Sheet (Explained)'!P42</f>
        <v>172</v>
      </c>
      <c r="Q43" s="21">
        <f>'Measurement Sheet (Explained)'!Q42</f>
        <v>1</v>
      </c>
      <c r="R43" s="21">
        <v>0.03</v>
      </c>
      <c r="S43" s="83">
        <f t="shared" si="5"/>
        <v>192286.60154999999</v>
      </c>
      <c r="T43" s="145">
        <v>0</v>
      </c>
      <c r="U43" s="116">
        <f t="shared" si="6"/>
        <v>0</v>
      </c>
      <c r="V43" s="116">
        <f t="shared" si="7"/>
        <v>0</v>
      </c>
      <c r="W43" s="116">
        <f t="shared" si="8"/>
        <v>0</v>
      </c>
      <c r="X43" s="116">
        <f t="shared" si="9"/>
        <v>192286.60154999999</v>
      </c>
      <c r="Y43" s="10" t="str">
        <f>IF(ISBLANK('Measurement Sheet (Explained)'!R42),"",'Measurement Sheet (Explained)'!R42)</f>
        <v/>
      </c>
      <c r="Z43" s="58"/>
      <c r="AF43" s="9">
        <v>0</v>
      </c>
      <c r="AH43" s="74">
        <v>0</v>
      </c>
      <c r="AI43" s="74">
        <v>0</v>
      </c>
    </row>
    <row r="44" spans="1:35" ht="24.95" customHeight="1" x14ac:dyDescent="0.25">
      <c r="A44" s="65"/>
      <c r="B44" s="8">
        <f>'Measurement Sheet (Explained)'!B43</f>
        <v>4.1799999999999962</v>
      </c>
      <c r="C44" s="75" t="str">
        <f>'Measurement Sheet (Explained)'!C43</f>
        <v>ACSR Stringing</v>
      </c>
      <c r="D44" s="8" t="str">
        <f>'Measurement Sheet (Explained)'!D43</f>
        <v>LM</v>
      </c>
      <c r="E44" s="138">
        <v>36055.08</v>
      </c>
      <c r="F44" s="38">
        <f>'Measurement Sheet (Explained)'!E43</f>
        <v>36055.08</v>
      </c>
      <c r="G44" s="20">
        <f>'Measurement Sheet (Explained)'!G43</f>
        <v>1</v>
      </c>
      <c r="H44" s="130">
        <f>'Measurement Sheet (Explained)'!H43</f>
        <v>0</v>
      </c>
      <c r="I44" s="142">
        <v>0</v>
      </c>
      <c r="J44" s="20">
        <f>'Measurement Sheet (Explained)'!J43</f>
        <v>0</v>
      </c>
      <c r="K44" s="142">
        <f t="shared" si="4"/>
        <v>0</v>
      </c>
      <c r="L44" s="130">
        <f>'Measurement Sheet (Explained)'!L43</f>
        <v>0</v>
      </c>
      <c r="M44" s="20">
        <f>'Measurement Sheet (Explained)'!M43</f>
        <v>0</v>
      </c>
      <c r="N44" s="9">
        <f>'Measurement Sheet (Explained)'!N43</f>
        <v>0</v>
      </c>
      <c r="O44" s="20">
        <f>'Measurement Sheet (Explained)'!O43</f>
        <v>0</v>
      </c>
      <c r="P44" s="9">
        <f>'Measurement Sheet (Explained)'!P43</f>
        <v>36055.08</v>
      </c>
      <c r="Q44" s="21">
        <f>'Measurement Sheet (Explained)'!Q43</f>
        <v>1</v>
      </c>
      <c r="R44" s="21">
        <v>1.4999999999999999E-2</v>
      </c>
      <c r="S44" s="83">
        <f t="shared" si="5"/>
        <v>96143.300774999996</v>
      </c>
      <c r="T44" s="145">
        <v>0</v>
      </c>
      <c r="U44" s="116">
        <f t="shared" si="6"/>
        <v>0</v>
      </c>
      <c r="V44" s="116">
        <f t="shared" si="7"/>
        <v>0</v>
      </c>
      <c r="W44" s="116">
        <f t="shared" si="8"/>
        <v>0</v>
      </c>
      <c r="X44" s="116">
        <f t="shared" si="9"/>
        <v>96143.300774999996</v>
      </c>
      <c r="Y44" s="10" t="str">
        <f>IF(ISBLANK('Measurement Sheet (Explained)'!R43),"",'Measurement Sheet (Explained)'!R43)</f>
        <v/>
      </c>
      <c r="Z44" s="58"/>
      <c r="AF44" s="9">
        <v>0</v>
      </c>
      <c r="AH44" s="74">
        <v>0</v>
      </c>
      <c r="AI44" s="74">
        <v>0</v>
      </c>
    </row>
    <row r="45" spans="1:35" ht="24.95" customHeight="1" x14ac:dyDescent="0.25">
      <c r="A45" s="65"/>
      <c r="B45" s="8">
        <f>'Measurement Sheet (Explained)'!B44</f>
        <v>4.1899999999999959</v>
      </c>
      <c r="C45" s="75" t="str">
        <f>'Measurement Sheet (Explained)'!C44</f>
        <v>OGW Stringing</v>
      </c>
      <c r="D45" s="8" t="str">
        <f>'Measurement Sheet (Explained)'!D44</f>
        <v>LM</v>
      </c>
      <c r="E45" s="138">
        <v>12018.36</v>
      </c>
      <c r="F45" s="38">
        <f>'Measurement Sheet (Explained)'!E44</f>
        <v>12018.36</v>
      </c>
      <c r="G45" s="20">
        <f>'Measurement Sheet (Explained)'!G44</f>
        <v>1</v>
      </c>
      <c r="H45" s="130">
        <f>'Measurement Sheet (Explained)'!H44</f>
        <v>0</v>
      </c>
      <c r="I45" s="142">
        <v>0</v>
      </c>
      <c r="J45" s="20">
        <f>'Measurement Sheet (Explained)'!J44</f>
        <v>0</v>
      </c>
      <c r="K45" s="142">
        <f t="shared" si="4"/>
        <v>0</v>
      </c>
      <c r="L45" s="130">
        <f>'Measurement Sheet (Explained)'!L44</f>
        <v>0</v>
      </c>
      <c r="M45" s="20">
        <f>'Measurement Sheet (Explained)'!M44</f>
        <v>0</v>
      </c>
      <c r="N45" s="9">
        <f>'Measurement Sheet (Explained)'!N44</f>
        <v>0</v>
      </c>
      <c r="O45" s="20">
        <f>'Measurement Sheet (Explained)'!O44</f>
        <v>0</v>
      </c>
      <c r="P45" s="9">
        <f>'Measurement Sheet (Explained)'!P44</f>
        <v>12018.36</v>
      </c>
      <c r="Q45" s="21">
        <f>'Measurement Sheet (Explained)'!Q44</f>
        <v>1</v>
      </c>
      <c r="R45" s="21">
        <v>1.4999999999999999E-2</v>
      </c>
      <c r="S45" s="83">
        <f t="shared" si="5"/>
        <v>96143.300774999996</v>
      </c>
      <c r="T45" s="145">
        <v>0</v>
      </c>
      <c r="U45" s="116">
        <f t="shared" si="6"/>
        <v>0</v>
      </c>
      <c r="V45" s="116">
        <f t="shared" si="7"/>
        <v>0</v>
      </c>
      <c r="W45" s="116">
        <f t="shared" si="8"/>
        <v>0</v>
      </c>
      <c r="X45" s="116">
        <f t="shared" si="9"/>
        <v>96143.300774999996</v>
      </c>
      <c r="Y45" s="10" t="str">
        <f>IF(ISBLANK('Measurement Sheet (Explained)'!R44),"",'Measurement Sheet (Explained)'!R44)</f>
        <v/>
      </c>
      <c r="Z45" s="58"/>
      <c r="AF45" s="9">
        <v>0</v>
      </c>
      <c r="AH45" s="74">
        <v>0</v>
      </c>
      <c r="AI45" s="74">
        <v>0</v>
      </c>
    </row>
    <row r="46" spans="1:35" ht="24.95" customHeight="1" x14ac:dyDescent="0.25">
      <c r="A46" s="65"/>
      <c r="B46" s="8">
        <f>'Measurement Sheet (Explained)'!B45</f>
        <v>4.1999999999999957</v>
      </c>
      <c r="C46" s="75" t="str">
        <f>'Measurement Sheet (Explained)'!C45</f>
        <v>Yes Push Items</v>
      </c>
      <c r="D46" s="8" t="str">
        <f>'Measurement Sheet (Explained)'!D45</f>
        <v>Lot</v>
      </c>
      <c r="E46" s="137">
        <v>1</v>
      </c>
      <c r="F46" s="9">
        <f>'Measurement Sheet (Explained)'!E45</f>
        <v>1</v>
      </c>
      <c r="G46" s="20">
        <f>'Measurement Sheet (Explained)'!G45</f>
        <v>1</v>
      </c>
      <c r="H46" s="130">
        <f>'Measurement Sheet (Explained)'!H45</f>
        <v>0</v>
      </c>
      <c r="I46" s="141">
        <v>0</v>
      </c>
      <c r="J46" s="20">
        <f>'Measurement Sheet (Explained)'!J45</f>
        <v>0</v>
      </c>
      <c r="K46" s="141">
        <f t="shared" si="4"/>
        <v>0</v>
      </c>
      <c r="L46" s="130">
        <f>'Measurement Sheet (Explained)'!L45</f>
        <v>0</v>
      </c>
      <c r="M46" s="20">
        <f>'Measurement Sheet (Explained)'!M45</f>
        <v>0</v>
      </c>
      <c r="N46" s="9">
        <f>'Measurement Sheet (Explained)'!N45</f>
        <v>0</v>
      </c>
      <c r="O46" s="20">
        <f>'Measurement Sheet (Explained)'!O45</f>
        <v>0</v>
      </c>
      <c r="P46" s="9">
        <f>'Measurement Sheet (Explained)'!P45</f>
        <v>1</v>
      </c>
      <c r="Q46" s="21">
        <f>'Measurement Sheet (Explained)'!Q45</f>
        <v>1</v>
      </c>
      <c r="R46" s="21">
        <v>1.4999999999999999E-2</v>
      </c>
      <c r="S46" s="83">
        <f t="shared" si="5"/>
        <v>96143.300774999996</v>
      </c>
      <c r="T46" s="145">
        <v>0</v>
      </c>
      <c r="U46" s="116">
        <f t="shared" si="6"/>
        <v>0</v>
      </c>
      <c r="V46" s="116">
        <f t="shared" si="7"/>
        <v>0</v>
      </c>
      <c r="W46" s="116">
        <f t="shared" si="8"/>
        <v>0</v>
      </c>
      <c r="X46" s="116">
        <f t="shared" si="9"/>
        <v>96143.300774999996</v>
      </c>
      <c r="Y46" s="10" t="str">
        <f>IF(ISBLANK('Measurement Sheet (Explained)'!R45),"",'Measurement Sheet (Explained)'!R45)</f>
        <v/>
      </c>
      <c r="Z46" s="58"/>
      <c r="AF46" s="9">
        <v>0</v>
      </c>
      <c r="AH46" s="74">
        <v>0</v>
      </c>
      <c r="AI46" s="74">
        <v>0</v>
      </c>
    </row>
    <row r="47" spans="1:35" ht="24.95" customHeight="1" x14ac:dyDescent="0.25">
      <c r="A47" s="65"/>
      <c r="B47" s="8">
        <f>'Measurement Sheet (Explained)'!B46</f>
        <v>4.2099999999999955</v>
      </c>
      <c r="C47" s="75" t="str">
        <f>'Measurement Sheet (Explained)'!C46</f>
        <v>No Push Items</v>
      </c>
      <c r="D47" s="8" t="str">
        <f>'Measurement Sheet (Explained)'!D46</f>
        <v xml:space="preserve">Lot </v>
      </c>
      <c r="E47" s="137">
        <v>1</v>
      </c>
      <c r="F47" s="9">
        <f>'Measurement Sheet (Explained)'!E46</f>
        <v>1</v>
      </c>
      <c r="G47" s="20">
        <f>'Measurement Sheet (Explained)'!G46</f>
        <v>1</v>
      </c>
      <c r="H47" s="130">
        <f>'Measurement Sheet (Explained)'!H46</f>
        <v>0</v>
      </c>
      <c r="I47" s="141">
        <v>0</v>
      </c>
      <c r="J47" s="20">
        <f>'Measurement Sheet (Explained)'!J46</f>
        <v>0</v>
      </c>
      <c r="K47" s="141">
        <f t="shared" si="4"/>
        <v>0</v>
      </c>
      <c r="L47" s="130">
        <f>'Measurement Sheet (Explained)'!L46</f>
        <v>0</v>
      </c>
      <c r="M47" s="20">
        <f>'Measurement Sheet (Explained)'!M46</f>
        <v>0</v>
      </c>
      <c r="N47" s="9">
        <f>'Measurement Sheet (Explained)'!N46</f>
        <v>0</v>
      </c>
      <c r="O47" s="20">
        <f>'Measurement Sheet (Explained)'!O46</f>
        <v>0</v>
      </c>
      <c r="P47" s="9">
        <f>'Measurement Sheet (Explained)'!P46</f>
        <v>1</v>
      </c>
      <c r="Q47" s="21">
        <f>'Measurement Sheet (Explained)'!Q46</f>
        <v>1</v>
      </c>
      <c r="R47" s="21">
        <v>1.4999999999999999E-2</v>
      </c>
      <c r="S47" s="83">
        <f t="shared" si="5"/>
        <v>96143.300774999996</v>
      </c>
      <c r="T47" s="145">
        <v>0</v>
      </c>
      <c r="U47" s="116">
        <f t="shared" si="6"/>
        <v>0</v>
      </c>
      <c r="V47" s="116">
        <f t="shared" si="7"/>
        <v>0</v>
      </c>
      <c r="W47" s="116">
        <f t="shared" si="8"/>
        <v>0</v>
      </c>
      <c r="X47" s="116">
        <f t="shared" si="9"/>
        <v>96143.300774999996</v>
      </c>
      <c r="Y47" s="10" t="str">
        <f>IF(ISBLANK('Measurement Sheet (Explained)'!R46),"",'Measurement Sheet (Explained)'!R46)</f>
        <v/>
      </c>
      <c r="Z47" s="58"/>
      <c r="AF47" s="9">
        <v>0</v>
      </c>
      <c r="AH47" s="74">
        <v>0</v>
      </c>
      <c r="AI47" s="74">
        <v>0</v>
      </c>
    </row>
    <row r="48" spans="1:35" ht="24.95" customHeight="1" x14ac:dyDescent="0.25">
      <c r="A48" s="65"/>
      <c r="B48" s="12">
        <f>'Measurement Sheet (Explained)'!B47</f>
        <v>5</v>
      </c>
      <c r="C48" s="12" t="str">
        <f>'Measurement Sheet (Explained)'!C47</f>
        <v>Underground Crossings</v>
      </c>
      <c r="D48" s="12"/>
      <c r="E48" s="30"/>
      <c r="F48" s="30"/>
      <c r="G48" s="12"/>
      <c r="H48" s="13"/>
      <c r="I48" s="132"/>
      <c r="J48" s="13"/>
      <c r="K48" s="132"/>
      <c r="L48" s="30"/>
      <c r="M48" s="13"/>
      <c r="N48" s="13"/>
      <c r="O48" s="13"/>
      <c r="P48" s="13"/>
      <c r="Q48" s="13"/>
      <c r="R48" s="13"/>
      <c r="S48" s="84"/>
      <c r="T48" s="84"/>
      <c r="U48" s="117"/>
      <c r="V48" s="117"/>
      <c r="W48" s="117"/>
      <c r="X48" s="117"/>
      <c r="Y48" s="13"/>
      <c r="Z48" s="58"/>
      <c r="AF48" s="13"/>
      <c r="AH48" s="74"/>
      <c r="AI48" s="74"/>
    </row>
    <row r="49" spans="1:35" ht="24.95" customHeight="1" x14ac:dyDescent="0.25">
      <c r="A49" s="65"/>
      <c r="B49" s="8">
        <f>'Measurement Sheet (Explained)'!B48</f>
        <v>5.01</v>
      </c>
      <c r="C49" s="75" t="str">
        <f>'Measurement Sheet (Explained)'!C48</f>
        <v>Route Survey</v>
      </c>
      <c r="D49" s="8" t="str">
        <f>'Measurement Sheet (Explained)'!D48</f>
        <v>NOS</v>
      </c>
      <c r="E49" s="137">
        <v>14</v>
      </c>
      <c r="F49" s="9">
        <f>'Measurement Sheet (Explained)'!E48</f>
        <v>5</v>
      </c>
      <c r="G49" s="20">
        <f>'Measurement Sheet (Explained)'!G48</f>
        <v>1</v>
      </c>
      <c r="H49" s="130">
        <f>'Measurement Sheet (Explained)'!H48</f>
        <v>0</v>
      </c>
      <c r="I49" s="141">
        <v>0</v>
      </c>
      <c r="J49" s="20">
        <f>'Measurement Sheet (Explained)'!J48</f>
        <v>0</v>
      </c>
      <c r="K49" s="141">
        <f t="shared" ref="K49:K59" si="10">J49-I49</f>
        <v>0</v>
      </c>
      <c r="L49" s="130">
        <f>'Measurement Sheet (Explained)'!L48</f>
        <v>0</v>
      </c>
      <c r="M49" s="20">
        <f>'Measurement Sheet (Explained)'!M48</f>
        <v>0</v>
      </c>
      <c r="N49" s="9">
        <f>'Measurement Sheet (Explained)'!N48</f>
        <v>0</v>
      </c>
      <c r="O49" s="20">
        <f>'Measurement Sheet (Explained)'!O48</f>
        <v>0</v>
      </c>
      <c r="P49" s="9">
        <f>'Measurement Sheet (Explained)'!P48</f>
        <v>5</v>
      </c>
      <c r="Q49" s="21">
        <f>'Measurement Sheet (Explained)'!Q48</f>
        <v>1</v>
      </c>
      <c r="R49" s="21">
        <v>0.01</v>
      </c>
      <c r="S49" s="83">
        <f t="shared" ref="S49:S59" si="11">R49*$AN$19</f>
        <v>64095.53385</v>
      </c>
      <c r="T49" s="145">
        <v>0</v>
      </c>
      <c r="U49" s="116">
        <f t="shared" ref="U49:U59" si="12">J49*S49</f>
        <v>0</v>
      </c>
      <c r="V49" s="116">
        <f t="shared" ref="V49:V59" si="13">M49*S49</f>
        <v>0</v>
      </c>
      <c r="W49" s="116">
        <f t="shared" ref="W49:W59" si="14">V49+T49</f>
        <v>0</v>
      </c>
      <c r="X49" s="116">
        <f t="shared" ref="X49:X59" si="15">S49-W49</f>
        <v>64095.53385</v>
      </c>
      <c r="Y49" s="10" t="str">
        <f>IF(ISBLANK('Measurement Sheet (Explained)'!R48),"",'Measurement Sheet (Explained)'!R48)</f>
        <v/>
      </c>
      <c r="Z49" s="58"/>
      <c r="AF49" s="9">
        <v>0</v>
      </c>
      <c r="AH49" s="74">
        <v>0</v>
      </c>
      <c r="AI49" s="74">
        <v>0</v>
      </c>
    </row>
    <row r="50" spans="1:35" ht="24.95" customHeight="1" x14ac:dyDescent="0.25">
      <c r="A50" s="65"/>
      <c r="B50" s="8">
        <f>'Measurement Sheet (Explained)'!B49</f>
        <v>5.0199999999999996</v>
      </c>
      <c r="C50" s="75" t="str">
        <f>'Measurement Sheet (Explained)'!C49</f>
        <v>Excavation</v>
      </c>
      <c r="D50" s="8" t="str">
        <f>'Measurement Sheet (Explained)'!D49</f>
        <v>LM</v>
      </c>
      <c r="E50" s="137">
        <f>292.6 +396.54 + 92</f>
        <v>781.1400000000001</v>
      </c>
      <c r="F50" s="9">
        <f>'Measurement Sheet (Explained)'!E49</f>
        <v>379.88</v>
      </c>
      <c r="G50" s="20">
        <f>'Measurement Sheet (Explained)'!G49</f>
        <v>1</v>
      </c>
      <c r="H50" s="130">
        <f>'Measurement Sheet (Explained)'!H49</f>
        <v>0</v>
      </c>
      <c r="I50" s="141">
        <v>0</v>
      </c>
      <c r="J50" s="20">
        <f>'Measurement Sheet (Explained)'!J49</f>
        <v>0</v>
      </c>
      <c r="K50" s="141">
        <f t="shared" si="10"/>
        <v>0</v>
      </c>
      <c r="L50" s="130">
        <f>'Measurement Sheet (Explained)'!L49</f>
        <v>0</v>
      </c>
      <c r="M50" s="20">
        <f>'Measurement Sheet (Explained)'!M49</f>
        <v>0</v>
      </c>
      <c r="N50" s="9">
        <f>'Measurement Sheet (Explained)'!N49</f>
        <v>0</v>
      </c>
      <c r="O50" s="20">
        <f>'Measurement Sheet (Explained)'!O49</f>
        <v>0</v>
      </c>
      <c r="P50" s="9">
        <f>'Measurement Sheet (Explained)'!P49</f>
        <v>379.88</v>
      </c>
      <c r="Q50" s="21">
        <f>'Measurement Sheet (Explained)'!Q49</f>
        <v>1</v>
      </c>
      <c r="R50" s="21">
        <v>0.03</v>
      </c>
      <c r="S50" s="83">
        <f t="shared" si="11"/>
        <v>192286.60154999999</v>
      </c>
      <c r="T50" s="145">
        <v>0</v>
      </c>
      <c r="U50" s="116">
        <f t="shared" si="12"/>
        <v>0</v>
      </c>
      <c r="V50" s="116">
        <f t="shared" si="13"/>
        <v>0</v>
      </c>
      <c r="W50" s="116">
        <f t="shared" si="14"/>
        <v>0</v>
      </c>
      <c r="X50" s="116">
        <f t="shared" si="15"/>
        <v>192286.60154999999</v>
      </c>
      <c r="Y50" s="10" t="str">
        <f>IF(ISBLANK('Measurement Sheet (Explained)'!R49),"",'Measurement Sheet (Explained)'!R49)</f>
        <v/>
      </c>
      <c r="Z50" s="58"/>
      <c r="AF50" s="9">
        <v>0</v>
      </c>
      <c r="AH50" s="74">
        <v>0</v>
      </c>
      <c r="AI50" s="74">
        <v>0</v>
      </c>
    </row>
    <row r="51" spans="1:35" ht="24.95" customHeight="1" x14ac:dyDescent="0.25">
      <c r="A51" s="65"/>
      <c r="B51" s="8">
        <f>'Measurement Sheet (Explained)'!B50</f>
        <v>5.0299999999999994</v>
      </c>
      <c r="C51" s="75" t="str">
        <f>'Measurement Sheet (Explained)'!C50</f>
        <v>Sand Bedding &amp; Levelling</v>
      </c>
      <c r="D51" s="8" t="str">
        <f>'Measurement Sheet (Explained)'!D50</f>
        <v>LM</v>
      </c>
      <c r="E51" s="137">
        <f>E50</f>
        <v>781.1400000000001</v>
      </c>
      <c r="F51" s="9">
        <f>'Measurement Sheet (Explained)'!E50</f>
        <v>379.88</v>
      </c>
      <c r="G51" s="20">
        <f>'Measurement Sheet (Explained)'!G50</f>
        <v>1</v>
      </c>
      <c r="H51" s="130">
        <f>'Measurement Sheet (Explained)'!H50</f>
        <v>0</v>
      </c>
      <c r="I51" s="141">
        <v>0</v>
      </c>
      <c r="J51" s="20">
        <f>'Measurement Sheet (Explained)'!J50</f>
        <v>0</v>
      </c>
      <c r="K51" s="141">
        <f t="shared" si="10"/>
        <v>0</v>
      </c>
      <c r="L51" s="130">
        <f>'Measurement Sheet (Explained)'!L50</f>
        <v>0</v>
      </c>
      <c r="M51" s="20">
        <f>'Measurement Sheet (Explained)'!M50</f>
        <v>0</v>
      </c>
      <c r="N51" s="9">
        <f>'Measurement Sheet (Explained)'!N50</f>
        <v>0</v>
      </c>
      <c r="O51" s="20">
        <f>'Measurement Sheet (Explained)'!O50</f>
        <v>0</v>
      </c>
      <c r="P51" s="9">
        <f>'Measurement Sheet (Explained)'!P50</f>
        <v>379.88</v>
      </c>
      <c r="Q51" s="21">
        <f>'Measurement Sheet (Explained)'!Q50</f>
        <v>1</v>
      </c>
      <c r="R51" s="21">
        <v>8.0000000000000002E-3</v>
      </c>
      <c r="S51" s="83">
        <f t="shared" si="11"/>
        <v>51276.427080000001</v>
      </c>
      <c r="T51" s="145">
        <v>0</v>
      </c>
      <c r="U51" s="116">
        <f t="shared" si="12"/>
        <v>0</v>
      </c>
      <c r="V51" s="116">
        <f t="shared" si="13"/>
        <v>0</v>
      </c>
      <c r="W51" s="116">
        <f t="shared" si="14"/>
        <v>0</v>
      </c>
      <c r="X51" s="116">
        <f t="shared" si="15"/>
        <v>51276.427080000001</v>
      </c>
      <c r="Y51" s="10" t="str">
        <f>IF(ISBLANK('Measurement Sheet (Explained)'!R50),"",'Measurement Sheet (Explained)'!R50)</f>
        <v/>
      </c>
      <c r="Z51" s="58"/>
      <c r="AF51" s="9">
        <v>0</v>
      </c>
      <c r="AH51" s="74">
        <v>0</v>
      </c>
      <c r="AI51" s="74">
        <v>0</v>
      </c>
    </row>
    <row r="52" spans="1:35" ht="24.95" customHeight="1" x14ac:dyDescent="0.25">
      <c r="A52" s="65"/>
      <c r="B52" s="8">
        <f>'Measurement Sheet (Explained)'!B51</f>
        <v>5.0399999999999991</v>
      </c>
      <c r="C52" s="75" t="str">
        <f>'Measurement Sheet (Explained)'!C51</f>
        <v>Cable Pulling</v>
      </c>
      <c r="D52" s="8" t="str">
        <f>'Measurement Sheet (Explained)'!D51</f>
        <v>LM</v>
      </c>
      <c r="E52" s="139">
        <v>3443</v>
      </c>
      <c r="F52" s="37">
        <f>'Measurement Sheet (Explained)'!E51</f>
        <v>1139.6399999999999</v>
      </c>
      <c r="G52" s="20">
        <f>'Measurement Sheet (Explained)'!G51</f>
        <v>1</v>
      </c>
      <c r="H52" s="130">
        <f>'Measurement Sheet (Explained)'!H51</f>
        <v>0</v>
      </c>
      <c r="I52" s="143">
        <v>0</v>
      </c>
      <c r="J52" s="20">
        <f>'Measurement Sheet (Explained)'!J51</f>
        <v>0</v>
      </c>
      <c r="K52" s="143">
        <f t="shared" si="10"/>
        <v>0</v>
      </c>
      <c r="L52" s="130">
        <f>'Measurement Sheet (Explained)'!L51</f>
        <v>0</v>
      </c>
      <c r="M52" s="20">
        <f>'Measurement Sheet (Explained)'!M51</f>
        <v>0</v>
      </c>
      <c r="N52" s="9">
        <f>'Measurement Sheet (Explained)'!N51</f>
        <v>0</v>
      </c>
      <c r="O52" s="20">
        <f>'Measurement Sheet (Explained)'!O51</f>
        <v>0</v>
      </c>
      <c r="P52" s="9">
        <f>'Measurement Sheet (Explained)'!P51</f>
        <v>1139.6399999999999</v>
      </c>
      <c r="Q52" s="21">
        <f>'Measurement Sheet (Explained)'!Q51</f>
        <v>1</v>
      </c>
      <c r="R52" s="21">
        <v>1.2E-2</v>
      </c>
      <c r="S52" s="83">
        <f t="shared" si="11"/>
        <v>76914.640620000006</v>
      </c>
      <c r="T52" s="145">
        <v>0</v>
      </c>
      <c r="U52" s="116">
        <f t="shared" si="12"/>
        <v>0</v>
      </c>
      <c r="V52" s="116">
        <f t="shared" si="13"/>
        <v>0</v>
      </c>
      <c r="W52" s="116">
        <f t="shared" si="14"/>
        <v>0</v>
      </c>
      <c r="X52" s="116">
        <f t="shared" si="15"/>
        <v>76914.640620000006</v>
      </c>
      <c r="Y52" s="10" t="str">
        <f>IF(ISBLANK('Measurement Sheet (Explained)'!R51),"",'Measurement Sheet (Explained)'!R51)</f>
        <v/>
      </c>
      <c r="Z52" s="58"/>
      <c r="AF52" s="9">
        <v>0</v>
      </c>
      <c r="AH52" s="74">
        <v>0</v>
      </c>
      <c r="AI52" s="74">
        <v>0</v>
      </c>
    </row>
    <row r="53" spans="1:35" ht="24.95" customHeight="1" x14ac:dyDescent="0.25">
      <c r="A53" s="65"/>
      <c r="B53" s="8">
        <f>'Measurement Sheet (Explained)'!B52</f>
        <v>5.0499999999999989</v>
      </c>
      <c r="C53" s="75" t="str">
        <f>'Measurement Sheet (Explained)'!C52</f>
        <v>Sand Cover</v>
      </c>
      <c r="D53" s="8" t="str">
        <f>'Measurement Sheet (Explained)'!D52</f>
        <v>LM</v>
      </c>
      <c r="E53" s="137">
        <f>E51</f>
        <v>781.1400000000001</v>
      </c>
      <c r="F53" s="9">
        <f>'Measurement Sheet (Explained)'!E52</f>
        <v>379.88</v>
      </c>
      <c r="G53" s="20">
        <f>'Measurement Sheet (Explained)'!G52</f>
        <v>1</v>
      </c>
      <c r="H53" s="130">
        <f>'Measurement Sheet (Explained)'!H52</f>
        <v>0</v>
      </c>
      <c r="I53" s="141">
        <v>0</v>
      </c>
      <c r="J53" s="20">
        <f>'Measurement Sheet (Explained)'!J52</f>
        <v>0</v>
      </c>
      <c r="K53" s="141">
        <f t="shared" si="10"/>
        <v>0</v>
      </c>
      <c r="L53" s="130">
        <f>'Measurement Sheet (Explained)'!L52</f>
        <v>0</v>
      </c>
      <c r="M53" s="20">
        <f>'Measurement Sheet (Explained)'!M52</f>
        <v>0</v>
      </c>
      <c r="N53" s="9">
        <f>'Measurement Sheet (Explained)'!N52</f>
        <v>0</v>
      </c>
      <c r="O53" s="20">
        <f>'Measurement Sheet (Explained)'!O52</f>
        <v>0</v>
      </c>
      <c r="P53" s="9">
        <f>'Measurement Sheet (Explained)'!P52</f>
        <v>379.88</v>
      </c>
      <c r="Q53" s="21">
        <f>'Measurement Sheet (Explained)'!Q52</f>
        <v>1</v>
      </c>
      <c r="R53" s="21">
        <v>5.0000000000000001E-3</v>
      </c>
      <c r="S53" s="83">
        <f t="shared" si="11"/>
        <v>32047.766925</v>
      </c>
      <c r="T53" s="145">
        <v>0</v>
      </c>
      <c r="U53" s="116">
        <f t="shared" si="12"/>
        <v>0</v>
      </c>
      <c r="V53" s="116">
        <f t="shared" si="13"/>
        <v>0</v>
      </c>
      <c r="W53" s="116">
        <f t="shared" si="14"/>
        <v>0</v>
      </c>
      <c r="X53" s="116">
        <f t="shared" si="15"/>
        <v>32047.766925</v>
      </c>
      <c r="Y53" s="10" t="str">
        <f>IF(ISBLANK('Measurement Sheet (Explained)'!R52),"",'Measurement Sheet (Explained)'!R52)</f>
        <v/>
      </c>
      <c r="Z53" s="58"/>
      <c r="AF53" s="9">
        <v>0</v>
      </c>
      <c r="AH53" s="74">
        <v>0</v>
      </c>
      <c r="AI53" s="74">
        <v>0</v>
      </c>
    </row>
    <row r="54" spans="1:35" ht="24.95" customHeight="1" x14ac:dyDescent="0.25">
      <c r="A54" s="65"/>
      <c r="B54" s="8">
        <f>'Measurement Sheet (Explained)'!B53</f>
        <v>5.0599999999999987</v>
      </c>
      <c r="C54" s="75" t="str">
        <f>'Measurement Sheet (Explained)'!C53</f>
        <v>Laying Tiles</v>
      </c>
      <c r="D54" s="8" t="str">
        <f>'Measurement Sheet (Explained)'!D53</f>
        <v>LM</v>
      </c>
      <c r="E54" s="137">
        <f>E53</f>
        <v>781.1400000000001</v>
      </c>
      <c r="F54" s="9">
        <f>'Measurement Sheet (Explained)'!E53</f>
        <v>379.88</v>
      </c>
      <c r="G54" s="20">
        <f>'Measurement Sheet (Explained)'!G53</f>
        <v>1</v>
      </c>
      <c r="H54" s="130">
        <f>'Measurement Sheet (Explained)'!H53</f>
        <v>0</v>
      </c>
      <c r="I54" s="141">
        <v>0</v>
      </c>
      <c r="J54" s="20">
        <f>'Measurement Sheet (Explained)'!J53</f>
        <v>0</v>
      </c>
      <c r="K54" s="141">
        <f t="shared" si="10"/>
        <v>0</v>
      </c>
      <c r="L54" s="130">
        <f>'Measurement Sheet (Explained)'!L53</f>
        <v>0</v>
      </c>
      <c r="M54" s="20">
        <f>'Measurement Sheet (Explained)'!M53</f>
        <v>0</v>
      </c>
      <c r="N54" s="9">
        <f>'Measurement Sheet (Explained)'!N53</f>
        <v>0</v>
      </c>
      <c r="O54" s="20">
        <f>'Measurement Sheet (Explained)'!O53</f>
        <v>0</v>
      </c>
      <c r="P54" s="9">
        <f>'Measurement Sheet (Explained)'!P53</f>
        <v>379.88</v>
      </c>
      <c r="Q54" s="21">
        <f>'Measurement Sheet (Explained)'!Q53</f>
        <v>1</v>
      </c>
      <c r="R54" s="21">
        <v>5.0000000000000001E-3</v>
      </c>
      <c r="S54" s="83">
        <f t="shared" si="11"/>
        <v>32047.766925</v>
      </c>
      <c r="T54" s="145">
        <v>0</v>
      </c>
      <c r="U54" s="116">
        <f t="shared" si="12"/>
        <v>0</v>
      </c>
      <c r="V54" s="116">
        <f t="shared" si="13"/>
        <v>0</v>
      </c>
      <c r="W54" s="116">
        <f t="shared" si="14"/>
        <v>0</v>
      </c>
      <c r="X54" s="116">
        <f t="shared" si="15"/>
        <v>32047.766925</v>
      </c>
      <c r="Y54" s="10" t="str">
        <f>IF(ISBLANK('Measurement Sheet (Explained)'!R53),"",'Measurement Sheet (Explained)'!R53)</f>
        <v/>
      </c>
      <c r="Z54" s="58"/>
      <c r="AF54" s="9">
        <v>0</v>
      </c>
      <c r="AH54" s="74">
        <v>0</v>
      </c>
      <c r="AI54" s="74">
        <v>0</v>
      </c>
    </row>
    <row r="55" spans="1:35" ht="24.95" customHeight="1" x14ac:dyDescent="0.25">
      <c r="A55" s="65"/>
      <c r="B55" s="8">
        <f>'Measurement Sheet (Explained)'!B54</f>
        <v>5.0699999999999985</v>
      </c>
      <c r="C55" s="75" t="str">
        <f>'Measurement Sheet (Explained)'!C54</f>
        <v>Sand Cover</v>
      </c>
      <c r="D55" s="8" t="str">
        <f>'Measurement Sheet (Explained)'!D54</f>
        <v>LM</v>
      </c>
      <c r="E55" s="137">
        <f>E54</f>
        <v>781.1400000000001</v>
      </c>
      <c r="F55" s="9">
        <f>'Measurement Sheet (Explained)'!E54</f>
        <v>379.88</v>
      </c>
      <c r="G55" s="20">
        <f>'Measurement Sheet (Explained)'!G54</f>
        <v>1</v>
      </c>
      <c r="H55" s="130">
        <f>'Measurement Sheet (Explained)'!H54</f>
        <v>0</v>
      </c>
      <c r="I55" s="141">
        <v>0</v>
      </c>
      <c r="J55" s="20">
        <f>'Measurement Sheet (Explained)'!J54</f>
        <v>0</v>
      </c>
      <c r="K55" s="141">
        <f t="shared" si="10"/>
        <v>0</v>
      </c>
      <c r="L55" s="130">
        <f>'Measurement Sheet (Explained)'!L54</f>
        <v>0</v>
      </c>
      <c r="M55" s="20">
        <f>'Measurement Sheet (Explained)'!M54</f>
        <v>0</v>
      </c>
      <c r="N55" s="9">
        <f>'Measurement Sheet (Explained)'!N54</f>
        <v>0</v>
      </c>
      <c r="O55" s="20">
        <f>'Measurement Sheet (Explained)'!O54</f>
        <v>0</v>
      </c>
      <c r="P55" s="9">
        <f>'Measurement Sheet (Explained)'!P54</f>
        <v>379.88</v>
      </c>
      <c r="Q55" s="21">
        <f>'Measurement Sheet (Explained)'!Q54</f>
        <v>1</v>
      </c>
      <c r="R55" s="21">
        <v>5.0000000000000001E-3</v>
      </c>
      <c r="S55" s="83">
        <f t="shared" si="11"/>
        <v>32047.766925</v>
      </c>
      <c r="T55" s="145">
        <v>0</v>
      </c>
      <c r="U55" s="116">
        <f t="shared" si="12"/>
        <v>0</v>
      </c>
      <c r="V55" s="116">
        <f t="shared" si="13"/>
        <v>0</v>
      </c>
      <c r="W55" s="116">
        <f t="shared" si="14"/>
        <v>0</v>
      </c>
      <c r="X55" s="116">
        <f t="shared" si="15"/>
        <v>32047.766925</v>
      </c>
      <c r="Y55" s="10" t="str">
        <f>IF(ISBLANK('Measurement Sheet (Explained)'!R54),"",'Measurement Sheet (Explained)'!R54)</f>
        <v/>
      </c>
      <c r="Z55" s="58"/>
      <c r="AF55" s="9">
        <v>0</v>
      </c>
      <c r="AH55" s="74">
        <v>0</v>
      </c>
      <c r="AI55" s="74">
        <v>0</v>
      </c>
    </row>
    <row r="56" spans="1:35" ht="24.95" customHeight="1" x14ac:dyDescent="0.25">
      <c r="A56" s="65"/>
      <c r="B56" s="8">
        <f>'Measurement Sheet (Explained)'!B55</f>
        <v>5.0799999999999983</v>
      </c>
      <c r="C56" s="75" t="str">
        <f>'Measurement Sheet (Explained)'!C55</f>
        <v>Laying Warning Tapes</v>
      </c>
      <c r="D56" s="8" t="str">
        <f>'Measurement Sheet (Explained)'!D55</f>
        <v>LM</v>
      </c>
      <c r="E56" s="137">
        <f>E55</f>
        <v>781.1400000000001</v>
      </c>
      <c r="F56" s="9">
        <f>'Measurement Sheet (Explained)'!E55</f>
        <v>379.88</v>
      </c>
      <c r="G56" s="20">
        <f>'Measurement Sheet (Explained)'!G55</f>
        <v>1</v>
      </c>
      <c r="H56" s="130">
        <f>'Measurement Sheet (Explained)'!H55</f>
        <v>0</v>
      </c>
      <c r="I56" s="141">
        <v>0</v>
      </c>
      <c r="J56" s="20">
        <f>'Measurement Sheet (Explained)'!J55</f>
        <v>0</v>
      </c>
      <c r="K56" s="141">
        <f t="shared" si="10"/>
        <v>0</v>
      </c>
      <c r="L56" s="130">
        <f>'Measurement Sheet (Explained)'!L55</f>
        <v>0</v>
      </c>
      <c r="M56" s="20">
        <f>'Measurement Sheet (Explained)'!M55</f>
        <v>0</v>
      </c>
      <c r="N56" s="9">
        <f>'Measurement Sheet (Explained)'!N55</f>
        <v>0</v>
      </c>
      <c r="O56" s="20">
        <f>'Measurement Sheet (Explained)'!O55</f>
        <v>0</v>
      </c>
      <c r="P56" s="9">
        <f>'Measurement Sheet (Explained)'!P55</f>
        <v>379.88</v>
      </c>
      <c r="Q56" s="21">
        <f>'Measurement Sheet (Explained)'!Q55</f>
        <v>1</v>
      </c>
      <c r="R56" s="21">
        <v>5.0000000000000001E-3</v>
      </c>
      <c r="S56" s="83">
        <f t="shared" si="11"/>
        <v>32047.766925</v>
      </c>
      <c r="T56" s="145">
        <v>0</v>
      </c>
      <c r="U56" s="116">
        <f t="shared" si="12"/>
        <v>0</v>
      </c>
      <c r="V56" s="116">
        <f t="shared" si="13"/>
        <v>0</v>
      </c>
      <c r="W56" s="116">
        <f t="shared" si="14"/>
        <v>0</v>
      </c>
      <c r="X56" s="116">
        <f t="shared" si="15"/>
        <v>32047.766925</v>
      </c>
      <c r="Y56" s="10" t="str">
        <f>IF(ISBLANK('Measurement Sheet (Explained)'!R55),"",'Measurement Sheet (Explained)'!R55)</f>
        <v/>
      </c>
      <c r="Z56" s="58"/>
      <c r="AF56" s="9">
        <v>0</v>
      </c>
      <c r="AH56" s="74">
        <v>0</v>
      </c>
      <c r="AI56" s="74">
        <v>0</v>
      </c>
    </row>
    <row r="57" spans="1:35" ht="24.95" customHeight="1" x14ac:dyDescent="0.25">
      <c r="A57" s="65"/>
      <c r="B57" s="8">
        <f>'Measurement Sheet (Explained)'!B56</f>
        <v>5.0899999999999981</v>
      </c>
      <c r="C57" s="75" t="str">
        <f>'Measurement Sheet (Explained)'!C56</f>
        <v>Final Backfilling</v>
      </c>
      <c r="D57" s="8" t="str">
        <f>'Measurement Sheet (Explained)'!D56</f>
        <v>LM</v>
      </c>
      <c r="E57" s="137">
        <f>E56</f>
        <v>781.1400000000001</v>
      </c>
      <c r="F57" s="9">
        <f>'Measurement Sheet (Explained)'!E56</f>
        <v>379.88</v>
      </c>
      <c r="G57" s="20">
        <f>'Measurement Sheet (Explained)'!G56</f>
        <v>1</v>
      </c>
      <c r="H57" s="130">
        <f>'Measurement Sheet (Explained)'!H56</f>
        <v>0</v>
      </c>
      <c r="I57" s="141">
        <v>0</v>
      </c>
      <c r="J57" s="20">
        <f>'Measurement Sheet (Explained)'!J56</f>
        <v>0</v>
      </c>
      <c r="K57" s="141">
        <f t="shared" si="10"/>
        <v>0</v>
      </c>
      <c r="L57" s="130">
        <f>'Measurement Sheet (Explained)'!L56</f>
        <v>0</v>
      </c>
      <c r="M57" s="20">
        <f>'Measurement Sheet (Explained)'!M56</f>
        <v>0</v>
      </c>
      <c r="N57" s="9">
        <f>'Measurement Sheet (Explained)'!N56</f>
        <v>0</v>
      </c>
      <c r="O57" s="20">
        <f>'Measurement Sheet (Explained)'!O56</f>
        <v>0</v>
      </c>
      <c r="P57" s="9">
        <f>'Measurement Sheet (Explained)'!P56</f>
        <v>379.88</v>
      </c>
      <c r="Q57" s="21">
        <f>'Measurement Sheet (Explained)'!Q56</f>
        <v>1</v>
      </c>
      <c r="R57" s="21">
        <v>0.01</v>
      </c>
      <c r="S57" s="83">
        <f t="shared" si="11"/>
        <v>64095.53385</v>
      </c>
      <c r="T57" s="145">
        <v>0</v>
      </c>
      <c r="U57" s="116">
        <f t="shared" si="12"/>
        <v>0</v>
      </c>
      <c r="V57" s="116">
        <f t="shared" si="13"/>
        <v>0</v>
      </c>
      <c r="W57" s="116">
        <f t="shared" si="14"/>
        <v>0</v>
      </c>
      <c r="X57" s="116">
        <f t="shared" si="15"/>
        <v>64095.53385</v>
      </c>
      <c r="Y57" s="10" t="str">
        <f>IF(ISBLANK('Measurement Sheet (Explained)'!R56),"",'Measurement Sheet (Explained)'!R56)</f>
        <v/>
      </c>
      <c r="Z57" s="58"/>
      <c r="AF57" s="9">
        <v>0</v>
      </c>
      <c r="AH57" s="74">
        <v>0</v>
      </c>
      <c r="AI57" s="74">
        <v>0</v>
      </c>
    </row>
    <row r="58" spans="1:35" ht="24.95" customHeight="1" x14ac:dyDescent="0.25">
      <c r="A58" s="65"/>
      <c r="B58" s="8">
        <f>'Measurement Sheet (Explained)'!B57</f>
        <v>5.0999999999999979</v>
      </c>
      <c r="C58" s="75" t="str">
        <f>'Measurement Sheet (Explained)'!C57</f>
        <v>Excavation for DER Grounding Pit</v>
      </c>
      <c r="D58" s="8" t="str">
        <f>'Measurement Sheet (Explained)'!D57</f>
        <v>NOS</v>
      </c>
      <c r="E58" s="137">
        <v>32</v>
      </c>
      <c r="F58" s="9">
        <f>'Measurement Sheet (Explained)'!E57</f>
        <v>10</v>
      </c>
      <c r="G58" s="20">
        <f>'Measurement Sheet (Explained)'!G57</f>
        <v>1</v>
      </c>
      <c r="H58" s="130">
        <f>'Measurement Sheet (Explained)'!H57</f>
        <v>0</v>
      </c>
      <c r="I58" s="141">
        <v>0</v>
      </c>
      <c r="J58" s="20">
        <f>'Measurement Sheet (Explained)'!J57</f>
        <v>0</v>
      </c>
      <c r="K58" s="141">
        <f t="shared" si="10"/>
        <v>0</v>
      </c>
      <c r="L58" s="130">
        <f>'Measurement Sheet (Explained)'!L57</f>
        <v>0</v>
      </c>
      <c r="M58" s="20">
        <f>'Measurement Sheet (Explained)'!M57</f>
        <v>0</v>
      </c>
      <c r="N58" s="9">
        <f>'Measurement Sheet (Explained)'!N57</f>
        <v>0</v>
      </c>
      <c r="O58" s="20">
        <f>'Measurement Sheet (Explained)'!O57</f>
        <v>0</v>
      </c>
      <c r="P58" s="9">
        <f>'Measurement Sheet (Explained)'!P57</f>
        <v>10</v>
      </c>
      <c r="Q58" s="21">
        <f>'Measurement Sheet (Explained)'!Q57</f>
        <v>1</v>
      </c>
      <c r="R58" s="21">
        <v>1.4999999999999999E-2</v>
      </c>
      <c r="S58" s="83">
        <f t="shared" si="11"/>
        <v>96143.300774999996</v>
      </c>
      <c r="T58" s="145">
        <v>0</v>
      </c>
      <c r="U58" s="116">
        <f t="shared" si="12"/>
        <v>0</v>
      </c>
      <c r="V58" s="116">
        <f t="shared" si="13"/>
        <v>0</v>
      </c>
      <c r="W58" s="116">
        <f t="shared" si="14"/>
        <v>0</v>
      </c>
      <c r="X58" s="116">
        <f t="shared" si="15"/>
        <v>96143.300774999996</v>
      </c>
      <c r="Y58" s="10" t="str">
        <f>IF(ISBLANK('Measurement Sheet (Explained)'!R57),"",'Measurement Sheet (Explained)'!R57)</f>
        <v/>
      </c>
      <c r="Z58" s="58"/>
      <c r="AF58" s="9">
        <v>0</v>
      </c>
      <c r="AH58" s="74">
        <v>0</v>
      </c>
      <c r="AI58" s="74">
        <v>0</v>
      </c>
    </row>
    <row r="59" spans="1:35" ht="24.95" customHeight="1" x14ac:dyDescent="0.25">
      <c r="A59" s="65"/>
      <c r="B59" s="8">
        <f>'Measurement Sheet (Explained)'!B58</f>
        <v>5.1099999999999977</v>
      </c>
      <c r="C59" s="75" t="str">
        <f>'Measurement Sheet (Explained)'!C58</f>
        <v>Termination with both DER</v>
      </c>
      <c r="D59" s="8" t="str">
        <f>'Measurement Sheet (Explained)'!D58</f>
        <v>NOS</v>
      </c>
      <c r="E59" s="137">
        <f>E58*3</f>
        <v>96</v>
      </c>
      <c r="F59" s="9">
        <f>'Measurement Sheet (Explained)'!E58</f>
        <v>30</v>
      </c>
      <c r="G59" s="20">
        <f>'Measurement Sheet (Explained)'!G58</f>
        <v>1</v>
      </c>
      <c r="H59" s="130">
        <f>'Measurement Sheet (Explained)'!H58</f>
        <v>0</v>
      </c>
      <c r="I59" s="141">
        <v>0</v>
      </c>
      <c r="J59" s="20">
        <f>'Measurement Sheet (Explained)'!J58</f>
        <v>0</v>
      </c>
      <c r="K59" s="141">
        <f t="shared" si="10"/>
        <v>0</v>
      </c>
      <c r="L59" s="130">
        <f>'Measurement Sheet (Explained)'!L58</f>
        <v>0</v>
      </c>
      <c r="M59" s="20">
        <f>'Measurement Sheet (Explained)'!M58</f>
        <v>0</v>
      </c>
      <c r="N59" s="9">
        <f>'Measurement Sheet (Explained)'!N58</f>
        <v>0</v>
      </c>
      <c r="O59" s="20">
        <f>'Measurement Sheet (Explained)'!O58</f>
        <v>0</v>
      </c>
      <c r="P59" s="9">
        <f>'Measurement Sheet (Explained)'!P58</f>
        <v>30</v>
      </c>
      <c r="Q59" s="21">
        <f>'Measurement Sheet (Explained)'!Q58</f>
        <v>1</v>
      </c>
      <c r="R59" s="21">
        <v>1.4999999999999999E-2</v>
      </c>
      <c r="S59" s="83">
        <f t="shared" si="11"/>
        <v>96143.300774999996</v>
      </c>
      <c r="T59" s="145">
        <v>0</v>
      </c>
      <c r="U59" s="116">
        <f t="shared" si="12"/>
        <v>0</v>
      </c>
      <c r="V59" s="116">
        <f t="shared" si="13"/>
        <v>0</v>
      </c>
      <c r="W59" s="116">
        <f t="shared" si="14"/>
        <v>0</v>
      </c>
      <c r="X59" s="116">
        <f t="shared" si="15"/>
        <v>96143.300774999996</v>
      </c>
      <c r="Y59" s="10" t="str">
        <f>IF(ISBLANK('Measurement Sheet (Explained)'!R58),"",'Measurement Sheet (Explained)'!R58)</f>
        <v/>
      </c>
      <c r="Z59" s="58"/>
      <c r="AF59" s="9">
        <v>0</v>
      </c>
      <c r="AH59" s="74">
        <v>0</v>
      </c>
      <c r="AI59" s="74">
        <v>0</v>
      </c>
    </row>
    <row r="60" spans="1:35" ht="38.25" customHeight="1" x14ac:dyDescent="0.25">
      <c r="A60" s="65"/>
      <c r="B60" s="169" t="str">
        <f>'Measurement Sheet (Explained)'!B59</f>
        <v>Total</v>
      </c>
      <c r="C60" s="168"/>
      <c r="D60" s="76"/>
      <c r="E60" s="76"/>
      <c r="F60" s="31"/>
      <c r="G60" s="77"/>
      <c r="H60" s="26"/>
      <c r="I60" s="144"/>
      <c r="J60" s="26"/>
      <c r="K60" s="144"/>
      <c r="L60" s="31"/>
      <c r="M60" s="26"/>
      <c r="N60" s="26"/>
      <c r="O60" s="26"/>
      <c r="P60" s="26"/>
      <c r="Q60" s="26"/>
      <c r="R60" s="26">
        <f t="shared" ref="R60:X60" si="16">SUM(R13:R59)</f>
        <v>1.0000000000000004</v>
      </c>
      <c r="S60" s="85">
        <f t="shared" si="16"/>
        <v>6409553.384999997</v>
      </c>
      <c r="T60" s="146">
        <f t="shared" si="16"/>
        <v>1958936.905112253</v>
      </c>
      <c r="U60" s="85">
        <f t="shared" si="16"/>
        <v>1994918.0324888388</v>
      </c>
      <c r="V60" s="85">
        <f t="shared" si="16"/>
        <v>371690.58654263249</v>
      </c>
      <c r="W60" s="85">
        <f t="shared" si="16"/>
        <v>2330627.4916548855</v>
      </c>
      <c r="X60" s="85">
        <f t="shared" si="16"/>
        <v>4078925.8933451129</v>
      </c>
      <c r="Y60" s="26"/>
      <c r="Z60" s="58"/>
      <c r="AH60" s="74"/>
      <c r="AI60" s="74"/>
    </row>
    <row r="61" spans="1:35" ht="15.75" customHeight="1" x14ac:dyDescent="0.25">
      <c r="A61" s="65"/>
      <c r="F61" s="57"/>
      <c r="Z61" s="58"/>
    </row>
    <row r="62" spans="1:35" ht="18" customHeight="1" x14ac:dyDescent="0.25">
      <c r="A62" s="65"/>
      <c r="B62" s="41" t="s">
        <v>78</v>
      </c>
      <c r="C62" s="42"/>
      <c r="D62" s="42"/>
      <c r="E62" s="42"/>
      <c r="F62" s="43"/>
      <c r="G62" s="44"/>
      <c r="H62" s="45"/>
      <c r="I62" s="45"/>
      <c r="J62" s="45"/>
      <c r="K62" s="45"/>
      <c r="L62" s="133"/>
      <c r="M62" s="45"/>
      <c r="N62" s="45"/>
      <c r="O62" s="45"/>
      <c r="P62" s="45"/>
      <c r="Q62" s="45"/>
      <c r="R62" s="45"/>
      <c r="S62" s="86"/>
      <c r="T62" s="86"/>
      <c r="U62" s="118"/>
      <c r="V62" s="118"/>
      <c r="W62" s="118"/>
      <c r="X62" s="118"/>
      <c r="Y62" s="46"/>
      <c r="Z62" s="58"/>
    </row>
    <row r="63" spans="1:35" ht="16.5" customHeight="1" x14ac:dyDescent="0.25">
      <c r="A63" s="65"/>
      <c r="B63" s="47" t="s">
        <v>79</v>
      </c>
      <c r="C63" s="48"/>
      <c r="D63" s="48"/>
      <c r="E63" s="48"/>
      <c r="F63" s="48" t="s">
        <v>47</v>
      </c>
      <c r="H63" s="49"/>
      <c r="I63" s="49"/>
      <c r="J63" s="49"/>
      <c r="K63" s="49"/>
      <c r="L63" s="134"/>
      <c r="M63" s="48" t="s">
        <v>80</v>
      </c>
      <c r="N63" s="49"/>
      <c r="O63" s="49"/>
      <c r="P63" s="49"/>
      <c r="Q63" s="49"/>
      <c r="R63" s="49"/>
      <c r="S63" s="80"/>
      <c r="T63" s="80"/>
      <c r="U63" s="113"/>
      <c r="V63" s="113"/>
      <c r="W63" s="113"/>
      <c r="X63" s="113"/>
      <c r="Y63" s="50"/>
      <c r="Z63" s="58"/>
    </row>
    <row r="64" spans="1:35" ht="17.25" customHeight="1" x14ac:dyDescent="0.25">
      <c r="A64" s="65"/>
      <c r="B64" s="47" t="s">
        <v>48</v>
      </c>
      <c r="C64" s="48"/>
      <c r="D64" s="48"/>
      <c r="E64" s="48"/>
      <c r="F64" s="48" t="s">
        <v>50</v>
      </c>
      <c r="H64" s="49"/>
      <c r="I64" s="49"/>
      <c r="J64" s="49"/>
      <c r="K64" s="49"/>
      <c r="L64" s="134"/>
      <c r="M64" s="48" t="s">
        <v>49</v>
      </c>
      <c r="N64" s="49"/>
      <c r="O64" s="49"/>
      <c r="P64" s="49"/>
      <c r="Q64" s="49"/>
      <c r="R64" s="49"/>
      <c r="S64" s="80"/>
      <c r="T64" s="80"/>
      <c r="U64" s="113"/>
      <c r="V64" s="113"/>
      <c r="W64" s="113"/>
      <c r="X64" s="113"/>
      <c r="Y64" s="50"/>
      <c r="Z64" s="58"/>
    </row>
    <row r="65" spans="1:26" ht="41.25" customHeight="1" x14ac:dyDescent="0.25">
      <c r="A65" s="65"/>
      <c r="B65" s="51"/>
      <c r="C65" s="52"/>
      <c r="D65" s="52"/>
      <c r="E65" s="52"/>
      <c r="F65" s="53"/>
      <c r="G65" s="54"/>
      <c r="H65" s="55"/>
      <c r="I65" s="55"/>
      <c r="J65" s="55"/>
      <c r="K65" s="55"/>
      <c r="L65" s="135"/>
      <c r="M65" s="55"/>
      <c r="N65" s="55"/>
      <c r="O65" s="55"/>
      <c r="P65" s="55"/>
      <c r="Q65" s="55"/>
      <c r="R65" s="55"/>
      <c r="S65" s="87"/>
      <c r="T65" s="87"/>
      <c r="U65" s="119"/>
      <c r="V65" s="119"/>
      <c r="W65" s="119"/>
      <c r="X65" s="119"/>
      <c r="Y65" s="56"/>
      <c r="Z65" s="58"/>
    </row>
    <row r="66" spans="1:26" ht="18" customHeight="1" x14ac:dyDescent="0.25">
      <c r="A66" s="65"/>
      <c r="B66" s="41" t="s">
        <v>59</v>
      </c>
      <c r="C66" s="42"/>
      <c r="D66" s="42"/>
      <c r="E66" s="42"/>
      <c r="F66" s="43"/>
      <c r="G66" s="44"/>
      <c r="H66" s="45"/>
      <c r="I66" s="45"/>
      <c r="J66" s="45"/>
      <c r="K66" s="45"/>
      <c r="L66" s="133"/>
      <c r="M66" s="45"/>
      <c r="N66" s="45"/>
      <c r="O66" s="45"/>
      <c r="P66" s="45"/>
      <c r="Q66" s="45"/>
      <c r="R66" s="45"/>
      <c r="S66" s="86"/>
      <c r="T66" s="86"/>
      <c r="U66" s="118"/>
      <c r="V66" s="118"/>
      <c r="W66" s="118"/>
      <c r="X66" s="118"/>
      <c r="Y66" s="46"/>
      <c r="Z66" s="58"/>
    </row>
    <row r="67" spans="1:26" ht="18.75" customHeight="1" x14ac:dyDescent="0.25">
      <c r="A67" s="65"/>
      <c r="B67" s="47" t="s">
        <v>81</v>
      </c>
      <c r="C67" s="48"/>
      <c r="D67" s="48"/>
      <c r="E67" s="48"/>
      <c r="F67" s="48" t="s">
        <v>47</v>
      </c>
      <c r="H67" s="49"/>
      <c r="I67" s="49"/>
      <c r="J67" s="49"/>
      <c r="K67" s="49"/>
      <c r="L67" s="134"/>
      <c r="M67" s="48" t="s">
        <v>80</v>
      </c>
      <c r="N67" s="49"/>
      <c r="O67" s="49"/>
      <c r="P67" s="49"/>
      <c r="Q67" s="49"/>
      <c r="R67" s="49"/>
      <c r="S67" s="80"/>
      <c r="T67" s="80"/>
      <c r="U67" s="113"/>
      <c r="V67" s="113"/>
      <c r="W67" s="113"/>
      <c r="X67" s="113"/>
      <c r="Y67" s="50"/>
      <c r="Z67" s="58"/>
    </row>
    <row r="68" spans="1:26" ht="14.45" customHeight="1" x14ac:dyDescent="0.25">
      <c r="A68" s="65"/>
      <c r="B68" s="47" t="s">
        <v>82</v>
      </c>
      <c r="F68" s="48" t="s">
        <v>50</v>
      </c>
      <c r="M68" s="48" t="s">
        <v>49</v>
      </c>
      <c r="S68" s="80"/>
      <c r="T68" s="80"/>
      <c r="Y68" s="58"/>
      <c r="Z68" s="58"/>
    </row>
    <row r="69" spans="1:26" ht="55.5" customHeight="1" x14ac:dyDescent="0.25">
      <c r="A69" s="65"/>
      <c r="B69" s="59"/>
      <c r="C69" s="60"/>
      <c r="D69" s="60"/>
      <c r="E69" s="60"/>
      <c r="F69" s="53"/>
      <c r="G69" s="54"/>
      <c r="H69" s="54"/>
      <c r="I69" s="54"/>
      <c r="J69" s="54"/>
      <c r="K69" s="54"/>
      <c r="L69" s="53"/>
      <c r="M69" s="54"/>
      <c r="N69" s="54"/>
      <c r="O69" s="54"/>
      <c r="P69" s="54"/>
      <c r="Q69" s="54"/>
      <c r="R69" s="54"/>
      <c r="S69" s="88"/>
      <c r="T69" s="88"/>
      <c r="U69" s="120"/>
      <c r="V69" s="120"/>
      <c r="W69" s="120"/>
      <c r="X69" s="120"/>
      <c r="Y69" s="61"/>
      <c r="Z69" s="58"/>
    </row>
    <row r="70" spans="1:26" ht="11.25" customHeight="1" x14ac:dyDescent="0.25">
      <c r="A70" s="59"/>
      <c r="B70" s="60"/>
      <c r="C70" s="60"/>
      <c r="D70" s="60"/>
      <c r="E70" s="60"/>
      <c r="F70" s="53"/>
      <c r="G70" s="54"/>
      <c r="H70" s="54"/>
      <c r="I70" s="54"/>
      <c r="J70" s="54"/>
      <c r="K70" s="54"/>
      <c r="L70" s="53"/>
      <c r="M70" s="54"/>
      <c r="N70" s="54"/>
      <c r="O70" s="54"/>
      <c r="P70" s="54"/>
      <c r="Q70" s="54"/>
      <c r="R70" s="54"/>
      <c r="S70" s="88"/>
      <c r="T70" s="88"/>
      <c r="U70" s="120"/>
      <c r="V70" s="120"/>
      <c r="W70" s="120"/>
      <c r="X70" s="120"/>
      <c r="Y70" s="60"/>
      <c r="Z70" s="61"/>
    </row>
    <row r="73" spans="1:26" ht="21" customHeight="1" thickBot="1" x14ac:dyDescent="0.3">
      <c r="A73" s="15"/>
      <c r="B73" s="16"/>
      <c r="C73" s="16"/>
      <c r="D73" s="16"/>
      <c r="E73" s="16"/>
      <c r="F73" s="33"/>
      <c r="G73" s="35"/>
      <c r="H73" s="35"/>
      <c r="I73" s="35"/>
      <c r="J73" s="35"/>
      <c r="K73" s="35"/>
      <c r="L73" s="33"/>
      <c r="M73" s="35"/>
      <c r="N73" s="35"/>
      <c r="O73" s="35"/>
      <c r="P73" s="35"/>
      <c r="Q73" s="35"/>
      <c r="R73" s="35"/>
      <c r="S73" s="89"/>
      <c r="T73" s="89"/>
      <c r="U73" s="121"/>
      <c r="V73" s="121"/>
      <c r="W73" s="121"/>
      <c r="X73" s="121"/>
      <c r="Y73" s="16"/>
      <c r="Z73" s="17"/>
    </row>
  </sheetData>
  <sheetProtection selectLockedCells="1"/>
  <mergeCells count="5">
    <mergeCell ref="V3:W3"/>
    <mergeCell ref="V5:W5"/>
    <mergeCell ref="X5:Y5"/>
    <mergeCell ref="B9:Y9"/>
    <mergeCell ref="B60:C60"/>
  </mergeCells>
  <conditionalFormatting sqref="A1:XFD10 A11:N11 P11:T11 V11 X11:XFD11 A12:XFD1048576">
    <cfRule type="cellIs" dxfId="1" priority="1" operator="equal">
      <formula>0</formula>
    </cfRule>
  </conditionalFormatting>
  <pageMargins left="0.25" right="0.25" top="0.75" bottom="0.75" header="0.3" footer="0.3"/>
  <pageSetup paperSize="9" scale="40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EBCF-6972-427E-B4C1-70C91207F6AC}">
  <dimension ref="B3:D7"/>
  <sheetViews>
    <sheetView workbookViewId="0">
      <selection activeCell="C23" sqref="C23"/>
    </sheetView>
  </sheetViews>
  <sheetFormatPr defaultRowHeight="15" x14ac:dyDescent="0.25"/>
  <cols>
    <col min="2" max="2" width="21.7109375" style="1" customWidth="1"/>
    <col min="3" max="3" width="20.140625" customWidth="1"/>
    <col min="4" max="4" width="17.7109375" customWidth="1"/>
  </cols>
  <sheetData>
    <row r="3" spans="2:4" x14ac:dyDescent="0.25">
      <c r="B3" s="1" t="s">
        <v>98</v>
      </c>
    </row>
    <row r="4" spans="2:4" x14ac:dyDescent="0.25">
      <c r="B4" s="122" t="s">
        <v>95</v>
      </c>
      <c r="C4" s="123" t="s">
        <v>96</v>
      </c>
      <c r="D4" s="123" t="s">
        <v>97</v>
      </c>
    </row>
    <row r="5" spans="2:4" x14ac:dyDescent="0.25">
      <c r="B5" s="34">
        <v>1</v>
      </c>
      <c r="C5" s="124">
        <v>1602388.35</v>
      </c>
      <c r="D5" s="126">
        <v>45704</v>
      </c>
    </row>
    <row r="6" spans="2:4" x14ac:dyDescent="0.25">
      <c r="B6" s="34">
        <v>2</v>
      </c>
      <c r="C6" s="124">
        <v>356548.56</v>
      </c>
      <c r="D6" s="126">
        <v>45790</v>
      </c>
    </row>
    <row r="7" spans="2:4" x14ac:dyDescent="0.25">
      <c r="B7" s="34" t="s">
        <v>46</v>
      </c>
      <c r="C7" s="125">
        <f>SUBTOTAL(109,Table1[Amount])</f>
        <v>1958936.9100000001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Measurement Sheet (Original+VO)</vt:lpstr>
      <vt:lpstr>Measurement Sheet (Explained)</vt:lpstr>
      <vt:lpstr>Performa Invoice (Original)</vt:lpstr>
      <vt:lpstr>Performa Invoice (Explained)</vt:lpstr>
      <vt:lpstr>Previous Invoices</vt:lpstr>
      <vt:lpstr>'Measurement Sheet (Explained)'!Print_Area</vt:lpstr>
      <vt:lpstr>'Measurement Sheet (Original+VO)'!Print_Area</vt:lpstr>
      <vt:lpstr>'Performa Invoice (Explained)'!Print_Area</vt:lpstr>
      <vt:lpstr>'Performa Invoice (Original)'!Print_Area</vt:lpstr>
      <vt:lpstr>'Measurement Sheet (Explained)'!Print_Titles</vt:lpstr>
      <vt:lpstr>'Measurement Sheet (Original+VO)'!Print_Titles</vt:lpstr>
      <vt:lpstr>'Performa Invoice (Explained)'!Print_Titles</vt:lpstr>
      <vt:lpstr>'Performa Invoice (Original)'!Print_Titles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 mmahboob</dc:creator>
  <cp:lastModifiedBy>planning</cp:lastModifiedBy>
  <cp:lastPrinted>2025-07-19T11:15:51Z</cp:lastPrinted>
  <dcterms:created xsi:type="dcterms:W3CDTF">2025-02-10T11:03:19Z</dcterms:created>
  <dcterms:modified xsi:type="dcterms:W3CDTF">2025-07-19T11:24:18Z</dcterms:modified>
</cp:coreProperties>
</file>