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X:\Ресурсы\ОПМ\Быкова Д.А\_объекты ЮБК\3. Лайнер\"/>
    </mc:Choice>
  </mc:AlternateContent>
  <bookViews>
    <workbookView xWindow="0" yWindow="0" windowWidth="28740" windowHeight="12270" firstSheet="1" activeTab="9"/>
  </bookViews>
  <sheets>
    <sheet name="Worksheet" sheetId="8" state="hidden" r:id="rId1"/>
    <sheet name="Экспликация" sheetId="1" r:id="rId2"/>
    <sheet name="Свод_Экспликация" sheetId="2" state="hidden" r:id="rId3"/>
    <sheet name="Rate Shopper Алушта" sheetId="3" state="hidden" r:id="rId4"/>
    <sheet name="Rate Shopper_Svod" sheetId="4" state="hidden" r:id="rId5"/>
    <sheet name="MPI_INDEX" sheetId="5" state="hidden" r:id="rId6"/>
    <sheet name="Раб.лист_калк" sheetId="10" state="hidden" r:id="rId7"/>
    <sheet name="Доходность" sheetId="11" state="hidden" r:id="rId8"/>
    <sheet name="Лист2" sheetId="13" state="hidden" r:id="rId9"/>
    <sheet name="Инвест_калькулятор" sheetId="12" r:id="rId10"/>
  </sheets>
  <definedNames>
    <definedName name="_xlnm._FilterDatabase" localSheetId="0" hidden="1">Worksheet!$A$1:$G$245</definedName>
    <definedName name="_xlnm._FilterDatabase" localSheetId="1" hidden="1">Экспликация!$A$1:$N$245</definedName>
    <definedName name="Срез_Категория">#N/A</definedName>
    <definedName name="Срез_Назначение">#N/A</definedName>
    <definedName name="Срез_Статус">#N/A</definedName>
  </definedNames>
  <calcPr calcId="162913"/>
  <pivotCaches>
    <pivotCache cacheId="0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1" l="1"/>
  <c r="D23" i="12" l="1"/>
  <c r="E23" i="12"/>
  <c r="F23" i="12"/>
  <c r="I23" i="12"/>
  <c r="J23" i="12"/>
  <c r="N49" i="12"/>
  <c r="M49" i="12"/>
  <c r="L23" i="12"/>
  <c r="K23" i="12"/>
  <c r="H23" i="12"/>
  <c r="G23" i="12"/>
  <c r="N22" i="12"/>
  <c r="B10" i="12"/>
  <c r="B9" i="12"/>
  <c r="B7" i="12"/>
  <c r="B6" i="12"/>
  <c r="B4" i="12"/>
  <c r="B3" i="12"/>
  <c r="B2" i="12"/>
  <c r="B12" i="12" l="1"/>
  <c r="B14" i="12" s="1"/>
  <c r="I4" i="11" s="1"/>
  <c r="B1" i="11"/>
  <c r="B3" i="11" s="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C23" i="12"/>
  <c r="N23" i="12" s="1"/>
  <c r="M23" i="12"/>
  <c r="B42" i="11" l="1"/>
  <c r="E3" i="11"/>
  <c r="E4" i="11" s="1"/>
  <c r="E5" i="11" s="1"/>
  <c r="E6" i="11" s="1"/>
  <c r="E7" i="11" s="1"/>
  <c r="E8" i="11" s="1"/>
  <c r="E9" i="11" s="1"/>
  <c r="E10" i="11" s="1"/>
  <c r="E11" i="11" s="1"/>
  <c r="E12" i="11" s="1"/>
  <c r="B1" i="10"/>
  <c r="L27" i="1"/>
  <c r="P27" i="1"/>
  <c r="L28" i="1"/>
  <c r="L35" i="1"/>
  <c r="P35" i="1"/>
  <c r="L43" i="1"/>
  <c r="L45" i="1"/>
  <c r="L48" i="1"/>
  <c r="P48" i="1"/>
  <c r="L49" i="1"/>
  <c r="P49" i="1"/>
  <c r="L51" i="1"/>
  <c r="L52" i="1"/>
  <c r="P52" i="1"/>
  <c r="L53" i="1"/>
  <c r="P53" i="1"/>
  <c r="L55" i="1"/>
  <c r="L3" i="1"/>
  <c r="P3" i="1"/>
  <c r="L4" i="1"/>
  <c r="P4" i="1"/>
  <c r="L5" i="1"/>
  <c r="L6" i="1"/>
  <c r="H6" i="1" s="1"/>
  <c r="F6" i="1" s="1"/>
  <c r="P6" i="1"/>
  <c r="L7" i="1"/>
  <c r="P7" i="1"/>
  <c r="L8" i="1"/>
  <c r="L9" i="1"/>
  <c r="H9" i="1" s="1"/>
  <c r="F9" i="1" s="1"/>
  <c r="P9" i="1"/>
  <c r="L10" i="1"/>
  <c r="H10" i="1" s="1"/>
  <c r="F10" i="1" s="1"/>
  <c r="P10" i="1"/>
  <c r="L11" i="1"/>
  <c r="L12" i="1"/>
  <c r="P12" i="1"/>
  <c r="L13" i="1"/>
  <c r="P13" i="1"/>
  <c r="L14" i="1"/>
  <c r="H14" i="1" s="1"/>
  <c r="F14" i="1" s="1"/>
  <c r="L15" i="1"/>
  <c r="P15" i="1"/>
  <c r="L16" i="1"/>
  <c r="P16" i="1"/>
  <c r="L17" i="1"/>
  <c r="H17" i="1" s="1"/>
  <c r="F17" i="1" s="1"/>
  <c r="L18" i="1"/>
  <c r="H18" i="1" s="1"/>
  <c r="F18" i="1" s="1"/>
  <c r="P18" i="1"/>
  <c r="L19" i="1"/>
  <c r="P19" i="1"/>
  <c r="L20" i="1"/>
  <c r="L21" i="1"/>
  <c r="P21" i="1"/>
  <c r="L22" i="1"/>
  <c r="H22" i="1" s="1"/>
  <c r="F22" i="1" s="1"/>
  <c r="P22" i="1"/>
  <c r="L23" i="1"/>
  <c r="L24" i="1"/>
  <c r="P24" i="1"/>
  <c r="L25" i="1"/>
  <c r="H25" i="1" s="1"/>
  <c r="F25" i="1" s="1"/>
  <c r="P25" i="1"/>
  <c r="L26" i="1"/>
  <c r="H26" i="1" s="1"/>
  <c r="F26" i="1" s="1"/>
  <c r="L29" i="1"/>
  <c r="P29" i="1"/>
  <c r="L30" i="1"/>
  <c r="H30" i="1" s="1"/>
  <c r="F30" i="1" s="1"/>
  <c r="P30" i="1"/>
  <c r="L31" i="1"/>
  <c r="L32" i="1"/>
  <c r="P32" i="1"/>
  <c r="L33" i="1"/>
  <c r="H33" i="1" s="1"/>
  <c r="F33" i="1" s="1"/>
  <c r="P33" i="1"/>
  <c r="L34" i="1"/>
  <c r="H34" i="1" s="1"/>
  <c r="F34" i="1" s="1"/>
  <c r="L36" i="1"/>
  <c r="P36" i="1"/>
  <c r="L37" i="1"/>
  <c r="P37" i="1"/>
  <c r="L38" i="1"/>
  <c r="H38" i="1" s="1"/>
  <c r="F38" i="1" s="1"/>
  <c r="L39" i="1"/>
  <c r="P39" i="1"/>
  <c r="L40" i="1"/>
  <c r="P40" i="1"/>
  <c r="L41" i="1"/>
  <c r="H41" i="1" s="1"/>
  <c r="F41" i="1" s="1"/>
  <c r="L42" i="1"/>
  <c r="H42" i="1" s="1"/>
  <c r="F42" i="1" s="1"/>
  <c r="P42" i="1"/>
  <c r="L44" i="1"/>
  <c r="P44" i="1"/>
  <c r="L46" i="1"/>
  <c r="H46" i="1" s="1"/>
  <c r="F46" i="1" s="1"/>
  <c r="L47" i="1"/>
  <c r="P47" i="1"/>
  <c r="H49" i="1"/>
  <c r="F49" i="1" s="1"/>
  <c r="L50" i="1"/>
  <c r="H50" i="1" s="1"/>
  <c r="F50" i="1" s="1"/>
  <c r="L54" i="1"/>
  <c r="H54" i="1" s="1"/>
  <c r="F54" i="1" s="1"/>
  <c r="P54" i="1"/>
  <c r="L56" i="1"/>
  <c r="L57" i="1"/>
  <c r="H57" i="1" s="1"/>
  <c r="F57" i="1" s="1"/>
  <c r="L58" i="1"/>
  <c r="H58" i="1" s="1"/>
  <c r="F58" i="1" s="1"/>
  <c r="P58" i="1"/>
  <c r="L59" i="1"/>
  <c r="L60" i="1"/>
  <c r="L61" i="1"/>
  <c r="P61" i="1"/>
  <c r="L62" i="1"/>
  <c r="H62" i="1" s="1"/>
  <c r="F62" i="1" s="1"/>
  <c r="L63" i="1"/>
  <c r="L64" i="1"/>
  <c r="P64" i="1"/>
  <c r="L65" i="1"/>
  <c r="H65" i="1" s="1"/>
  <c r="F65" i="1" s="1"/>
  <c r="L66" i="1"/>
  <c r="H66" i="1" s="1"/>
  <c r="F66" i="1" s="1"/>
  <c r="L67" i="1"/>
  <c r="P67" i="1"/>
  <c r="L68" i="1"/>
  <c r="L69" i="1"/>
  <c r="L70" i="1"/>
  <c r="H70" i="1" s="1"/>
  <c r="F70" i="1" s="1"/>
  <c r="P70" i="1"/>
  <c r="L71" i="1"/>
  <c r="L72" i="1"/>
  <c r="L73" i="1"/>
  <c r="H73" i="1" s="1"/>
  <c r="F73" i="1" s="1"/>
  <c r="P73" i="1"/>
  <c r="L74" i="1"/>
  <c r="H74" i="1" s="1"/>
  <c r="F74" i="1" s="1"/>
  <c r="L75" i="1"/>
  <c r="L76" i="1"/>
  <c r="P76" i="1"/>
  <c r="L77" i="1"/>
  <c r="L78" i="1"/>
  <c r="H78" i="1" s="1"/>
  <c r="F78" i="1" s="1"/>
  <c r="L79" i="1"/>
  <c r="P79" i="1"/>
  <c r="L80" i="1"/>
  <c r="L81" i="1"/>
  <c r="H81" i="1" s="1"/>
  <c r="F81" i="1" s="1"/>
  <c r="L82" i="1"/>
  <c r="H82" i="1" s="1"/>
  <c r="F82" i="1" s="1"/>
  <c r="P82" i="1"/>
  <c r="L83" i="1"/>
  <c r="L84" i="1"/>
  <c r="L85" i="1"/>
  <c r="P85" i="1"/>
  <c r="L86" i="1"/>
  <c r="H86" i="1" s="1"/>
  <c r="F86" i="1" s="1"/>
  <c r="L87" i="1"/>
  <c r="L88" i="1"/>
  <c r="P88" i="1"/>
  <c r="L89" i="1"/>
  <c r="H89" i="1" s="1"/>
  <c r="F89" i="1" s="1"/>
  <c r="L90" i="1"/>
  <c r="H90" i="1" s="1"/>
  <c r="F90" i="1" s="1"/>
  <c r="L91" i="1"/>
  <c r="P91" i="1"/>
  <c r="L92" i="1"/>
  <c r="L93" i="1"/>
  <c r="L94" i="1"/>
  <c r="H94" i="1" s="1"/>
  <c r="F94" i="1" s="1"/>
  <c r="P94" i="1"/>
  <c r="L95" i="1"/>
  <c r="L96" i="1"/>
  <c r="L97" i="1"/>
  <c r="H97" i="1" s="1"/>
  <c r="F97" i="1" s="1"/>
  <c r="P97" i="1"/>
  <c r="L98" i="1"/>
  <c r="H98" i="1" s="1"/>
  <c r="F98" i="1" s="1"/>
  <c r="L99" i="1"/>
  <c r="L100" i="1"/>
  <c r="P100" i="1"/>
  <c r="L101" i="1"/>
  <c r="L102" i="1"/>
  <c r="H102" i="1" s="1"/>
  <c r="F102" i="1" s="1"/>
  <c r="L103" i="1"/>
  <c r="P103" i="1"/>
  <c r="L104" i="1"/>
  <c r="L105" i="1"/>
  <c r="H105" i="1" s="1"/>
  <c r="F105" i="1" s="1"/>
  <c r="L106" i="1"/>
  <c r="H106" i="1" s="1"/>
  <c r="F106" i="1" s="1"/>
  <c r="P106" i="1"/>
  <c r="L107" i="1"/>
  <c r="L108" i="1"/>
  <c r="L109" i="1"/>
  <c r="P109" i="1"/>
  <c r="L110" i="1"/>
  <c r="H110" i="1" s="1"/>
  <c r="F110" i="1" s="1"/>
  <c r="L111" i="1"/>
  <c r="L112" i="1"/>
  <c r="P112" i="1"/>
  <c r="L113" i="1"/>
  <c r="H113" i="1" s="1"/>
  <c r="F113" i="1" s="1"/>
  <c r="L114" i="1"/>
  <c r="H114" i="1" s="1"/>
  <c r="F114" i="1" s="1"/>
  <c r="L115" i="1"/>
  <c r="P115" i="1"/>
  <c r="L116" i="1"/>
  <c r="L117" i="1"/>
  <c r="L118" i="1"/>
  <c r="L119" i="1"/>
  <c r="L120" i="1"/>
  <c r="L121" i="1"/>
  <c r="H121" i="1" s="1"/>
  <c r="F121" i="1" s="1"/>
  <c r="P121" i="1"/>
  <c r="L122" i="1"/>
  <c r="H122" i="1" s="1"/>
  <c r="F122" i="1" s="1"/>
  <c r="L123" i="1"/>
  <c r="L124" i="1"/>
  <c r="P124" i="1"/>
  <c r="L125" i="1"/>
  <c r="L126" i="1"/>
  <c r="H126" i="1" s="1"/>
  <c r="F126" i="1" s="1"/>
  <c r="L127" i="1"/>
  <c r="P127" i="1"/>
  <c r="L128" i="1"/>
  <c r="L129" i="1"/>
  <c r="H129" i="1" s="1"/>
  <c r="F129" i="1" s="1"/>
  <c r="L130" i="1"/>
  <c r="H130" i="1" s="1"/>
  <c r="F130" i="1" s="1"/>
  <c r="P130" i="1"/>
  <c r="L131" i="1"/>
  <c r="L132" i="1"/>
  <c r="L133" i="1"/>
  <c r="P133" i="1"/>
  <c r="L134" i="1"/>
  <c r="H134" i="1" s="1"/>
  <c r="F134" i="1" s="1"/>
  <c r="L135" i="1"/>
  <c r="L136" i="1"/>
  <c r="P136" i="1"/>
  <c r="L137" i="1"/>
  <c r="H137" i="1" s="1"/>
  <c r="F137" i="1" s="1"/>
  <c r="L138" i="1"/>
  <c r="H138" i="1" s="1"/>
  <c r="F138" i="1" s="1"/>
  <c r="L139" i="1"/>
  <c r="P139" i="1"/>
  <c r="L140" i="1"/>
  <c r="L141" i="1"/>
  <c r="L142" i="1"/>
  <c r="H142" i="1" s="1"/>
  <c r="F142" i="1" s="1"/>
  <c r="P142" i="1"/>
  <c r="L143" i="1"/>
  <c r="L144" i="1"/>
  <c r="L145" i="1"/>
  <c r="H145" i="1" s="1"/>
  <c r="F145" i="1" s="1"/>
  <c r="P145" i="1"/>
  <c r="L146" i="1"/>
  <c r="H146" i="1" s="1"/>
  <c r="F146" i="1" s="1"/>
  <c r="L147" i="1"/>
  <c r="L148" i="1"/>
  <c r="P148" i="1"/>
  <c r="L149" i="1"/>
  <c r="L150" i="1"/>
  <c r="H150" i="1" s="1"/>
  <c r="F150" i="1" s="1"/>
  <c r="L151" i="1"/>
  <c r="P151" i="1"/>
  <c r="L152" i="1"/>
  <c r="L153" i="1"/>
  <c r="H153" i="1" s="1"/>
  <c r="F153" i="1" s="1"/>
  <c r="L154" i="1"/>
  <c r="H154" i="1" s="1"/>
  <c r="F154" i="1" s="1"/>
  <c r="P154" i="1"/>
  <c r="L155" i="1"/>
  <c r="L156" i="1"/>
  <c r="L157" i="1"/>
  <c r="P157" i="1"/>
  <c r="L158" i="1"/>
  <c r="H158" i="1" s="1"/>
  <c r="F158" i="1" s="1"/>
  <c r="L159" i="1"/>
  <c r="L160" i="1"/>
  <c r="P160" i="1"/>
  <c r="L161" i="1"/>
  <c r="H161" i="1" s="1"/>
  <c r="F161" i="1" s="1"/>
  <c r="L162" i="1"/>
  <c r="H162" i="1" s="1"/>
  <c r="F162" i="1" s="1"/>
  <c r="L163" i="1"/>
  <c r="P163" i="1"/>
  <c r="L164" i="1"/>
  <c r="L165" i="1"/>
  <c r="L166" i="1"/>
  <c r="H166" i="1" s="1"/>
  <c r="F166" i="1" s="1"/>
  <c r="P166" i="1"/>
  <c r="L167" i="1"/>
  <c r="L168" i="1"/>
  <c r="L169" i="1"/>
  <c r="H169" i="1" s="1"/>
  <c r="F169" i="1" s="1"/>
  <c r="P169" i="1"/>
  <c r="L170" i="1"/>
  <c r="H170" i="1" s="1"/>
  <c r="F170" i="1" s="1"/>
  <c r="L171" i="1"/>
  <c r="L172" i="1"/>
  <c r="P172" i="1"/>
  <c r="L173" i="1"/>
  <c r="L174" i="1"/>
  <c r="H174" i="1" s="1"/>
  <c r="F174" i="1" s="1"/>
  <c r="L175" i="1"/>
  <c r="P175" i="1"/>
  <c r="L176" i="1"/>
  <c r="L177" i="1"/>
  <c r="H177" i="1" s="1"/>
  <c r="F177" i="1" s="1"/>
  <c r="L178" i="1"/>
  <c r="H178" i="1" s="1"/>
  <c r="F178" i="1" s="1"/>
  <c r="P178" i="1"/>
  <c r="L179" i="1"/>
  <c r="L180" i="1"/>
  <c r="L181" i="1"/>
  <c r="P181" i="1"/>
  <c r="L182" i="1"/>
  <c r="H182" i="1" s="1"/>
  <c r="F182" i="1" s="1"/>
  <c r="L183" i="1"/>
  <c r="L184" i="1"/>
  <c r="H184" i="1" s="1"/>
  <c r="F184" i="1" s="1"/>
  <c r="P184" i="1"/>
  <c r="L185" i="1"/>
  <c r="H185" i="1" s="1"/>
  <c r="F185" i="1" s="1"/>
  <c r="L186" i="1"/>
  <c r="H186" i="1" s="1"/>
  <c r="F186" i="1" s="1"/>
  <c r="L187" i="1"/>
  <c r="P187" i="1"/>
  <c r="L188" i="1"/>
  <c r="L189" i="1"/>
  <c r="L190" i="1"/>
  <c r="H190" i="1" s="1"/>
  <c r="F190" i="1" s="1"/>
  <c r="P190" i="1"/>
  <c r="L191" i="1"/>
  <c r="L192" i="1"/>
  <c r="H192" i="1" s="1"/>
  <c r="F192" i="1" s="1"/>
  <c r="L193" i="1"/>
  <c r="H193" i="1" s="1"/>
  <c r="F193" i="1" s="1"/>
  <c r="P193" i="1"/>
  <c r="L194" i="1"/>
  <c r="H194" i="1" s="1"/>
  <c r="F194" i="1" s="1"/>
  <c r="L195" i="1"/>
  <c r="L196" i="1"/>
  <c r="P196" i="1"/>
  <c r="L197" i="1"/>
  <c r="L198" i="1"/>
  <c r="H198" i="1" s="1"/>
  <c r="F198" i="1" s="1"/>
  <c r="L199" i="1"/>
  <c r="P199" i="1"/>
  <c r="L200" i="1"/>
  <c r="L201" i="1"/>
  <c r="H201" i="1" s="1"/>
  <c r="F201" i="1" s="1"/>
  <c r="L202" i="1"/>
  <c r="H202" i="1" s="1"/>
  <c r="F202" i="1" s="1"/>
  <c r="P202" i="1"/>
  <c r="L203" i="1"/>
  <c r="L204" i="1"/>
  <c r="L205" i="1"/>
  <c r="P205" i="1"/>
  <c r="L206" i="1"/>
  <c r="H206" i="1" s="1"/>
  <c r="F206" i="1" s="1"/>
  <c r="L207" i="1"/>
  <c r="L208" i="1"/>
  <c r="P208" i="1"/>
  <c r="L209" i="1"/>
  <c r="H209" i="1" s="1"/>
  <c r="F209" i="1" s="1"/>
  <c r="L210" i="1"/>
  <c r="H210" i="1" s="1"/>
  <c r="F210" i="1" s="1"/>
  <c r="L211" i="1"/>
  <c r="P211" i="1"/>
  <c r="L212" i="1"/>
  <c r="L213" i="1"/>
  <c r="L214" i="1"/>
  <c r="H214" i="1" s="1"/>
  <c r="F214" i="1" s="1"/>
  <c r="P214" i="1"/>
  <c r="L215" i="1"/>
  <c r="L216" i="1"/>
  <c r="L217" i="1"/>
  <c r="H217" i="1" s="1"/>
  <c r="F217" i="1" s="1"/>
  <c r="P217" i="1"/>
  <c r="L218" i="1"/>
  <c r="H218" i="1" s="1"/>
  <c r="F218" i="1" s="1"/>
  <c r="L219" i="1"/>
  <c r="L220" i="1"/>
  <c r="H220" i="1" s="1"/>
  <c r="F220" i="1" s="1"/>
  <c r="P220" i="1"/>
  <c r="L221" i="1"/>
  <c r="L222" i="1"/>
  <c r="H222" i="1" s="1"/>
  <c r="F222" i="1" s="1"/>
  <c r="L223" i="1"/>
  <c r="P223" i="1"/>
  <c r="L224" i="1"/>
  <c r="L225" i="1"/>
  <c r="H225" i="1" s="1"/>
  <c r="F225" i="1" s="1"/>
  <c r="L226" i="1"/>
  <c r="H226" i="1" s="1"/>
  <c r="F226" i="1" s="1"/>
  <c r="P226" i="1"/>
  <c r="L227" i="1"/>
  <c r="L228" i="1"/>
  <c r="H228" i="1" s="1"/>
  <c r="F228" i="1" s="1"/>
  <c r="L229" i="1"/>
  <c r="H229" i="1" s="1"/>
  <c r="F229" i="1" s="1"/>
  <c r="P229" i="1"/>
  <c r="L230" i="1"/>
  <c r="L231" i="1"/>
  <c r="L232" i="1"/>
  <c r="P232" i="1"/>
  <c r="L233" i="1"/>
  <c r="L234" i="1"/>
  <c r="H234" i="1" s="1"/>
  <c r="F234" i="1" s="1"/>
  <c r="L235" i="1"/>
  <c r="P235" i="1"/>
  <c r="L236" i="1"/>
  <c r="L237" i="1"/>
  <c r="H237" i="1" s="1"/>
  <c r="F237" i="1" s="1"/>
  <c r="L238" i="1"/>
  <c r="H238" i="1" s="1"/>
  <c r="F238" i="1" s="1"/>
  <c r="P238" i="1"/>
  <c r="L239" i="1"/>
  <c r="L240" i="1"/>
  <c r="H240" i="1" s="1"/>
  <c r="F240" i="1" s="1"/>
  <c r="L241" i="1"/>
  <c r="P241" i="1"/>
  <c r="L242" i="1"/>
  <c r="H242" i="1" s="1"/>
  <c r="F242" i="1" s="1"/>
  <c r="L243" i="1"/>
  <c r="L244" i="1"/>
  <c r="H244" i="1" s="1"/>
  <c r="F244" i="1" s="1"/>
  <c r="P244" i="1"/>
  <c r="L245" i="1"/>
  <c r="H245" i="1" s="1"/>
  <c r="F245" i="1" s="1"/>
  <c r="P2" i="1"/>
  <c r="L2" i="1"/>
  <c r="H245" i="8"/>
  <c r="I245" i="8" s="1"/>
  <c r="H244" i="8"/>
  <c r="I244" i="8" s="1"/>
  <c r="H243" i="8"/>
  <c r="I243" i="8" s="1"/>
  <c r="H242" i="8"/>
  <c r="I242" i="8" s="1"/>
  <c r="H241" i="8"/>
  <c r="I241" i="8" s="1"/>
  <c r="H240" i="8"/>
  <c r="I240" i="8" s="1"/>
  <c r="H239" i="8"/>
  <c r="I239" i="8" s="1"/>
  <c r="H238" i="8"/>
  <c r="I238" i="8" s="1"/>
  <c r="H237" i="8"/>
  <c r="I237" i="8" s="1"/>
  <c r="H236" i="8"/>
  <c r="I236" i="8" s="1"/>
  <c r="H235" i="8"/>
  <c r="I235" i="8" s="1"/>
  <c r="H234" i="8"/>
  <c r="I234" i="8" s="1"/>
  <c r="H233" i="8"/>
  <c r="I233" i="8" s="1"/>
  <c r="H232" i="8"/>
  <c r="I232" i="8" s="1"/>
  <c r="H231" i="8"/>
  <c r="I231" i="8" s="1"/>
  <c r="H230" i="8"/>
  <c r="I230" i="8" s="1"/>
  <c r="H229" i="8"/>
  <c r="I229" i="8" s="1"/>
  <c r="H228" i="8"/>
  <c r="I228" i="8" s="1"/>
  <c r="H227" i="8"/>
  <c r="I227" i="8" s="1"/>
  <c r="H226" i="8"/>
  <c r="I226" i="8" s="1"/>
  <c r="H225" i="8"/>
  <c r="I225" i="8" s="1"/>
  <c r="H224" i="8"/>
  <c r="I224" i="8" s="1"/>
  <c r="H223" i="8"/>
  <c r="I223" i="8" s="1"/>
  <c r="H222" i="8"/>
  <c r="I222" i="8" s="1"/>
  <c r="H221" i="8"/>
  <c r="I221" i="8" s="1"/>
  <c r="H220" i="8"/>
  <c r="I220" i="8" s="1"/>
  <c r="H219" i="8"/>
  <c r="I219" i="8" s="1"/>
  <c r="H218" i="8"/>
  <c r="I218" i="8" s="1"/>
  <c r="H217" i="8"/>
  <c r="I217" i="8" s="1"/>
  <c r="H216" i="8"/>
  <c r="I216" i="8" s="1"/>
  <c r="H215" i="8"/>
  <c r="I215" i="8" s="1"/>
  <c r="H214" i="8"/>
  <c r="I214" i="8" s="1"/>
  <c r="H213" i="8"/>
  <c r="I213" i="8" s="1"/>
  <c r="H212" i="8"/>
  <c r="I212" i="8" s="1"/>
  <c r="H211" i="8"/>
  <c r="I211" i="8" s="1"/>
  <c r="H210" i="8"/>
  <c r="I210" i="8" s="1"/>
  <c r="H209" i="8"/>
  <c r="I209" i="8" s="1"/>
  <c r="H208" i="8"/>
  <c r="I208" i="8" s="1"/>
  <c r="H207" i="8"/>
  <c r="I207" i="8" s="1"/>
  <c r="H206" i="8"/>
  <c r="I206" i="8" s="1"/>
  <c r="H205" i="8"/>
  <c r="I205" i="8" s="1"/>
  <c r="H204" i="8"/>
  <c r="I204" i="8" s="1"/>
  <c r="H203" i="8"/>
  <c r="I203" i="8" s="1"/>
  <c r="H202" i="8"/>
  <c r="I202" i="8" s="1"/>
  <c r="H201" i="8"/>
  <c r="I201" i="8" s="1"/>
  <c r="H200" i="8"/>
  <c r="I200" i="8" s="1"/>
  <c r="H199" i="8"/>
  <c r="I199" i="8" s="1"/>
  <c r="H198" i="8"/>
  <c r="I198" i="8" s="1"/>
  <c r="H197" i="8"/>
  <c r="I197" i="8" s="1"/>
  <c r="H196" i="8"/>
  <c r="I196" i="8" s="1"/>
  <c r="H195" i="8"/>
  <c r="I195" i="8" s="1"/>
  <c r="H194" i="8"/>
  <c r="I194" i="8" s="1"/>
  <c r="H193" i="8"/>
  <c r="I193" i="8" s="1"/>
  <c r="H192" i="8"/>
  <c r="I192" i="8" s="1"/>
  <c r="H191" i="8"/>
  <c r="I191" i="8" s="1"/>
  <c r="H190" i="8"/>
  <c r="I190" i="8" s="1"/>
  <c r="H189" i="8"/>
  <c r="I189" i="8" s="1"/>
  <c r="H188" i="8"/>
  <c r="I188" i="8" s="1"/>
  <c r="H187" i="8"/>
  <c r="I187" i="8" s="1"/>
  <c r="H186" i="8"/>
  <c r="I186" i="8" s="1"/>
  <c r="H185" i="8"/>
  <c r="I185" i="8" s="1"/>
  <c r="H184" i="8"/>
  <c r="I184" i="8" s="1"/>
  <c r="H183" i="8"/>
  <c r="I183" i="8" s="1"/>
  <c r="H182" i="8"/>
  <c r="I182" i="8" s="1"/>
  <c r="H181" i="8"/>
  <c r="I181" i="8" s="1"/>
  <c r="H180" i="8"/>
  <c r="I180" i="8" s="1"/>
  <c r="H179" i="8"/>
  <c r="I179" i="8" s="1"/>
  <c r="H178" i="8"/>
  <c r="I178" i="8" s="1"/>
  <c r="H177" i="8"/>
  <c r="I177" i="8" s="1"/>
  <c r="H176" i="8"/>
  <c r="I176" i="8" s="1"/>
  <c r="H175" i="8"/>
  <c r="I175" i="8" s="1"/>
  <c r="H174" i="8"/>
  <c r="I174" i="8" s="1"/>
  <c r="H173" i="8"/>
  <c r="I173" i="8" s="1"/>
  <c r="H172" i="8"/>
  <c r="I172" i="8" s="1"/>
  <c r="H171" i="8"/>
  <c r="I171" i="8" s="1"/>
  <c r="H170" i="8"/>
  <c r="I170" i="8" s="1"/>
  <c r="H169" i="8"/>
  <c r="I169" i="8" s="1"/>
  <c r="H168" i="8"/>
  <c r="I168" i="8" s="1"/>
  <c r="H167" i="8"/>
  <c r="I167" i="8" s="1"/>
  <c r="H166" i="8"/>
  <c r="I166" i="8" s="1"/>
  <c r="H165" i="8"/>
  <c r="I165" i="8" s="1"/>
  <c r="H164" i="8"/>
  <c r="I164" i="8" s="1"/>
  <c r="H163" i="8"/>
  <c r="I163" i="8" s="1"/>
  <c r="H162" i="8"/>
  <c r="I162" i="8" s="1"/>
  <c r="H161" i="8"/>
  <c r="I161" i="8" s="1"/>
  <c r="H160" i="8"/>
  <c r="I160" i="8" s="1"/>
  <c r="H159" i="8"/>
  <c r="I159" i="8" s="1"/>
  <c r="H158" i="8"/>
  <c r="I158" i="8" s="1"/>
  <c r="H157" i="8"/>
  <c r="I157" i="8" s="1"/>
  <c r="H156" i="8"/>
  <c r="I156" i="8" s="1"/>
  <c r="H155" i="8"/>
  <c r="I155" i="8" s="1"/>
  <c r="H154" i="8"/>
  <c r="I154" i="8" s="1"/>
  <c r="H153" i="8"/>
  <c r="I153" i="8" s="1"/>
  <c r="H152" i="8"/>
  <c r="I152" i="8" s="1"/>
  <c r="H151" i="8"/>
  <c r="I151" i="8" s="1"/>
  <c r="H150" i="8"/>
  <c r="I150" i="8" s="1"/>
  <c r="H149" i="8"/>
  <c r="I149" i="8" s="1"/>
  <c r="H148" i="8"/>
  <c r="I148" i="8" s="1"/>
  <c r="H147" i="8"/>
  <c r="I147" i="8" s="1"/>
  <c r="H146" i="8"/>
  <c r="I146" i="8" s="1"/>
  <c r="H145" i="8"/>
  <c r="I145" i="8" s="1"/>
  <c r="H144" i="8"/>
  <c r="I144" i="8" s="1"/>
  <c r="H143" i="8"/>
  <c r="I143" i="8" s="1"/>
  <c r="H142" i="8"/>
  <c r="I142" i="8" s="1"/>
  <c r="H141" i="8"/>
  <c r="I141" i="8" s="1"/>
  <c r="H140" i="8"/>
  <c r="I140" i="8" s="1"/>
  <c r="H139" i="8"/>
  <c r="I139" i="8" s="1"/>
  <c r="H138" i="8"/>
  <c r="I138" i="8" s="1"/>
  <c r="H137" i="8"/>
  <c r="I137" i="8" s="1"/>
  <c r="H136" i="8"/>
  <c r="I136" i="8" s="1"/>
  <c r="H135" i="8"/>
  <c r="I135" i="8" s="1"/>
  <c r="H134" i="8"/>
  <c r="I134" i="8" s="1"/>
  <c r="H133" i="8"/>
  <c r="I133" i="8" s="1"/>
  <c r="H132" i="8"/>
  <c r="I132" i="8" s="1"/>
  <c r="H131" i="8"/>
  <c r="I131" i="8" s="1"/>
  <c r="H130" i="8"/>
  <c r="I130" i="8" s="1"/>
  <c r="H129" i="8"/>
  <c r="I129" i="8" s="1"/>
  <c r="H128" i="8"/>
  <c r="I128" i="8" s="1"/>
  <c r="H127" i="8"/>
  <c r="I127" i="8" s="1"/>
  <c r="H126" i="8"/>
  <c r="I126" i="8" s="1"/>
  <c r="H125" i="8"/>
  <c r="I125" i="8" s="1"/>
  <c r="H124" i="8"/>
  <c r="I124" i="8" s="1"/>
  <c r="H123" i="8"/>
  <c r="I123" i="8" s="1"/>
  <c r="H122" i="8"/>
  <c r="I122" i="8" s="1"/>
  <c r="H121" i="8"/>
  <c r="I121" i="8" s="1"/>
  <c r="H120" i="8"/>
  <c r="I120" i="8" s="1"/>
  <c r="H119" i="8"/>
  <c r="I119" i="8" s="1"/>
  <c r="H118" i="8"/>
  <c r="I118" i="8" s="1"/>
  <c r="H117" i="8"/>
  <c r="I117" i="8" s="1"/>
  <c r="H116" i="8"/>
  <c r="I116" i="8" s="1"/>
  <c r="H115" i="8"/>
  <c r="I115" i="8" s="1"/>
  <c r="H114" i="8"/>
  <c r="I114" i="8" s="1"/>
  <c r="H113" i="8"/>
  <c r="I113" i="8" s="1"/>
  <c r="H112" i="8"/>
  <c r="I112" i="8" s="1"/>
  <c r="H111" i="8"/>
  <c r="I111" i="8" s="1"/>
  <c r="H110" i="8"/>
  <c r="I110" i="8" s="1"/>
  <c r="H109" i="8"/>
  <c r="I109" i="8" s="1"/>
  <c r="H108" i="8"/>
  <c r="I108" i="8" s="1"/>
  <c r="H107" i="8"/>
  <c r="I107" i="8" s="1"/>
  <c r="H106" i="8"/>
  <c r="I106" i="8" s="1"/>
  <c r="H105" i="8"/>
  <c r="I105" i="8" s="1"/>
  <c r="H104" i="8"/>
  <c r="I104" i="8" s="1"/>
  <c r="H103" i="8"/>
  <c r="I103" i="8" s="1"/>
  <c r="H102" i="8"/>
  <c r="I102" i="8" s="1"/>
  <c r="H101" i="8"/>
  <c r="I101" i="8" s="1"/>
  <c r="H100" i="8"/>
  <c r="I100" i="8" s="1"/>
  <c r="H99" i="8"/>
  <c r="I99" i="8" s="1"/>
  <c r="H98" i="8"/>
  <c r="I98" i="8" s="1"/>
  <c r="H97" i="8"/>
  <c r="I97" i="8" s="1"/>
  <c r="H96" i="8"/>
  <c r="I96" i="8" s="1"/>
  <c r="H95" i="8"/>
  <c r="I95" i="8" s="1"/>
  <c r="H94" i="8"/>
  <c r="I94" i="8" s="1"/>
  <c r="H93" i="8"/>
  <c r="I93" i="8" s="1"/>
  <c r="H92" i="8"/>
  <c r="I92" i="8" s="1"/>
  <c r="H91" i="8"/>
  <c r="I91" i="8" s="1"/>
  <c r="H90" i="8"/>
  <c r="I90" i="8" s="1"/>
  <c r="H89" i="8"/>
  <c r="I89" i="8" s="1"/>
  <c r="H88" i="8"/>
  <c r="I88" i="8" s="1"/>
  <c r="H87" i="8"/>
  <c r="I87" i="8" s="1"/>
  <c r="H86" i="8"/>
  <c r="I86" i="8" s="1"/>
  <c r="H85" i="8"/>
  <c r="I85" i="8" s="1"/>
  <c r="H84" i="8"/>
  <c r="I84" i="8" s="1"/>
  <c r="H83" i="8"/>
  <c r="I83" i="8" s="1"/>
  <c r="H82" i="8"/>
  <c r="I82" i="8" s="1"/>
  <c r="H81" i="8"/>
  <c r="I81" i="8" s="1"/>
  <c r="H80" i="8"/>
  <c r="I80" i="8" s="1"/>
  <c r="H79" i="8"/>
  <c r="I79" i="8" s="1"/>
  <c r="H78" i="8"/>
  <c r="I78" i="8" s="1"/>
  <c r="H77" i="8"/>
  <c r="I77" i="8" s="1"/>
  <c r="H76" i="8"/>
  <c r="I76" i="8" s="1"/>
  <c r="H75" i="8"/>
  <c r="I75" i="8" s="1"/>
  <c r="H74" i="8"/>
  <c r="I74" i="8" s="1"/>
  <c r="H73" i="8"/>
  <c r="I73" i="8" s="1"/>
  <c r="H72" i="8"/>
  <c r="I72" i="8" s="1"/>
  <c r="H71" i="8"/>
  <c r="I71" i="8" s="1"/>
  <c r="H70" i="8"/>
  <c r="I70" i="8" s="1"/>
  <c r="H69" i="8"/>
  <c r="I69" i="8" s="1"/>
  <c r="H68" i="8"/>
  <c r="I68" i="8" s="1"/>
  <c r="H67" i="8"/>
  <c r="I67" i="8" s="1"/>
  <c r="H66" i="8"/>
  <c r="I66" i="8" s="1"/>
  <c r="H65" i="8"/>
  <c r="I65" i="8" s="1"/>
  <c r="H64" i="8"/>
  <c r="I64" i="8" s="1"/>
  <c r="H63" i="8"/>
  <c r="I63" i="8" s="1"/>
  <c r="H62" i="8"/>
  <c r="I62" i="8" s="1"/>
  <c r="H61" i="8"/>
  <c r="I61" i="8" s="1"/>
  <c r="H60" i="8"/>
  <c r="I60" i="8" s="1"/>
  <c r="H59" i="8"/>
  <c r="I59" i="8" s="1"/>
  <c r="H58" i="8"/>
  <c r="I58" i="8" s="1"/>
  <c r="H57" i="8"/>
  <c r="I57" i="8" s="1"/>
  <c r="H56" i="8"/>
  <c r="I56" i="8" s="1"/>
  <c r="H54" i="8"/>
  <c r="I54" i="8" s="1"/>
  <c r="H50" i="8"/>
  <c r="I50" i="8" s="1"/>
  <c r="H47" i="8"/>
  <c r="I47" i="8" s="1"/>
  <c r="H46" i="8"/>
  <c r="I46" i="8" s="1"/>
  <c r="H44" i="8"/>
  <c r="I44" i="8" s="1"/>
  <c r="H42" i="8"/>
  <c r="I42" i="8" s="1"/>
  <c r="H41" i="8"/>
  <c r="I41" i="8" s="1"/>
  <c r="H40" i="8"/>
  <c r="I40" i="8" s="1"/>
  <c r="H39" i="8"/>
  <c r="I39" i="8" s="1"/>
  <c r="H38" i="8"/>
  <c r="I38" i="8" s="1"/>
  <c r="H37" i="8"/>
  <c r="I37" i="8" s="1"/>
  <c r="H36" i="8"/>
  <c r="I36" i="8" s="1"/>
  <c r="H34" i="8"/>
  <c r="I34" i="8" s="1"/>
  <c r="H33" i="8"/>
  <c r="I33" i="8" s="1"/>
  <c r="H32" i="8"/>
  <c r="I32" i="8" s="1"/>
  <c r="H31" i="8"/>
  <c r="I31" i="8" s="1"/>
  <c r="H30" i="8"/>
  <c r="I30" i="8" s="1"/>
  <c r="H29" i="8"/>
  <c r="I29" i="8" s="1"/>
  <c r="H26" i="8"/>
  <c r="I26" i="8" s="1"/>
  <c r="H25" i="8"/>
  <c r="I25" i="8" s="1"/>
  <c r="H24" i="8"/>
  <c r="I24" i="8" s="1"/>
  <c r="H23" i="8"/>
  <c r="I23" i="8" s="1"/>
  <c r="H22" i="8"/>
  <c r="I22" i="8" s="1"/>
  <c r="H21" i="8"/>
  <c r="I21" i="8" s="1"/>
  <c r="H20" i="8"/>
  <c r="I20" i="8" s="1"/>
  <c r="H19" i="8"/>
  <c r="I19" i="8" s="1"/>
  <c r="H18" i="8"/>
  <c r="I18" i="8" s="1"/>
  <c r="H17" i="8"/>
  <c r="I17" i="8" s="1"/>
  <c r="H16" i="8"/>
  <c r="I16" i="8" s="1"/>
  <c r="H15" i="8"/>
  <c r="I15" i="8" s="1"/>
  <c r="H14" i="8"/>
  <c r="I14" i="8" s="1"/>
  <c r="H13" i="8"/>
  <c r="I13" i="8" s="1"/>
  <c r="H12" i="8"/>
  <c r="I12" i="8" s="1"/>
  <c r="H11" i="8"/>
  <c r="I11" i="8" s="1"/>
  <c r="H10" i="8"/>
  <c r="I10" i="8" s="1"/>
  <c r="H9" i="8"/>
  <c r="I9" i="8" s="1"/>
  <c r="H8" i="8"/>
  <c r="I8" i="8" s="1"/>
  <c r="H7" i="8"/>
  <c r="I7" i="8" s="1"/>
  <c r="H6" i="8"/>
  <c r="I6" i="8" s="1"/>
  <c r="H5" i="8"/>
  <c r="I5" i="8" s="1"/>
  <c r="H4" i="8"/>
  <c r="I4" i="8" s="1"/>
  <c r="H3" i="8"/>
  <c r="I3" i="8" s="1"/>
  <c r="H2" i="8"/>
  <c r="I2" i="8" s="1"/>
  <c r="O12" i="5"/>
  <c r="O11" i="5"/>
  <c r="O10" i="5"/>
  <c r="O9" i="5"/>
  <c r="N8" i="5"/>
  <c r="M8" i="5"/>
  <c r="L8" i="5"/>
  <c r="K8" i="5"/>
  <c r="J8" i="5"/>
  <c r="I8" i="5"/>
  <c r="H8" i="5"/>
  <c r="G8" i="5"/>
  <c r="F8" i="5"/>
  <c r="E8" i="5"/>
  <c r="D8" i="5"/>
  <c r="C8" i="5"/>
  <c r="O6" i="5"/>
  <c r="P6" i="5" s="1"/>
  <c r="O5" i="5"/>
  <c r="P5" i="5" s="1"/>
  <c r="O4" i="5"/>
  <c r="O3" i="5"/>
  <c r="A8" i="4"/>
  <c r="N7" i="4"/>
  <c r="I7" i="4"/>
  <c r="H7" i="4"/>
  <c r="A7" i="4"/>
  <c r="N6" i="4"/>
  <c r="M6" i="4"/>
  <c r="A6" i="4"/>
  <c r="N5" i="4"/>
  <c r="A5" i="4"/>
  <c r="A4" i="4"/>
  <c r="A3" i="4"/>
  <c r="A2" i="4"/>
  <c r="CC56" i="3"/>
  <c r="O8" i="4" s="1"/>
  <c r="BV56" i="3"/>
  <c r="N8" i="4" s="1"/>
  <c r="BO56" i="3"/>
  <c r="M8" i="4" s="1"/>
  <c r="BH56" i="3"/>
  <c r="L8" i="4" s="1"/>
  <c r="BA56" i="3"/>
  <c r="K8" i="4" s="1"/>
  <c r="AT56" i="3"/>
  <c r="J8" i="4" s="1"/>
  <c r="AM56" i="3"/>
  <c r="I8" i="4" s="1"/>
  <c r="AF56" i="3"/>
  <c r="H8" i="4" s="1"/>
  <c r="Y56" i="3"/>
  <c r="G8" i="4" s="1"/>
  <c r="R56" i="3"/>
  <c r="F8" i="4" s="1"/>
  <c r="K56" i="3"/>
  <c r="E8" i="4" s="1"/>
  <c r="D56" i="3"/>
  <c r="D8" i="4" s="1"/>
  <c r="CC48" i="3"/>
  <c r="O7" i="4" s="1"/>
  <c r="BV48" i="3"/>
  <c r="BO48" i="3"/>
  <c r="M7" i="4" s="1"/>
  <c r="BH48" i="3"/>
  <c r="L7" i="4" s="1"/>
  <c r="BA48" i="3"/>
  <c r="K7" i="4" s="1"/>
  <c r="AT48" i="3"/>
  <c r="J7" i="4" s="1"/>
  <c r="AM48" i="3"/>
  <c r="AF48" i="3"/>
  <c r="Y48" i="3"/>
  <c r="G7" i="4" s="1"/>
  <c r="R48" i="3"/>
  <c r="F7" i="4" s="1"/>
  <c r="K48" i="3"/>
  <c r="E7" i="4" s="1"/>
  <c r="D48" i="3"/>
  <c r="D7" i="4" s="1"/>
  <c r="CC40" i="3"/>
  <c r="O6" i="4" s="1"/>
  <c r="BV40" i="3"/>
  <c r="BO40" i="3"/>
  <c r="BH40" i="3"/>
  <c r="L6" i="4" s="1"/>
  <c r="BA40" i="3"/>
  <c r="K6" i="4" s="1"/>
  <c r="AT40" i="3"/>
  <c r="J6" i="4" s="1"/>
  <c r="AM40" i="3"/>
  <c r="I6" i="4" s="1"/>
  <c r="AF40" i="3"/>
  <c r="H6" i="4" s="1"/>
  <c r="Y40" i="3"/>
  <c r="G6" i="4" s="1"/>
  <c r="R40" i="3"/>
  <c r="F6" i="4" s="1"/>
  <c r="K40" i="3"/>
  <c r="E6" i="4" s="1"/>
  <c r="D40" i="3"/>
  <c r="D6" i="4" s="1"/>
  <c r="CC32" i="3"/>
  <c r="O5" i="4" s="1"/>
  <c r="BV32" i="3"/>
  <c r="BO32" i="3"/>
  <c r="M5" i="4" s="1"/>
  <c r="BH32" i="3"/>
  <c r="L5" i="4" s="1"/>
  <c r="BA32" i="3"/>
  <c r="K5" i="4" s="1"/>
  <c r="AT32" i="3"/>
  <c r="J5" i="4" s="1"/>
  <c r="AM32" i="3"/>
  <c r="I5" i="4" s="1"/>
  <c r="AF32" i="3"/>
  <c r="H5" i="4" s="1"/>
  <c r="Y32" i="3"/>
  <c r="G5" i="4" s="1"/>
  <c r="R32" i="3"/>
  <c r="F5" i="4" s="1"/>
  <c r="K32" i="3"/>
  <c r="E5" i="4" s="1"/>
  <c r="D32" i="3"/>
  <c r="D5" i="4" s="1"/>
  <c r="CC24" i="3"/>
  <c r="O4" i="4" s="1"/>
  <c r="BV24" i="3"/>
  <c r="N4" i="4" s="1"/>
  <c r="N12" i="4" s="1"/>
  <c r="BO24" i="3"/>
  <c r="M4" i="4" s="1"/>
  <c r="BH24" i="3"/>
  <c r="L4" i="4" s="1"/>
  <c r="BA24" i="3"/>
  <c r="K4" i="4" s="1"/>
  <c r="AT24" i="3"/>
  <c r="J4" i="4" s="1"/>
  <c r="AM24" i="3"/>
  <c r="I4" i="4" s="1"/>
  <c r="I12" i="4" s="1"/>
  <c r="AF24" i="3"/>
  <c r="H4" i="4" s="1"/>
  <c r="H12" i="4" s="1"/>
  <c r="Y24" i="3"/>
  <c r="G4" i="4" s="1"/>
  <c r="G12" i="4" s="1"/>
  <c r="R24" i="3"/>
  <c r="F4" i="4" s="1"/>
  <c r="F12" i="4" s="1"/>
  <c r="K24" i="3"/>
  <c r="E4" i="4" s="1"/>
  <c r="D24" i="3"/>
  <c r="D4" i="4" s="1"/>
  <c r="CC16" i="3"/>
  <c r="O3" i="4" s="1"/>
  <c r="BV16" i="3"/>
  <c r="N3" i="4" s="1"/>
  <c r="BO16" i="3"/>
  <c r="M3" i="4" s="1"/>
  <c r="BH16" i="3"/>
  <c r="L3" i="4" s="1"/>
  <c r="BA16" i="3"/>
  <c r="K3" i="4" s="1"/>
  <c r="AT16" i="3"/>
  <c r="J3" i="4" s="1"/>
  <c r="AM16" i="3"/>
  <c r="I3" i="4" s="1"/>
  <c r="AF16" i="3"/>
  <c r="H3" i="4" s="1"/>
  <c r="Y16" i="3"/>
  <c r="G3" i="4" s="1"/>
  <c r="R16" i="3"/>
  <c r="F3" i="4" s="1"/>
  <c r="K16" i="3"/>
  <c r="E3" i="4" s="1"/>
  <c r="D16" i="3"/>
  <c r="D3" i="4" s="1"/>
  <c r="CC8" i="3"/>
  <c r="O2" i="4" s="1"/>
  <c r="BV8" i="3"/>
  <c r="N2" i="4" s="1"/>
  <c r="BO8" i="3"/>
  <c r="M2" i="4" s="1"/>
  <c r="BH8" i="3"/>
  <c r="L2" i="4" s="1"/>
  <c r="BA8" i="3"/>
  <c r="K2" i="4" s="1"/>
  <c r="AT8" i="3"/>
  <c r="J2" i="4" s="1"/>
  <c r="AM8" i="3"/>
  <c r="I2" i="4" s="1"/>
  <c r="AF8" i="3"/>
  <c r="H2" i="4" s="1"/>
  <c r="Y8" i="3"/>
  <c r="G2" i="4" s="1"/>
  <c r="R8" i="3"/>
  <c r="F2" i="4" s="1"/>
  <c r="F11" i="4" s="1"/>
  <c r="K8" i="3"/>
  <c r="E2" i="4" s="1"/>
  <c r="D8" i="3"/>
  <c r="D2" i="4" s="1"/>
  <c r="B17" i="2"/>
  <c r="B16" i="2"/>
  <c r="B15" i="2"/>
  <c r="B14" i="2"/>
  <c r="B13" i="2"/>
  <c r="B12" i="2"/>
  <c r="B11" i="2"/>
  <c r="B8" i="2"/>
  <c r="B7" i="2"/>
  <c r="B6" i="2"/>
  <c r="B5" i="2"/>
  <c r="B4" i="2"/>
  <c r="B3" i="2"/>
  <c r="B2" i="2"/>
  <c r="H243" i="1"/>
  <c r="F243" i="1" s="1"/>
  <c r="H241" i="1"/>
  <c r="G241" i="1"/>
  <c r="H239" i="1"/>
  <c r="F239" i="1" s="1"/>
  <c r="H236" i="1"/>
  <c r="F236" i="1" s="1"/>
  <c r="H235" i="1"/>
  <c r="F235" i="1" s="1"/>
  <c r="H233" i="1"/>
  <c r="F233" i="1" s="1"/>
  <c r="H232" i="1"/>
  <c r="F232" i="1" s="1"/>
  <c r="H231" i="1"/>
  <c r="F231" i="1" s="1"/>
  <c r="H230" i="1"/>
  <c r="F230" i="1" s="1"/>
  <c r="H227" i="1"/>
  <c r="F227" i="1" s="1"/>
  <c r="H224" i="1"/>
  <c r="F224" i="1" s="1"/>
  <c r="H223" i="1"/>
  <c r="F223" i="1" s="1"/>
  <c r="H221" i="1"/>
  <c r="F221" i="1" s="1"/>
  <c r="H219" i="1"/>
  <c r="F219" i="1" s="1"/>
  <c r="H216" i="1"/>
  <c r="F216" i="1" s="1"/>
  <c r="H215" i="1"/>
  <c r="F215" i="1" s="1"/>
  <c r="H213" i="1"/>
  <c r="F213" i="1" s="1"/>
  <c r="H212" i="1"/>
  <c r="F212" i="1" s="1"/>
  <c r="H211" i="1"/>
  <c r="F211" i="1" s="1"/>
  <c r="H208" i="1"/>
  <c r="F208" i="1" s="1"/>
  <c r="H207" i="1"/>
  <c r="F207" i="1" s="1"/>
  <c r="H205" i="1"/>
  <c r="F205" i="1" s="1"/>
  <c r="H204" i="1"/>
  <c r="F204" i="1" s="1"/>
  <c r="H203" i="1"/>
  <c r="F203" i="1" s="1"/>
  <c r="H200" i="1"/>
  <c r="F200" i="1" s="1"/>
  <c r="H199" i="1"/>
  <c r="F199" i="1" s="1"/>
  <c r="H197" i="1"/>
  <c r="F197" i="1" s="1"/>
  <c r="H196" i="1"/>
  <c r="F196" i="1" s="1"/>
  <c r="H195" i="1"/>
  <c r="F195" i="1" s="1"/>
  <c r="H191" i="1"/>
  <c r="F191" i="1" s="1"/>
  <c r="H189" i="1"/>
  <c r="F189" i="1" s="1"/>
  <c r="H188" i="1"/>
  <c r="F188" i="1" s="1"/>
  <c r="H187" i="1"/>
  <c r="F187" i="1" s="1"/>
  <c r="H183" i="1"/>
  <c r="F183" i="1" s="1"/>
  <c r="H181" i="1"/>
  <c r="F181" i="1" s="1"/>
  <c r="H180" i="1"/>
  <c r="F180" i="1" s="1"/>
  <c r="H179" i="1"/>
  <c r="F179" i="1" s="1"/>
  <c r="H176" i="1"/>
  <c r="F176" i="1" s="1"/>
  <c r="H175" i="1"/>
  <c r="F175" i="1" s="1"/>
  <c r="H173" i="1"/>
  <c r="F173" i="1" s="1"/>
  <c r="H172" i="1"/>
  <c r="F172" i="1" s="1"/>
  <c r="H171" i="1"/>
  <c r="F171" i="1" s="1"/>
  <c r="H168" i="1"/>
  <c r="F168" i="1" s="1"/>
  <c r="H167" i="1"/>
  <c r="F167" i="1" s="1"/>
  <c r="H165" i="1"/>
  <c r="F165" i="1" s="1"/>
  <c r="H164" i="1"/>
  <c r="F164" i="1" s="1"/>
  <c r="H163" i="1"/>
  <c r="F163" i="1" s="1"/>
  <c r="H160" i="1"/>
  <c r="F160" i="1" s="1"/>
  <c r="H159" i="1"/>
  <c r="F159" i="1" s="1"/>
  <c r="H157" i="1"/>
  <c r="F157" i="1" s="1"/>
  <c r="H156" i="1"/>
  <c r="F156" i="1" s="1"/>
  <c r="H155" i="1"/>
  <c r="F155" i="1" s="1"/>
  <c r="H152" i="1"/>
  <c r="F152" i="1" s="1"/>
  <c r="H151" i="1"/>
  <c r="F151" i="1" s="1"/>
  <c r="H149" i="1"/>
  <c r="F149" i="1" s="1"/>
  <c r="H148" i="1"/>
  <c r="F148" i="1" s="1"/>
  <c r="H147" i="1"/>
  <c r="F147" i="1" s="1"/>
  <c r="H144" i="1"/>
  <c r="F144" i="1" s="1"/>
  <c r="H143" i="1"/>
  <c r="F143" i="1" s="1"/>
  <c r="H141" i="1"/>
  <c r="F141" i="1"/>
  <c r="H140" i="1"/>
  <c r="F140" i="1" s="1"/>
  <c r="H139" i="1"/>
  <c r="F139" i="1" s="1"/>
  <c r="H136" i="1"/>
  <c r="F136" i="1" s="1"/>
  <c r="H135" i="1"/>
  <c r="F135" i="1" s="1"/>
  <c r="H133" i="1"/>
  <c r="F133" i="1" s="1"/>
  <c r="H132" i="1"/>
  <c r="F132" i="1" s="1"/>
  <c r="H131" i="1"/>
  <c r="F131" i="1" s="1"/>
  <c r="H128" i="1"/>
  <c r="F128" i="1" s="1"/>
  <c r="H127" i="1"/>
  <c r="F127" i="1" s="1"/>
  <c r="H125" i="1"/>
  <c r="F125" i="1" s="1"/>
  <c r="H124" i="1"/>
  <c r="F124" i="1" s="1"/>
  <c r="H123" i="1"/>
  <c r="F123" i="1" s="1"/>
  <c r="H120" i="1"/>
  <c r="F120" i="1" s="1"/>
  <c r="H119" i="1"/>
  <c r="F119" i="1" s="1"/>
  <c r="H117" i="1"/>
  <c r="F117" i="1" s="1"/>
  <c r="H116" i="1"/>
  <c r="F116" i="1" s="1"/>
  <c r="H115" i="1"/>
  <c r="F115" i="1" s="1"/>
  <c r="H112" i="1"/>
  <c r="F112" i="1" s="1"/>
  <c r="H111" i="1"/>
  <c r="F111" i="1" s="1"/>
  <c r="H109" i="1"/>
  <c r="F109" i="1" s="1"/>
  <c r="H108" i="1"/>
  <c r="F108" i="1" s="1"/>
  <c r="H107" i="1"/>
  <c r="F107" i="1" s="1"/>
  <c r="H104" i="1"/>
  <c r="F104" i="1" s="1"/>
  <c r="H103" i="1"/>
  <c r="F103" i="1" s="1"/>
  <c r="H101" i="1"/>
  <c r="F101" i="1" s="1"/>
  <c r="H100" i="1"/>
  <c r="F100" i="1" s="1"/>
  <c r="H99" i="1"/>
  <c r="F99" i="1" s="1"/>
  <c r="H96" i="1"/>
  <c r="F96" i="1" s="1"/>
  <c r="H95" i="1"/>
  <c r="F95" i="1" s="1"/>
  <c r="H93" i="1"/>
  <c r="F93" i="1" s="1"/>
  <c r="H92" i="1"/>
  <c r="F92" i="1" s="1"/>
  <c r="H91" i="1"/>
  <c r="F91" i="1" s="1"/>
  <c r="H88" i="1"/>
  <c r="F88" i="1" s="1"/>
  <c r="H87" i="1"/>
  <c r="F87" i="1" s="1"/>
  <c r="H85" i="1"/>
  <c r="F85" i="1" s="1"/>
  <c r="H84" i="1"/>
  <c r="F84" i="1" s="1"/>
  <c r="H83" i="1"/>
  <c r="F83" i="1" s="1"/>
  <c r="H80" i="1"/>
  <c r="F80" i="1" s="1"/>
  <c r="H79" i="1"/>
  <c r="F79" i="1" s="1"/>
  <c r="H77" i="1"/>
  <c r="F77" i="1" s="1"/>
  <c r="H76" i="1"/>
  <c r="F76" i="1" s="1"/>
  <c r="H75" i="1"/>
  <c r="F75" i="1" s="1"/>
  <c r="H72" i="1"/>
  <c r="F72" i="1" s="1"/>
  <c r="H71" i="1"/>
  <c r="F71" i="1" s="1"/>
  <c r="H69" i="1"/>
  <c r="F69" i="1" s="1"/>
  <c r="H68" i="1"/>
  <c r="H67" i="1"/>
  <c r="F67" i="1" s="1"/>
  <c r="H64" i="1"/>
  <c r="F64" i="1" s="1"/>
  <c r="H63" i="1"/>
  <c r="H61" i="1"/>
  <c r="F61" i="1" s="1"/>
  <c r="H60" i="1"/>
  <c r="F60" i="1" s="1"/>
  <c r="H59" i="1"/>
  <c r="F59" i="1" s="1"/>
  <c r="H56" i="1"/>
  <c r="H55" i="1"/>
  <c r="F55" i="1" s="1"/>
  <c r="H53" i="1"/>
  <c r="F53" i="1" s="1"/>
  <c r="H52" i="1"/>
  <c r="F52" i="1" s="1"/>
  <c r="H51" i="1"/>
  <c r="F51" i="1" s="1"/>
  <c r="H48" i="1"/>
  <c r="F48" i="1" s="1"/>
  <c r="H47" i="1"/>
  <c r="F47" i="1" s="1"/>
  <c r="H45" i="1"/>
  <c r="F45" i="1" s="1"/>
  <c r="H44" i="1"/>
  <c r="F44" i="1" s="1"/>
  <c r="H43" i="1"/>
  <c r="F43" i="1" s="1"/>
  <c r="H40" i="1"/>
  <c r="F40" i="1"/>
  <c r="H39" i="1"/>
  <c r="F39" i="1" s="1"/>
  <c r="H37" i="1"/>
  <c r="F37" i="1" s="1"/>
  <c r="H36" i="1"/>
  <c r="F36" i="1" s="1"/>
  <c r="H35" i="1"/>
  <c r="F35" i="1" s="1"/>
  <c r="H32" i="1"/>
  <c r="F32" i="1" s="1"/>
  <c r="H31" i="1"/>
  <c r="F31" i="1" s="1"/>
  <c r="H29" i="1"/>
  <c r="F29" i="1" s="1"/>
  <c r="H28" i="1"/>
  <c r="F28" i="1" s="1"/>
  <c r="H27" i="1"/>
  <c r="F27" i="1" s="1"/>
  <c r="H24" i="1"/>
  <c r="F24" i="1" s="1"/>
  <c r="H23" i="1"/>
  <c r="F23" i="1" s="1"/>
  <c r="H21" i="1"/>
  <c r="F21" i="1"/>
  <c r="H20" i="1"/>
  <c r="F20" i="1" s="1"/>
  <c r="H19" i="1"/>
  <c r="F19" i="1" s="1"/>
  <c r="H16" i="1"/>
  <c r="F16" i="1" s="1"/>
  <c r="H15" i="1"/>
  <c r="F15" i="1" s="1"/>
  <c r="H13" i="1"/>
  <c r="F13" i="1" s="1"/>
  <c r="H12" i="1"/>
  <c r="F12" i="1" s="1"/>
  <c r="H11" i="1"/>
  <c r="F11" i="1" s="1"/>
  <c r="H8" i="1"/>
  <c r="F8" i="1" s="1"/>
  <c r="H7" i="1"/>
  <c r="F7" i="1" s="1"/>
  <c r="H5" i="1"/>
  <c r="F5" i="1" s="1"/>
  <c r="H4" i="1"/>
  <c r="F4" i="1" s="1"/>
  <c r="H3" i="1"/>
  <c r="H2" i="1"/>
  <c r="F2" i="1" s="1"/>
  <c r="P4" i="5" l="1"/>
  <c r="H118" i="1"/>
  <c r="F118" i="1" s="1"/>
  <c r="P46" i="1"/>
  <c r="P38" i="1"/>
  <c r="P31" i="1"/>
  <c r="P23" i="1"/>
  <c r="P17" i="1"/>
  <c r="P11" i="1"/>
  <c r="P5" i="1"/>
  <c r="P51" i="1"/>
  <c r="P28" i="1"/>
  <c r="P243" i="1"/>
  <c r="P237" i="1"/>
  <c r="P231" i="1"/>
  <c r="P225" i="1"/>
  <c r="P219" i="1"/>
  <c r="P213" i="1"/>
  <c r="P207" i="1"/>
  <c r="P201" i="1"/>
  <c r="P195" i="1"/>
  <c r="P189" i="1"/>
  <c r="P183" i="1"/>
  <c r="P177" i="1"/>
  <c r="P171" i="1"/>
  <c r="P165" i="1"/>
  <c r="P159" i="1"/>
  <c r="P153" i="1"/>
  <c r="P147" i="1"/>
  <c r="P141" i="1"/>
  <c r="P135" i="1"/>
  <c r="P129" i="1"/>
  <c r="P123" i="1"/>
  <c r="P117" i="1"/>
  <c r="P111" i="1"/>
  <c r="P105" i="1"/>
  <c r="P99" i="1"/>
  <c r="P93" i="1"/>
  <c r="P87" i="1"/>
  <c r="P81" i="1"/>
  <c r="P75" i="1"/>
  <c r="P69" i="1"/>
  <c r="P63" i="1"/>
  <c r="P57" i="1"/>
  <c r="J12" i="4"/>
  <c r="K12" i="4"/>
  <c r="P242" i="1"/>
  <c r="P236" i="1"/>
  <c r="P230" i="1"/>
  <c r="P224" i="1"/>
  <c r="P218" i="1"/>
  <c r="P212" i="1"/>
  <c r="P206" i="1"/>
  <c r="P200" i="1"/>
  <c r="P194" i="1"/>
  <c r="P188" i="1"/>
  <c r="P182" i="1"/>
  <c r="P176" i="1"/>
  <c r="P170" i="1"/>
  <c r="P164" i="1"/>
  <c r="P158" i="1"/>
  <c r="P152" i="1"/>
  <c r="P146" i="1"/>
  <c r="P140" i="1"/>
  <c r="P134" i="1"/>
  <c r="P128" i="1"/>
  <c r="P122" i="1"/>
  <c r="P116" i="1"/>
  <c r="P110" i="1"/>
  <c r="P104" i="1"/>
  <c r="P98" i="1"/>
  <c r="P92" i="1"/>
  <c r="P86" i="1"/>
  <c r="P80" i="1"/>
  <c r="P74" i="1"/>
  <c r="P68" i="1"/>
  <c r="P62" i="1"/>
  <c r="P56" i="1"/>
  <c r="L12" i="4"/>
  <c r="M12" i="4"/>
  <c r="P41" i="1"/>
  <c r="P34" i="1"/>
  <c r="P26" i="1"/>
  <c r="P20" i="1"/>
  <c r="P14" i="1"/>
  <c r="P8" i="1"/>
  <c r="P55" i="1"/>
  <c r="P45" i="1"/>
  <c r="P240" i="1"/>
  <c r="P234" i="1"/>
  <c r="P228" i="1"/>
  <c r="P222" i="1"/>
  <c r="P216" i="1"/>
  <c r="P210" i="1"/>
  <c r="P204" i="1"/>
  <c r="P198" i="1"/>
  <c r="P192" i="1"/>
  <c r="P186" i="1"/>
  <c r="P180" i="1"/>
  <c r="P174" i="1"/>
  <c r="P168" i="1"/>
  <c r="P162" i="1"/>
  <c r="P156" i="1"/>
  <c r="P150" i="1"/>
  <c r="P144" i="1"/>
  <c r="P138" i="1"/>
  <c r="P132" i="1"/>
  <c r="P126" i="1"/>
  <c r="P120" i="1"/>
  <c r="P114" i="1"/>
  <c r="P108" i="1"/>
  <c r="P102" i="1"/>
  <c r="P96" i="1"/>
  <c r="P90" i="1"/>
  <c r="P84" i="1"/>
  <c r="P78" i="1"/>
  <c r="P72" i="1"/>
  <c r="P66" i="1"/>
  <c r="P60" i="1"/>
  <c r="P50" i="1"/>
  <c r="P43" i="1"/>
  <c r="E12" i="4"/>
  <c r="P245" i="1"/>
  <c r="P239" i="1"/>
  <c r="P233" i="1"/>
  <c r="P227" i="1"/>
  <c r="P221" i="1"/>
  <c r="P215" i="1"/>
  <c r="P209" i="1"/>
  <c r="P203" i="1"/>
  <c r="P197" i="1"/>
  <c r="P191" i="1"/>
  <c r="P185" i="1"/>
  <c r="P179" i="1"/>
  <c r="P173" i="1"/>
  <c r="P167" i="1"/>
  <c r="P161" i="1"/>
  <c r="P155" i="1"/>
  <c r="P149" i="1"/>
  <c r="P143" i="1"/>
  <c r="P137" i="1"/>
  <c r="P131" i="1"/>
  <c r="P125" i="1"/>
  <c r="P119" i="1"/>
  <c r="P113" i="1"/>
  <c r="P107" i="1"/>
  <c r="P101" i="1"/>
  <c r="P95" i="1"/>
  <c r="P89" i="1"/>
  <c r="P83" i="1"/>
  <c r="P77" i="1"/>
  <c r="P71" i="1"/>
  <c r="P65" i="1"/>
  <c r="P59" i="1"/>
  <c r="P3" i="5"/>
  <c r="P118" i="1"/>
  <c r="B9" i="2"/>
  <c r="D11" i="2"/>
  <c r="C34" i="2"/>
  <c r="B34" i="2"/>
  <c r="F3" i="1"/>
  <c r="D15" i="2"/>
  <c r="C15" i="2" s="1"/>
  <c r="D38" i="2" s="1"/>
  <c r="C38" i="2"/>
  <c r="B38" i="2"/>
  <c r="F56" i="1"/>
  <c r="D2" i="2"/>
  <c r="C25" i="2"/>
  <c r="B25" i="2"/>
  <c r="F63" i="1"/>
  <c r="D4" i="2"/>
  <c r="C4" i="2" s="1"/>
  <c r="D27" i="2" s="1"/>
  <c r="C27" i="2"/>
  <c r="B27" i="2"/>
  <c r="F68" i="1"/>
  <c r="N11" i="4"/>
  <c r="N9" i="4"/>
  <c r="O11" i="4"/>
  <c r="O9" i="4"/>
  <c r="O12" i="4"/>
  <c r="D9" i="4"/>
  <c r="P2" i="4"/>
  <c r="D11" i="4"/>
  <c r="P7" i="4"/>
  <c r="D12" i="4"/>
  <c r="P8" i="4"/>
  <c r="E11" i="4"/>
  <c r="E9" i="4"/>
  <c r="P5" i="4"/>
  <c r="D7" i="2"/>
  <c r="C7" i="2" s="1"/>
  <c r="D30" i="2" s="1"/>
  <c r="C30" i="2"/>
  <c r="B30" i="2"/>
  <c r="D17" i="2"/>
  <c r="C17" i="2" s="1"/>
  <c r="D40" i="2" s="1"/>
  <c r="C40" i="2"/>
  <c r="B40" i="2"/>
  <c r="C37" i="2"/>
  <c r="B37" i="2"/>
  <c r="D14" i="2"/>
  <c r="C14" i="2" s="1"/>
  <c r="D37" i="2" s="1"/>
  <c r="D12" i="2"/>
  <c r="C12" i="2" s="1"/>
  <c r="D35" i="2" s="1"/>
  <c r="C35" i="2"/>
  <c r="B35" i="2"/>
  <c r="D13" i="2"/>
  <c r="C13" i="2" s="1"/>
  <c r="D36" i="2" s="1"/>
  <c r="C36" i="2"/>
  <c r="B36" i="2"/>
  <c r="D6" i="2"/>
  <c r="C6" i="2" s="1"/>
  <c r="D29" i="2" s="1"/>
  <c r="C29" i="2"/>
  <c r="B29" i="2"/>
  <c r="D16" i="2"/>
  <c r="C16" i="2" s="1"/>
  <c r="D39" i="2" s="1"/>
  <c r="C39" i="2"/>
  <c r="B39" i="2"/>
  <c r="F241" i="1"/>
  <c r="G11" i="4"/>
  <c r="G9" i="4"/>
  <c r="P3" i="4"/>
  <c r="H11" i="4"/>
  <c r="H9" i="4"/>
  <c r="B18" i="2"/>
  <c r="I11" i="4"/>
  <c r="I9" i="4"/>
  <c r="J11" i="4"/>
  <c r="J9" i="4"/>
  <c r="K11" i="4"/>
  <c r="K9" i="4"/>
  <c r="P4" i="4"/>
  <c r="D3" i="2"/>
  <c r="C3" i="2" s="1"/>
  <c r="D26" i="2" s="1"/>
  <c r="C26" i="2"/>
  <c r="B26" i="2"/>
  <c r="D8" i="2"/>
  <c r="C8" i="2" s="1"/>
  <c r="D31" i="2" s="1"/>
  <c r="C31" i="2"/>
  <c r="B31" i="2"/>
  <c r="D5" i="2"/>
  <c r="C5" i="2" s="1"/>
  <c r="D28" i="2" s="1"/>
  <c r="C28" i="2"/>
  <c r="B28" i="2"/>
  <c r="L11" i="4"/>
  <c r="L9" i="4"/>
  <c r="M11" i="4"/>
  <c r="M9" i="4"/>
  <c r="P6" i="4"/>
  <c r="F9" i="4"/>
  <c r="P9" i="4" l="1"/>
  <c r="P11" i="4"/>
  <c r="C2" i="2"/>
  <c r="D25" i="2" s="1"/>
  <c r="D9" i="2"/>
  <c r="C9" i="2" s="1"/>
  <c r="P12" i="4"/>
  <c r="C11" i="2"/>
  <c r="D34" i="2" s="1"/>
  <c r="D18" i="2"/>
  <c r="C18" i="2" s="1"/>
  <c r="B44" i="11" l="1"/>
  <c r="C52" i="12" l="1"/>
  <c r="I5" i="11" s="1"/>
  <c r="I6" i="11" l="1"/>
  <c r="N52" i="12"/>
  <c r="M52" i="12"/>
  <c r="D27" i="12" l="1"/>
  <c r="C35" i="12" l="1"/>
  <c r="D31" i="12"/>
  <c r="E31" i="12" s="1"/>
  <c r="F31" i="12" s="1"/>
  <c r="G31" i="12" s="1"/>
  <c r="H31" i="12" s="1"/>
  <c r="I31" i="12" s="1"/>
  <c r="J31" i="12" s="1"/>
  <c r="K31" i="12" s="1"/>
  <c r="L31" i="12" s="1"/>
  <c r="C32" i="12"/>
  <c r="E27" i="12"/>
  <c r="N31" i="12" l="1"/>
  <c r="D32" i="12"/>
  <c r="E32" i="12" s="1"/>
  <c r="F32" i="12" s="1"/>
  <c r="G32" i="12" s="1"/>
  <c r="H32" i="12" s="1"/>
  <c r="I32" i="12" s="1"/>
  <c r="J32" i="12" s="1"/>
  <c r="K32" i="12" s="1"/>
  <c r="L32" i="12" s="1"/>
  <c r="D28" i="12"/>
  <c r="C24" i="12"/>
  <c r="C36" i="12"/>
  <c r="D35" i="12"/>
  <c r="E35" i="12"/>
  <c r="F27" i="12"/>
  <c r="C34" i="12"/>
  <c r="C38" i="12" s="1"/>
  <c r="N32" i="12" l="1"/>
  <c r="G27" i="12"/>
  <c r="F35" i="12"/>
  <c r="C26" i="12"/>
  <c r="C30" i="12"/>
  <c r="C40" i="12"/>
  <c r="E28" i="12"/>
  <c r="D24" i="12"/>
  <c r="D26" i="12" s="1"/>
  <c r="D36" i="12"/>
  <c r="D34" i="12" s="1"/>
  <c r="D40" i="12" l="1"/>
  <c r="D41" i="12" s="1"/>
  <c r="D38" i="12"/>
  <c r="D30" i="12"/>
  <c r="F28" i="12"/>
  <c r="E24" i="12"/>
  <c r="E36" i="12"/>
  <c r="C41" i="12"/>
  <c r="C43" i="12" s="1"/>
  <c r="G35" i="12"/>
  <c r="H27" i="12"/>
  <c r="E40" i="12" l="1"/>
  <c r="E34" i="12"/>
  <c r="D43" i="12"/>
  <c r="D45" i="12" s="1"/>
  <c r="D48" i="12" s="1"/>
  <c r="C45" i="12"/>
  <c r="E26" i="12"/>
  <c r="G28" i="12"/>
  <c r="F24" i="12"/>
  <c r="F26" i="12" s="1"/>
  <c r="F36" i="12"/>
  <c r="H35" i="12"/>
  <c r="I27" i="12"/>
  <c r="E38" i="12" l="1"/>
  <c r="E30" i="12"/>
  <c r="E41" i="12"/>
  <c r="F40" i="12"/>
  <c r="F41" i="12" s="1"/>
  <c r="F34" i="12"/>
  <c r="F38" i="12" s="1"/>
  <c r="D46" i="12"/>
  <c r="D53" i="12"/>
  <c r="H28" i="12"/>
  <c r="G24" i="12"/>
  <c r="G36" i="12"/>
  <c r="I35" i="12"/>
  <c r="J27" i="12"/>
  <c r="C46" i="12"/>
  <c r="C48" i="12"/>
  <c r="C53" i="12"/>
  <c r="F43" i="12" l="1"/>
  <c r="F45" i="12" s="1"/>
  <c r="F46" i="12" s="1"/>
  <c r="E43" i="12"/>
  <c r="F30" i="12"/>
  <c r="G40" i="12"/>
  <c r="G34" i="12"/>
  <c r="G26" i="12"/>
  <c r="K27" i="12"/>
  <c r="J35" i="12"/>
  <c r="I28" i="12"/>
  <c r="H24" i="12"/>
  <c r="H36" i="12"/>
  <c r="F53" i="12" l="1"/>
  <c r="F48" i="12"/>
  <c r="G38" i="12"/>
  <c r="G30" i="12"/>
  <c r="G41" i="12"/>
  <c r="H40" i="12"/>
  <c r="H34" i="12"/>
  <c r="H38" i="12" s="1"/>
  <c r="E45" i="12"/>
  <c r="H26" i="12"/>
  <c r="K35" i="12"/>
  <c r="L27" i="12"/>
  <c r="N27" i="12" s="1"/>
  <c r="J28" i="12"/>
  <c r="I36" i="12"/>
  <c r="I24" i="12"/>
  <c r="H30" i="12" l="1"/>
  <c r="E46" i="12"/>
  <c r="E48" i="12"/>
  <c r="E53" i="12"/>
  <c r="H41" i="12"/>
  <c r="H43" i="12" s="1"/>
  <c r="H45" i="12" s="1"/>
  <c r="H48" i="12" s="1"/>
  <c r="I40" i="12"/>
  <c r="I41" i="12" s="1"/>
  <c r="I34" i="12"/>
  <c r="I30" i="12" s="1"/>
  <c r="G43" i="12"/>
  <c r="I26" i="12"/>
  <c r="K28" i="12"/>
  <c r="J24" i="12"/>
  <c r="J26" i="12" s="1"/>
  <c r="J36" i="12"/>
  <c r="L35" i="12"/>
  <c r="F3" i="11"/>
  <c r="C54" i="12" s="1"/>
  <c r="J5" i="11" s="1"/>
  <c r="H46" i="12" l="1"/>
  <c r="H53" i="12"/>
  <c r="G45" i="12"/>
  <c r="I38" i="12"/>
  <c r="I43" i="12" s="1"/>
  <c r="I45" i="12" s="1"/>
  <c r="N35" i="12"/>
  <c r="M35" i="12"/>
  <c r="J40" i="12"/>
  <c r="J41" i="12" s="1"/>
  <c r="J34" i="12"/>
  <c r="J38" i="12" s="1"/>
  <c r="L28" i="12"/>
  <c r="N28" i="12" s="1"/>
  <c r="K24" i="12"/>
  <c r="K26" i="12" s="1"/>
  <c r="K36" i="12"/>
  <c r="J30" i="12"/>
  <c r="F4" i="11"/>
  <c r="J43" i="12" l="1"/>
  <c r="K40" i="12"/>
  <c r="K41" i="12" s="1"/>
  <c r="K34" i="12"/>
  <c r="K30" i="12" s="1"/>
  <c r="I46" i="12"/>
  <c r="I53" i="12"/>
  <c r="I48" i="12"/>
  <c r="G46" i="12"/>
  <c r="G48" i="12"/>
  <c r="G53" i="12"/>
  <c r="L36" i="12"/>
  <c r="L24" i="12"/>
  <c r="D54" i="12"/>
  <c r="F5" i="11"/>
  <c r="C51" i="12"/>
  <c r="J6" i="11"/>
  <c r="L40" i="12" l="1"/>
  <c r="M36" i="12"/>
  <c r="N36" i="12"/>
  <c r="L34" i="12"/>
  <c r="N34" i="12" s="1"/>
  <c r="J45" i="12"/>
  <c r="K38" i="12"/>
  <c r="N24" i="12"/>
  <c r="M24" i="12"/>
  <c r="L26" i="12"/>
  <c r="D51" i="12"/>
  <c r="D56" i="12" s="1"/>
  <c r="K5" i="11"/>
  <c r="K6" i="11" s="1"/>
  <c r="F6" i="11"/>
  <c r="C56" i="12"/>
  <c r="E54" i="12"/>
  <c r="L30" i="12" l="1"/>
  <c r="L41" i="12"/>
  <c r="M40" i="12"/>
  <c r="N40" i="12"/>
  <c r="K43" i="12"/>
  <c r="J48" i="12"/>
  <c r="J53" i="12"/>
  <c r="J46" i="12"/>
  <c r="M34" i="12"/>
  <c r="L38" i="12"/>
  <c r="N38" i="12" s="1"/>
  <c r="N26" i="12"/>
  <c r="N30" i="12"/>
  <c r="E51" i="12"/>
  <c r="E56" i="12" s="1"/>
  <c r="L5" i="11"/>
  <c r="L6" i="11" s="1"/>
  <c r="F7" i="11"/>
  <c r="F54" i="12"/>
  <c r="M41" i="12" l="1"/>
  <c r="N41" i="12"/>
  <c r="M38" i="12"/>
  <c r="L43" i="12"/>
  <c r="L45" i="12" s="1"/>
  <c r="K45" i="12"/>
  <c r="F51" i="12"/>
  <c r="F56" i="12" s="1"/>
  <c r="M5" i="11"/>
  <c r="M6" i="11" s="1"/>
  <c r="G54" i="12"/>
  <c r="F8" i="11"/>
  <c r="M43" i="12" l="1"/>
  <c r="N43" i="12"/>
  <c r="K53" i="12"/>
  <c r="N53" i="12" s="1"/>
  <c r="K46" i="12"/>
  <c r="K48" i="12"/>
  <c r="N45" i="12"/>
  <c r="M45" i="12"/>
  <c r="L46" i="12"/>
  <c r="L53" i="12"/>
  <c r="L48" i="12"/>
  <c r="G51" i="12"/>
  <c r="G56" i="12" s="1"/>
  <c r="N5" i="11"/>
  <c r="N6" i="11" s="1"/>
  <c r="F9" i="11"/>
  <c r="H54" i="12"/>
  <c r="O5" i="11" s="1"/>
  <c r="M48" i="12" l="1"/>
  <c r="N48" i="12"/>
  <c r="M53" i="12"/>
  <c r="N46" i="12"/>
  <c r="I54" i="12"/>
  <c r="F10" i="11"/>
  <c r="O6" i="11"/>
  <c r="H51" i="12"/>
  <c r="I51" i="12" l="1"/>
  <c r="I56" i="12" s="1"/>
  <c r="P5" i="11"/>
  <c r="P6" i="11" s="1"/>
  <c r="H56" i="12"/>
  <c r="F11" i="11"/>
  <c r="J54" i="12"/>
  <c r="J51" i="12" l="1"/>
  <c r="J56" i="12" s="1"/>
  <c r="Q5" i="11"/>
  <c r="Q6" i="11" s="1"/>
  <c r="K54" i="12"/>
  <c r="F12" i="11"/>
  <c r="K51" i="12" l="1"/>
  <c r="K56" i="12" s="1"/>
  <c r="R5" i="11"/>
  <c r="R6" i="11" s="1"/>
  <c r="L54" i="12"/>
  <c r="S5" i="11" s="1"/>
  <c r="S6" i="11" l="1"/>
  <c r="L51" i="12"/>
  <c r="M54" i="12"/>
  <c r="N54" i="12"/>
  <c r="L56" i="12" l="1"/>
  <c r="N51" i="12"/>
  <c r="M51" i="12"/>
  <c r="M56" i="12" l="1"/>
  <c r="N56" i="12"/>
</calcChain>
</file>

<file path=xl/sharedStrings.xml><?xml version="1.0" encoding="utf-8"?>
<sst xmlns="http://schemas.openxmlformats.org/spreadsheetml/2006/main" count="1258" uniqueCount="155">
  <si>
    <t>№ п/п</t>
  </si>
  <si>
    <t>Этаж</t>
  </si>
  <si>
    <t>Номер</t>
  </si>
  <si>
    <t>Упр.номер</t>
  </si>
  <si>
    <t>Категория</t>
  </si>
  <si>
    <t>Площадь</t>
  </si>
  <si>
    <t>Площадь балкона</t>
  </si>
  <si>
    <t>Площадь итого</t>
  </si>
  <si>
    <t>Отделка</t>
  </si>
  <si>
    <t>Назначение</t>
  </si>
  <si>
    <t>Апартамент</t>
  </si>
  <si>
    <t>без отделки</t>
  </si>
  <si>
    <t>Service</t>
  </si>
  <si>
    <t>Стандарт</t>
  </si>
  <si>
    <t>Люкс</t>
  </si>
  <si>
    <t>Апартамент Плюс</t>
  </si>
  <si>
    <t>Люкс Патио</t>
  </si>
  <si>
    <t>с отделкой и комплектацией</t>
  </si>
  <si>
    <t>Invest</t>
  </si>
  <si>
    <t>Люкс Терасса Ф</t>
  </si>
  <si>
    <t>Люкс Терасса Б</t>
  </si>
  <si>
    <t>Люкс Представительский</t>
  </si>
  <si>
    <t>Наименование категории</t>
  </si>
  <si>
    <t>Количество апартаментов</t>
  </si>
  <si>
    <t xml:space="preserve">Средняя площадь </t>
  </si>
  <si>
    <t>Продаваемая площадь</t>
  </si>
  <si>
    <t>Комплектация</t>
  </si>
  <si>
    <t>ИТОГО</t>
  </si>
  <si>
    <t>Без отделки</t>
  </si>
  <si>
    <t>Min</t>
  </si>
  <si>
    <t>Max</t>
  </si>
  <si>
    <t>Ave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</si>
  <si>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</si>
  <si>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</si>
  <si>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</si>
  <si>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</si>
  <si>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</si>
  <si>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</si>
  <si>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</si>
  <si>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</si>
  <si>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</si>
  <si>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</si>
  <si>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</si>
  <si>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</si>
  <si>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CIPRESSO</t>
  </si>
  <si>
    <t>Бартон Парк</t>
  </si>
  <si>
    <t>Курорт-отель Демерджи</t>
  </si>
  <si>
    <t>Гранатовое поместье</t>
  </si>
  <si>
    <t>Море, спа-отель</t>
  </si>
  <si>
    <t>Калипсо</t>
  </si>
  <si>
    <t>Вилла "ИваМария"</t>
  </si>
  <si>
    <t>Звездность</t>
  </si>
  <si>
    <t>Номерной фонд</t>
  </si>
  <si>
    <t>Июль</t>
  </si>
  <si>
    <t>Август</t>
  </si>
  <si>
    <t>Сентябрь</t>
  </si>
  <si>
    <t>Октябрь</t>
  </si>
  <si>
    <t>Ноябрь</t>
  </si>
  <si>
    <t>Декабрь</t>
  </si>
  <si>
    <t>Январь</t>
  </si>
  <si>
    <t>Февраль</t>
  </si>
  <si>
    <t>Март</t>
  </si>
  <si>
    <t>Апрель</t>
  </si>
  <si>
    <t>Май</t>
  </si>
  <si>
    <t>Июнь</t>
  </si>
  <si>
    <t>СРЕДНЕЕ</t>
  </si>
  <si>
    <t>ADR</t>
  </si>
  <si>
    <t>4*</t>
  </si>
  <si>
    <t>OCC</t>
  </si>
  <si>
    <t>Итого</t>
  </si>
  <si>
    <t>Доступный номерной фонд</t>
  </si>
  <si>
    <t>-</t>
  </si>
  <si>
    <t>1 год</t>
  </si>
  <si>
    <t>2 год</t>
  </si>
  <si>
    <t>3 год</t>
  </si>
  <si>
    <t>4 год</t>
  </si>
  <si>
    <t>5 год</t>
  </si>
  <si>
    <t>6 год</t>
  </si>
  <si>
    <t>7 год</t>
  </si>
  <si>
    <t>8 год</t>
  </si>
  <si>
    <t>9 год</t>
  </si>
  <si>
    <t>10 год</t>
  </si>
  <si>
    <t>Занятое количество комнатоночей</t>
  </si>
  <si>
    <t>Расходы номерного фонда</t>
  </si>
  <si>
    <t>Номер помещения</t>
  </si>
  <si>
    <t>Кол-во комнат</t>
  </si>
  <si>
    <t>Площадь, м2</t>
  </si>
  <si>
    <t>Полная цена (без ремонта)</t>
  </si>
  <si>
    <t>Цена за метр (без ремонта)</t>
  </si>
  <si>
    <t>Статус</t>
  </si>
  <si>
    <t>Планируемая стоимость на 2026 г. (без ремонта)</t>
  </si>
  <si>
    <t>Планируемая цена за метр на 2026 г. (без ремонта)</t>
  </si>
  <si>
    <t>Продано</t>
  </si>
  <si>
    <t xml:space="preserve">Площадь </t>
  </si>
  <si>
    <t>Стоимость без отделки</t>
  </si>
  <si>
    <t>Свободно</t>
  </si>
  <si>
    <t>С отделкой</t>
  </si>
  <si>
    <t>Стоимость отделки руб.м2</t>
  </si>
  <si>
    <t>Стоимость комплектации, руб/м2</t>
  </si>
  <si>
    <t>Стоимость итого</t>
  </si>
  <si>
    <t>Выбор апартамента</t>
  </si>
  <si>
    <t>Названия строк</t>
  </si>
  <si>
    <t>Общий итог</t>
  </si>
  <si>
    <t>Стоимость, без отделки, руб/м2</t>
  </si>
  <si>
    <t>Стоимость отделки, руб./м2</t>
  </si>
  <si>
    <t>Стоимость комплектации, руб/м2</t>
  </si>
  <si>
    <t>Стоимость инвестиции, руб./м2</t>
  </si>
  <si>
    <t>Стоимость инвестиции, руб.</t>
  </si>
  <si>
    <t>Показатель</t>
  </si>
  <si>
    <t>Ед. изм.</t>
  </si>
  <si>
    <t xml:space="preserve">2 год </t>
  </si>
  <si>
    <t>Среднее</t>
  </si>
  <si>
    <t>шт.</t>
  </si>
  <si>
    <t xml:space="preserve">Доступное количество комнатоночей </t>
  </si>
  <si>
    <t xml:space="preserve">Краткосрочная </t>
  </si>
  <si>
    <t>Долгосрочная</t>
  </si>
  <si>
    <t>%</t>
  </si>
  <si>
    <t>Краткосрочное размещение</t>
  </si>
  <si>
    <t>Долгосрочное размещение</t>
  </si>
  <si>
    <t>руб./мес.</t>
  </si>
  <si>
    <t>руб./сут.</t>
  </si>
  <si>
    <t>Выручка номерного фонда, в т.ч.:</t>
  </si>
  <si>
    <t>Загрузка проекта, в т.ч.:</t>
  </si>
  <si>
    <t>Средний тариф на размещение, в т.ч.:</t>
  </si>
  <si>
    <t>Вознаграждение гостиничного оператора</t>
  </si>
  <si>
    <t>Операционная доходность</t>
  </si>
  <si>
    <t>млн.руб.</t>
  </si>
  <si>
    <t>Выручка на 1 номер в управлении</t>
  </si>
  <si>
    <t>тыс.руб.</t>
  </si>
  <si>
    <t>Расходы на 1 номер в управлении</t>
  </si>
  <si>
    <t xml:space="preserve">Операционная доходность </t>
  </si>
  <si>
    <t>руб./год.</t>
  </si>
  <si>
    <t>%/год.</t>
  </si>
  <si>
    <t>Доходность от роста стоимости м2</t>
  </si>
  <si>
    <t>Капитализация ОН до открытия проекта</t>
  </si>
  <si>
    <t>Выход на сделку</t>
  </si>
  <si>
    <t>Дата открытия отеля</t>
  </si>
  <si>
    <t>ИТОГО ДОХОДНОСТЬ НА ИНВЕСТИЦИЮ</t>
  </si>
  <si>
    <t>Доходность от роста стоимости м2 до старта</t>
  </si>
  <si>
    <t>руб.</t>
  </si>
  <si>
    <t>%/год</t>
  </si>
  <si>
    <t>До старта проекта</t>
  </si>
  <si>
    <t>Инв. Затраты</t>
  </si>
  <si>
    <t>Инв. Прибыль</t>
  </si>
  <si>
    <t>Инв. Доходы</t>
  </si>
  <si>
    <t>Коэф загрузка краткосрок</t>
  </si>
  <si>
    <t>Коэф загрузка долгосрок</t>
  </si>
  <si>
    <t>Коэф тариф краткосрок</t>
  </si>
  <si>
    <t xml:space="preserve">Коэф тариф долгосрок </t>
  </si>
  <si>
    <t>Расходы краткосрок</t>
  </si>
  <si>
    <t>Расходы долгосрок</t>
  </si>
  <si>
    <t>АВА</t>
  </si>
  <si>
    <t>ДДУ</t>
  </si>
  <si>
    <t>Внутренняя бронь</t>
  </si>
  <si>
    <t>Бронь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</si>
</sst>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164" formatCode="0.0%"/>
    <numFmt numFmtId="165" formatCode="#,##0.0"/>
  </numFmts>
  <fonts count="18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.5"/>
      <color theme="1"/>
      <name val="Stolzl Light"/>
      <family val="3"/>
    </font>
    <font>
      <b/>
      <sz val="10.5"/>
      <color theme="1"/>
      <name val="Stolzl Light"/>
      <family val="3"/>
    </font>
    <font>
      <sz val="11"/>
      <color theme="1"/>
      <name val="Calibri-Light"/>
      <family val="2"/>
      <charset val="204"/>
    </font>
    <font>
      <b/>
      <sz val="9"/>
      <color theme="1"/>
      <name val="Stolzl-Light"/>
      <charset val="204"/>
    </font>
    <font>
      <sz val="9"/>
      <color theme="1"/>
      <name val="Stolzl-Light"/>
      <charset val="204"/>
    </font>
    <font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theme="1"/>
      <name val="Stolzl-Light"/>
      <charset val="204"/>
    </font>
    <font>
      <sz val="10"/>
      <color theme="1"/>
      <name val="Stolzl-Light"/>
      <charset val="204"/>
    </font>
    <font>
      <sz val="10"/>
      <color rgb="FFFF0000"/>
      <name val="Stolzl-Light"/>
      <charset val="204"/>
    </font>
    <font>
      <b/>
      <sz val="10"/>
      <color theme="1"/>
      <name val="Stolzl-Light"/>
      <charset val="204"/>
    </font>
    <font>
      <sz val="8"/>
      <name val="Calibri"/>
      <family val="2"/>
      <charset val="204"/>
      <scheme val="minor"/>
    </font>
    <font>
      <sz val="10"/>
      <name val="Stolzl-Light"/>
      <charset val="204"/>
    </font>
    <font>
      <b/>
      <sz val="10"/>
      <name val="Stolzl-Light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5" fillId="0" borderId="1" xfId="2" applyFont="1" applyBorder="1" applyAlignment="1">
      <alignment vertical="center"/>
    </xf>
    <xf numFmtId="0" fontId="5" fillId="3" borderId="1" xfId="2" applyFont="1" applyFill="1" applyBorder="1" applyAlignment="1">
      <alignment horizontal="center"/>
    </xf>
    <xf numFmtId="0" fontId="6" fillId="0" borderId="0" xfId="2" applyFont="1"/>
    <xf numFmtId="0" fontId="5" fillId="0" borderId="1" xfId="2" applyFont="1" applyBorder="1" applyAlignment="1">
      <alignment horizontal="center" vertical="center"/>
    </xf>
    <xf numFmtId="3" fontId="6" fillId="0" borderId="1" xfId="3" applyNumberFormat="1" applyFont="1" applyBorder="1" applyAlignment="1">
      <alignment horizontal="center"/>
    </xf>
    <xf numFmtId="3" fontId="6" fillId="0" borderId="0" xfId="2" applyNumberFormat="1" applyFont="1"/>
    <xf numFmtId="9" fontId="6" fillId="0" borderId="1" xfId="3" applyFont="1" applyBorder="1" applyAlignment="1">
      <alignment horizontal="center"/>
    </xf>
    <xf numFmtId="9" fontId="6" fillId="0" borderId="0" xfId="2" applyNumberFormat="1" applyFont="1"/>
    <xf numFmtId="0" fontId="4" fillId="0" borderId="0" xfId="2"/>
    <xf numFmtId="9" fontId="7" fillId="0" borderId="0" xfId="0" applyNumberFormat="1" applyFont="1" applyAlignment="1">
      <alignment horizontal="center" vertical="center"/>
    </xf>
    <xf numFmtId="9" fontId="8" fillId="0" borderId="0" xfId="1" applyFont="1" applyAlignment="1">
      <alignment horizontal="center" vertical="center"/>
    </xf>
    <xf numFmtId="10" fontId="7" fillId="0" borderId="0" xfId="0" applyNumberFormat="1" applyFont="1" applyAlignment="1">
      <alignment horizontal="center" vertical="center"/>
    </xf>
    <xf numFmtId="0" fontId="10" fillId="0" borderId="0" xfId="4" applyFont="1" applyAlignment="1">
      <alignment horizontal="center" vertical="center" wrapText="1"/>
    </xf>
    <xf numFmtId="44" fontId="10" fillId="0" borderId="0" xfId="5" applyFont="1" applyAlignment="1">
      <alignment horizontal="center" vertical="center" wrapText="1"/>
    </xf>
    <xf numFmtId="0" fontId="9" fillId="0" borderId="0" xfId="4"/>
    <xf numFmtId="44" fontId="0" fillId="0" borderId="0" xfId="5" applyFont="1"/>
    <xf numFmtId="44" fontId="9" fillId="0" borderId="0" xfId="4" applyNumberFormat="1"/>
    <xf numFmtId="0" fontId="11" fillId="0" borderId="0" xfId="0" applyFont="1"/>
    <xf numFmtId="0" fontId="11" fillId="2" borderId="1" xfId="0" applyFont="1" applyFill="1" applyBorder="1"/>
    <xf numFmtId="0" fontId="11" fillId="0" borderId="1" xfId="0" applyFont="1" applyBorder="1"/>
    <xf numFmtId="0" fontId="11" fillId="0" borderId="2" xfId="0" applyFont="1" applyBorder="1"/>
    <xf numFmtId="3" fontId="11" fillId="0" borderId="1" xfId="0" applyNumberFormat="1" applyFont="1" applyBorder="1"/>
    <xf numFmtId="3" fontId="11" fillId="0" borderId="2" xfId="0" applyNumberFormat="1" applyFont="1" applyBorder="1"/>
    <xf numFmtId="3" fontId="11" fillId="2" borderId="1" xfId="0" applyNumberFormat="1" applyFont="1" applyFill="1" applyBorder="1"/>
    <xf numFmtId="3" fontId="11" fillId="2" borderId="2" xfId="0" applyNumberFormat="1" applyFont="1" applyFill="1" applyBorder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3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9" fontId="13" fillId="4" borderId="0" xfId="0" applyNumberFormat="1" applyFont="1" applyFill="1" applyAlignment="1">
      <alignment horizontal="center" vertical="center"/>
    </xf>
    <xf numFmtId="9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3" fontId="12" fillId="0" borderId="0" xfId="0" applyNumberFormat="1" applyFont="1" applyAlignment="1">
      <alignment horizontal="center"/>
    </xf>
    <xf numFmtId="0" fontId="14" fillId="5" borderId="0" xfId="0" applyFont="1" applyFill="1" applyAlignment="1">
      <alignment vertical="center"/>
    </xf>
    <xf numFmtId="0" fontId="14" fillId="5" borderId="0" xfId="0" applyFont="1" applyFill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indent="1"/>
    </xf>
    <xf numFmtId="164" fontId="12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9" fontId="13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2" fillId="5" borderId="10" xfId="0" applyFont="1" applyFill="1" applyBorder="1" applyAlignment="1">
      <alignment horizontal="center" vertical="center"/>
    </xf>
    <xf numFmtId="164" fontId="14" fillId="5" borderId="8" xfId="1" applyNumberFormat="1" applyFont="1" applyFill="1" applyBorder="1" applyAlignment="1">
      <alignment horizontal="center" vertical="center"/>
    </xf>
    <xf numFmtId="164" fontId="14" fillId="5" borderId="11" xfId="1" applyNumberFormat="1" applyFont="1" applyFill="1" applyBorder="1" applyAlignment="1">
      <alignment horizontal="center" vertical="center"/>
    </xf>
    <xf numFmtId="164" fontId="14" fillId="5" borderId="11" xfId="0" applyNumberFormat="1" applyFont="1" applyFill="1" applyBorder="1" applyAlignment="1">
      <alignment horizontal="center" vertical="center"/>
    </xf>
    <xf numFmtId="164" fontId="14" fillId="5" borderId="9" xfId="0" applyNumberFormat="1" applyFont="1" applyFill="1" applyBorder="1" applyAlignment="1">
      <alignment horizontal="center" vertical="center"/>
    </xf>
    <xf numFmtId="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" fontId="13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3" fontId="13" fillId="4" borderId="1" xfId="0" applyNumberFormat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64" fontId="13" fillId="4" borderId="1" xfId="0" applyNumberFormat="1" applyFont="1" applyFill="1" applyBorder="1" applyAlignment="1">
      <alignment horizontal="center" vertical="center"/>
    </xf>
    <xf numFmtId="3" fontId="13" fillId="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3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64" fontId="17" fillId="0" borderId="1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9" fontId="16" fillId="0" borderId="1" xfId="0" applyNumberFormat="1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165" fontId="17" fillId="0" borderId="1" xfId="0" applyNumberFormat="1" applyFont="1" applyBorder="1" applyAlignment="1">
      <alignment horizontal="center" vertical="center"/>
    </xf>
    <xf numFmtId="165" fontId="16" fillId="0" borderId="1" xfId="0" applyNumberFormat="1" applyFont="1" applyBorder="1" applyAlignment="1">
      <alignment horizontal="center" vertical="center"/>
    </xf>
    <xf numFmtId="164" fontId="16" fillId="0" borderId="1" xfId="1" applyNumberFormat="1" applyFont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3" fontId="11" fillId="0" borderId="2" xfId="0" applyNumberFormat="1" applyFont="1" applyBorder="1" applyAlignment="1">
      <alignment horizontal="center"/>
    </xf>
    <xf numFmtId="3" fontId="11" fillId="0" borderId="3" xfId="0" applyNumberFormat="1" applyFont="1" applyBorder="1" applyAlignment="1">
      <alignment horizontal="center"/>
    </xf>
    <xf numFmtId="3" fontId="11" fillId="0" borderId="4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</cellXfs>
  <cellStyles count="6">
    <cellStyle name="Денежный 2" xfId="5"/>
    <cellStyle name="Обычный" xfId="0" builtinId="0"/>
    <cellStyle name="Обычный 2" xfId="2"/>
    <cellStyle name="Обычный 4" xfId="4"/>
    <cellStyle name="Процентный" xfId="1" builtinId="5"/>
    <cellStyle name="Процентный 2" xfId="3"/>
  </cellStyles>
  <dxfs count="0"/>
  <tableStyles count="0" defaultTableStyle="TableStyleMedium2" defaultPivotStyle="PivotStyleLight16"/>
  <colors>
    <mruColors>
      <color rgb="FF93FF00"/>
      <color rgb="FF0880C4"/>
      <color rgb="FF9DA8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000" b="0" i="0">
                <a:latin typeface="Stolzl Light" pitchFamily="2" charset="0"/>
              </a:rPr>
              <a:t>Окупаемость инвестиций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Доходность!$H$4</c:f>
              <c:strCache>
                <c:ptCount val="1"/>
                <c:pt idx="0">
                  <c:v>Инв. Затраты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880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28-4C24-AE99-72E8017236C6}"/>
              </c:ext>
            </c:extLst>
          </c:dPt>
          <c:cat>
            <c:strRef>
              <c:f>Доходность!$I$3:$S$3</c:f>
              <c:strCache>
                <c:ptCount val="11"/>
                <c:pt idx="0">
                  <c:v>До старта проекта</c:v>
                </c:pt>
                <c:pt idx="1">
                  <c:v>1 год</c:v>
                </c:pt>
                <c:pt idx="2">
                  <c:v>2 год </c:v>
                </c:pt>
                <c:pt idx="3">
                  <c:v>3 год</c:v>
                </c:pt>
                <c:pt idx="4">
                  <c:v>4 год</c:v>
                </c:pt>
                <c:pt idx="5">
                  <c:v>5 год</c:v>
                </c:pt>
                <c:pt idx="6">
                  <c:v>6 год</c:v>
                </c:pt>
                <c:pt idx="7">
                  <c:v>7 год</c:v>
                </c:pt>
                <c:pt idx="8">
                  <c:v>8 год</c:v>
                </c:pt>
                <c:pt idx="9">
                  <c:v>9 год</c:v>
                </c:pt>
                <c:pt idx="10">
                  <c:v>10 год</c:v>
                </c:pt>
              </c:strCache>
            </c:strRef>
          </c:cat>
          <c:val>
            <c:numRef>
              <c:f>Доходность!$I$4:$S$4</c:f>
              <c:numCache>
                <c:formatCode>General</c:formatCode>
                <c:ptCount val="11"/>
                <c:pt idx="0" formatCode="#,##0">
                  <c:v>-8095004.1499999994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28-4C24-AE99-72E8017236C6}"/>
            </c:ext>
          </c:extLst>
        </c:ser>
        <c:ser>
          <c:idx val="1"/>
          <c:order val="1"/>
          <c:tx>
            <c:strRef>
              <c:f>Доходность!$H$5</c:f>
              <c:strCache>
                <c:ptCount val="1"/>
                <c:pt idx="0">
                  <c:v>Инв. Доходы</c:v>
                </c:pt>
              </c:strCache>
            </c:strRef>
          </c:tx>
          <c:spPr>
            <a:solidFill>
              <a:srgbClr val="9DA8BF"/>
            </a:solidFill>
            <a:ln>
              <a:noFill/>
            </a:ln>
            <a:effectLst/>
          </c:spPr>
          <c:invertIfNegative val="0"/>
          <c:cat>
            <c:strRef>
              <c:f>Доходность!$I$3:$S$3</c:f>
              <c:strCache>
                <c:ptCount val="11"/>
                <c:pt idx="0">
                  <c:v>До старта проекта</c:v>
                </c:pt>
                <c:pt idx="1">
                  <c:v>1 год</c:v>
                </c:pt>
                <c:pt idx="2">
                  <c:v>2 год </c:v>
                </c:pt>
                <c:pt idx="3">
                  <c:v>3 год</c:v>
                </c:pt>
                <c:pt idx="4">
                  <c:v>4 год</c:v>
                </c:pt>
                <c:pt idx="5">
                  <c:v>5 год</c:v>
                </c:pt>
                <c:pt idx="6">
                  <c:v>6 год</c:v>
                </c:pt>
                <c:pt idx="7">
                  <c:v>7 год</c:v>
                </c:pt>
                <c:pt idx="8">
                  <c:v>8 год</c:v>
                </c:pt>
                <c:pt idx="9">
                  <c:v>9 год</c:v>
                </c:pt>
                <c:pt idx="10">
                  <c:v>10 год</c:v>
                </c:pt>
              </c:strCache>
            </c:strRef>
          </c:cat>
          <c:val>
            <c:numRef>
              <c:f>Доходность!$I$5:$S$5</c:f>
              <c:numCache>
                <c:formatCode>#,##0</c:formatCode>
                <c:ptCount val="11"/>
                <c:pt idx="0">
                  <c:v>7844868.8263925174</c:v>
                </c:pt>
                <c:pt idx="1">
                  <c:v>1628769.181312317</c:v>
                </c:pt>
                <c:pt idx="2">
                  <c:v>1821532.9339468291</c:v>
                </c:pt>
                <c:pt idx="3">
                  <c:v>2009746.8347125899</c:v>
                </c:pt>
                <c:pt idx="4">
                  <c:v>2181606.7906756471</c:v>
                </c:pt>
                <c:pt idx="5">
                  <c:v>2333671.6561010177</c:v>
                </c:pt>
                <c:pt idx="6">
                  <c:v>2464327.2809251826</c:v>
                </c:pt>
                <c:pt idx="7">
                  <c:v>2591086.6691526002</c:v>
                </c:pt>
                <c:pt idx="8">
                  <c:v>2720491.5297813164</c:v>
                </c:pt>
                <c:pt idx="9">
                  <c:v>2851969.0170061337</c:v>
                </c:pt>
                <c:pt idx="10">
                  <c:v>2994599.6046032803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28-4C24-AE99-72E8017236C6}"/>
            </c:ext>
          </c:extLst>
        </c:ser>
        <c:ser>
          <c:idx val="2"/>
          <c:order val="2"/>
          <c:tx>
            <c:strRef>
              <c:f>Доходность!$H$6</c:f>
              <c:strCache>
                <c:ptCount val="1"/>
                <c:pt idx="0">
                  <c:v>Инв. Прибыль</c:v>
                </c:pt>
              </c:strCache>
            </c:strRef>
          </c:tx>
          <c:spPr>
            <a:solidFill>
              <a:srgbClr val="93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Stolzl Light" pitchFamily="2" charset="0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Доходность!$I$3:$S$3</c:f>
              <c:strCache>
                <c:ptCount val="11"/>
                <c:pt idx="0">
                  <c:v>До старта проекта</c:v>
                </c:pt>
                <c:pt idx="1">
                  <c:v>1 год</c:v>
                </c:pt>
                <c:pt idx="2">
                  <c:v>2 год </c:v>
                </c:pt>
                <c:pt idx="3">
                  <c:v>3 год</c:v>
                </c:pt>
                <c:pt idx="4">
                  <c:v>4 год</c:v>
                </c:pt>
                <c:pt idx="5">
                  <c:v>5 год</c:v>
                </c:pt>
                <c:pt idx="6">
                  <c:v>6 год</c:v>
                </c:pt>
                <c:pt idx="7">
                  <c:v>7 год</c:v>
                </c:pt>
                <c:pt idx="8">
                  <c:v>8 год</c:v>
                </c:pt>
                <c:pt idx="9">
                  <c:v>9 год</c:v>
                </c:pt>
                <c:pt idx="10">
                  <c:v>10 год</c:v>
                </c:pt>
              </c:strCache>
            </c:strRef>
          </c:cat>
          <c:val>
            <c:numRef>
              <c:f>Доходность!$I$6:$S$6</c:f>
              <c:numCache>
                <c:formatCode>#,##0</c:formatCode>
                <c:ptCount val="11"/>
                <c:pt idx="0">
                  <c:v>-250135.32360748202</c:v>
                </c:pt>
                <c:pt idx="1">
                  <c:v>1378633.857704835</c:v>
                </c:pt>
                <c:pt idx="2">
                  <c:v>3200166.7916516643</c:v>
                </c:pt>
                <c:pt idx="3">
                  <c:v>5209913.6263642544</c:v>
                </c:pt>
                <c:pt idx="4">
                  <c:v>7391520.417039901</c:v>
                </c:pt>
                <c:pt idx="5">
                  <c:v>9725192.0731409192</c:v>
                </c:pt>
                <c:pt idx="6">
                  <c:v>12189519.354066102</c:v>
                </c:pt>
                <c:pt idx="7">
                  <c:v>14780606.023218703</c:v>
                </c:pt>
                <c:pt idx="8">
                  <c:v>17501097.553000018</c:v>
                </c:pt>
                <c:pt idx="9">
                  <c:v>20353066.570006151</c:v>
                </c:pt>
                <c:pt idx="10">
                  <c:v>23347666.17460943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28-4C24-AE99-72E801723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overlap val="-8"/>
        <c:axId val="908726928"/>
        <c:axId val="908818928"/>
      </c:barChart>
      <c:catAx>
        <c:axId val="9087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tolzl Light" pitchFamily="2" charset="0"/>
                <a:ea typeface="+mn-ea"/>
                <a:cs typeface="+mn-cs"/>
              </a:defRPr>
            </a:pPr>
            <a:endParaRPr lang="ru-RU"/>
          </a:p>
        </c:txPr>
        <c:crossAx val="908818928"/>
        <c:crosses val="autoZero"/>
        <c:auto val="1"/>
        <c:lblAlgn val="ctr"/>
        <c:lblOffset val="100"/>
        <c:noMultiLvlLbl val="0"/>
      </c:catAx>
      <c:valAx>
        <c:axId val="908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#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Stolzl Light" pitchFamily="2" charset="0"/>
                <a:ea typeface="+mn-ea"/>
                <a:cs typeface="+mn-cs"/>
              </a:defRPr>
            </a:pPr>
            <a:endParaRPr lang="ru-RU"/>
          </a:p>
        </c:txPr>
        <c:crossAx val="908726928"/>
        <c:crosses val="autoZero"/>
        <c:crossBetween val="between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tolzl Light" pitchFamily="2" charset="0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0</xdr:row>
      <xdr:rowOff>38100</xdr:rowOff>
    </xdr:from>
    <xdr:to>
      <xdr:col>5</xdr:col>
      <xdr:colOff>190500</xdr:colOff>
      <xdr:row>13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Назначение">
              <a:extLst>
                <a:ext uri="{FF2B5EF4-FFF2-40B4-BE49-F238E27FC236}">
                  <a16:creationId xmlns:a16="http://schemas.microsoft.com/office/drawing/2014/main" id="{A72A2E30-6B03-D320-7AFE-E6E7C35853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азначе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51300" y="38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254000</xdr:colOff>
      <xdr:row>0</xdr:row>
      <xdr:rowOff>38100</xdr:rowOff>
    </xdr:from>
    <xdr:to>
      <xdr:col>7</xdr:col>
      <xdr:colOff>431800</xdr:colOff>
      <xdr:row>13</xdr:row>
      <xdr:rowOff>15872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Статус">
              <a:extLst>
                <a:ext uri="{FF2B5EF4-FFF2-40B4-BE49-F238E27FC236}">
                  <a16:creationId xmlns:a16="http://schemas.microsoft.com/office/drawing/2014/main" id="{4CCFDB9A-E749-89A1-894D-F33FC5841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Стату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600" y="38100"/>
              <a:ext cx="1828800" cy="26193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0</xdr:row>
      <xdr:rowOff>25400</xdr:rowOff>
    </xdr:from>
    <xdr:to>
      <xdr:col>4</xdr:col>
      <xdr:colOff>419100</xdr:colOff>
      <xdr:row>10</xdr:row>
      <xdr:rowOff>106200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Категория 1">
              <a:extLst>
                <a:ext uri="{FF2B5EF4-FFF2-40B4-BE49-F238E27FC236}">
                  <a16:creationId xmlns:a16="http://schemas.microsoft.com/office/drawing/2014/main" id="{FFF56BA5-25F9-4B78-9410-1077FBF404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06433" y="25400"/>
              <a:ext cx="2702278" cy="26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584200</xdr:colOff>
      <xdr:row>0</xdr:row>
      <xdr:rowOff>44450</xdr:rowOff>
    </xdr:from>
    <xdr:to>
      <xdr:col>13</xdr:col>
      <xdr:colOff>965200</xdr:colOff>
      <xdr:row>17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BDF2F25-30F5-4B63-83A0-97A408C7A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Николай Пана" refreshedDate="45537.283800347221" createdVersion="8" refreshedVersion="8" minRefreshableVersion="3" recordCount="245">
  <cacheSource type="worksheet">
    <worksheetSource ref="A1:P1048576" sheet="Экспликация"/>
  </cacheSource>
  <cacheFields count="16">
    <cacheField name="№ п/п" numFmtId="0">
      <sharedItems containsString="0" containsBlank="1" containsNumber="1" containsInteger="1" minValue="1" maxValue="244"/>
    </cacheField>
    <cacheField name="Этаж" numFmtId="0">
      <sharedItems containsString="0" containsBlank="1" containsNumber="1" containsInteger="1" minValue="3" maxValue="14"/>
    </cacheField>
    <cacheField name="Номер" numFmtId="0">
      <sharedItems containsString="0" containsBlank="1" containsNumber="1" containsInteger="1" minValue="1" maxValue="244"/>
    </cacheField>
    <cacheField name="Упр.номер" numFmtId="0">
      <sharedItems containsString="0" containsBlank="1" containsNumber="1" containsInteger="1" minValue="301" maxValue="1410" count="245"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301"/>
        <n v="1302"/>
        <n v="1303"/>
        <n v="1304"/>
        <n v="1305"/>
        <n v="1306"/>
        <n v="1307"/>
        <n v="1308"/>
        <n v="1309"/>
        <n v="1310"/>
        <n v="1311"/>
        <n v="1401"/>
        <n v="1402"/>
        <n v="1403"/>
        <n v="1404"/>
        <n v="1405"/>
        <n v="1406"/>
        <n v="1407"/>
        <n v="1408"/>
        <n v="1409"/>
        <n v="1410"/>
        <m/>
      </sharedItems>
    </cacheField>
    <cacheField name="Категория" numFmtId="0">
      <sharedItems containsBlank="1" count="9">
        <s v="Апартамент"/>
        <s v="Стандарт"/>
        <s v="Люкс"/>
        <s v="Апартамент Плюс"/>
        <s v="Люкс Патио"/>
        <s v="Люкс Терасса Ф"/>
        <s v="Люкс Терасса Б"/>
        <s v="Люкс Представительский"/>
        <m/>
      </sharedItems>
    </cacheField>
    <cacheField name="Площадь" numFmtId="4">
      <sharedItems containsString="0" containsBlank="1" containsNumber="1" minValue="15.360000000000001" maxValue="51.469999999999992"/>
    </cacheField>
    <cacheField name="Площадь балкона" numFmtId="4">
      <sharedItems containsString="0" containsBlank="1" containsNumber="1" minValue="1.95" maxValue="63.07"/>
    </cacheField>
    <cacheField name="Площадь итого" numFmtId="4">
      <sharedItems containsString="0" containsBlank="1" containsNumber="1" minValue="18.670000000000002" maxValue="99.13"/>
    </cacheField>
    <cacheField name="Отделка" numFmtId="0">
      <sharedItems containsBlank="1"/>
    </cacheField>
    <cacheField name="Назначение" numFmtId="0">
      <sharedItems containsBlank="1" count="3">
        <s v="Service"/>
        <s v="Invest"/>
        <m/>
      </sharedItems>
    </cacheField>
    <cacheField name="Статус" numFmtId="0">
      <sharedItems containsBlank="1" count="3">
        <s v="Свободно"/>
        <s v="Продажа"/>
        <m/>
      </sharedItems>
    </cacheField>
    <cacheField name="Площадь " numFmtId="0">
      <sharedItems containsString="0" containsBlank="1" containsNumber="1" minValue="18.670000000000002" maxValue="99.13"/>
    </cacheField>
    <cacheField name="Стоимость без отделки" numFmtId="0">
      <sharedItems containsString="0" containsBlank="1" containsNumber="1" containsInteger="1" minValue="169474" maxValue="327696"/>
    </cacheField>
    <cacheField name="Стоимость отделки руб.м2" numFmtId="0">
      <sharedItems containsString="0" containsBlank="1" containsNumber="1" containsInteger="1" minValue="50000" maxValue="50000"/>
    </cacheField>
    <cacheField name="Стоимость комплектации, руб/м2" numFmtId="0">
      <sharedItems containsString="0" containsBlank="1" containsNumber="1" containsInteger="1" minValue="50000" maxValue="50000"/>
    </cacheField>
    <cacheField name="Стоимость итого" numFmtId="0">
      <sharedItems containsString="0" containsBlank="1" containsNumber="1" minValue="4374997" maxValue="30489007.510000002"/>
    </cacheField>
  </cacheFields>
  <extLst>
    <ext xmlns:x14="http://schemas.microsoft.com/office/spreadsheetml/2009/9/main" uri="{725AE2AE-9491-48be-B2B4-4EB974FC3084}">
      <x14:pivotCacheDefinition pivotCacheId="3744207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5">
  <r>
    <n v="1"/>
    <n v="3"/>
    <n v="1"/>
    <x v="0"/>
    <x v="0"/>
    <n v="41.67"/>
    <n v="5.96"/>
    <n v="47.63"/>
    <s v="без отделки"/>
    <x v="0"/>
    <x v="0"/>
    <n v="47.63"/>
    <n v="199454"/>
    <m/>
    <m/>
    <n v="9499994.0200000014"/>
  </r>
  <r>
    <n v="2"/>
    <n v="3"/>
    <n v="2"/>
    <x v="1"/>
    <x v="1"/>
    <n v="16.02"/>
    <n v="2.75"/>
    <n v="18.77"/>
    <s v="без отделки"/>
    <x v="0"/>
    <x v="0"/>
    <n v="18.77"/>
    <n v="245072"/>
    <m/>
    <m/>
    <n v="4600001.4399999995"/>
  </r>
  <r>
    <n v="3"/>
    <n v="3"/>
    <n v="3"/>
    <x v="2"/>
    <x v="1"/>
    <n v="16.03"/>
    <n v="2.82"/>
    <n v="18.850000000000001"/>
    <s v="без отделки"/>
    <x v="0"/>
    <x v="0"/>
    <n v="18.850000000000001"/>
    <n v="244032"/>
    <m/>
    <m/>
    <n v="4600003.2"/>
  </r>
  <r>
    <n v="4"/>
    <n v="3"/>
    <n v="4"/>
    <x v="3"/>
    <x v="1"/>
    <n v="16.060000000000002"/>
    <n v="2.74"/>
    <n v="18.8"/>
    <s v="без отделки"/>
    <x v="0"/>
    <x v="0"/>
    <n v="18.8"/>
    <n v="244681"/>
    <m/>
    <m/>
    <n v="4600002.8"/>
  </r>
  <r>
    <n v="5"/>
    <n v="3"/>
    <n v="5"/>
    <x v="4"/>
    <x v="1"/>
    <n v="16.05"/>
    <n v="2.82"/>
    <n v="18.87"/>
    <s v="без отделки"/>
    <x v="0"/>
    <x v="0"/>
    <n v="18.87"/>
    <n v="249073"/>
    <m/>
    <m/>
    <n v="4700007.5100000007"/>
  </r>
  <r>
    <n v="6"/>
    <n v="3"/>
    <n v="6"/>
    <x v="5"/>
    <x v="1"/>
    <n v="16.05"/>
    <n v="2.82"/>
    <n v="18.87"/>
    <s v="без отделки"/>
    <x v="0"/>
    <x v="0"/>
    <n v="18.87"/>
    <n v="249073"/>
    <m/>
    <m/>
    <n v="4700007.5100000007"/>
  </r>
  <r>
    <n v="7"/>
    <n v="3"/>
    <n v="7"/>
    <x v="6"/>
    <x v="1"/>
    <n v="16.059999999999999"/>
    <n v="2.96"/>
    <n v="19.02"/>
    <s v="без отделки"/>
    <x v="0"/>
    <x v="0"/>
    <n v="19.02"/>
    <n v="247108"/>
    <m/>
    <m/>
    <n v="4699994.16"/>
  </r>
  <r>
    <n v="8"/>
    <n v="3"/>
    <n v="8"/>
    <x v="7"/>
    <x v="0"/>
    <n v="24.63"/>
    <n v="6.07"/>
    <n v="30.7"/>
    <s v="без отделки"/>
    <x v="0"/>
    <x v="0"/>
    <n v="30.7"/>
    <n v="201954"/>
    <m/>
    <m/>
    <n v="6199987.7999999998"/>
  </r>
  <r>
    <n v="9"/>
    <n v="3"/>
    <n v="9"/>
    <x v="8"/>
    <x v="1"/>
    <n v="16.02"/>
    <n v="2.89"/>
    <n v="18.91"/>
    <s v="без отделки"/>
    <x v="0"/>
    <x v="0"/>
    <n v="18.91"/>
    <n v="253834"/>
    <m/>
    <m/>
    <n v="4800000.9400000004"/>
  </r>
  <r>
    <n v="10"/>
    <n v="3"/>
    <n v="10"/>
    <x v="9"/>
    <x v="1"/>
    <n v="16.02"/>
    <n v="2.97"/>
    <n v="18.989999999999998"/>
    <s v="без отделки"/>
    <x v="0"/>
    <x v="0"/>
    <n v="18.989999999999998"/>
    <n v="252765"/>
    <m/>
    <m/>
    <n v="4800007.3499999996"/>
  </r>
  <r>
    <n v="11"/>
    <n v="3"/>
    <n v="11"/>
    <x v="10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12"/>
    <n v="3"/>
    <n v="12"/>
    <x v="11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13"/>
    <n v="3"/>
    <n v="13"/>
    <x v="12"/>
    <x v="1"/>
    <n v="16.02"/>
    <n v="2.89"/>
    <n v="18.91"/>
    <s v="без отделки"/>
    <x v="0"/>
    <x v="0"/>
    <n v="18.91"/>
    <n v="259122"/>
    <m/>
    <m/>
    <n v="4899997.0200000005"/>
  </r>
  <r>
    <n v="14"/>
    <n v="3"/>
    <n v="14"/>
    <x v="13"/>
    <x v="0"/>
    <n v="32.58"/>
    <n v="6.17"/>
    <n v="38.75"/>
    <s v="без отделки"/>
    <x v="0"/>
    <x v="0"/>
    <n v="38.75"/>
    <n v="211355"/>
    <m/>
    <m/>
    <n v="8190006.25"/>
  </r>
  <r>
    <n v="15"/>
    <n v="3"/>
    <n v="15"/>
    <x v="14"/>
    <x v="2"/>
    <n v="40.96"/>
    <n v="9.1300000000000008"/>
    <n v="50.09"/>
    <s v="без отделки"/>
    <x v="0"/>
    <x v="0"/>
    <n v="50.09"/>
    <n v="201637"/>
    <m/>
    <m/>
    <n v="10099997.33"/>
  </r>
  <r>
    <n v="16"/>
    <n v="3"/>
    <n v="16"/>
    <x v="15"/>
    <x v="2"/>
    <n v="41"/>
    <n v="9.1300000000000008"/>
    <n v="50.13"/>
    <s v="без отделки"/>
    <x v="0"/>
    <x v="0"/>
    <n v="50.13"/>
    <n v="201476"/>
    <m/>
    <m/>
    <n v="10099991.880000001"/>
  </r>
  <r>
    <n v="17"/>
    <n v="3"/>
    <n v="17"/>
    <x v="16"/>
    <x v="1"/>
    <n v="15.75"/>
    <n v="2.96"/>
    <n v="18.71"/>
    <s v="без отделки"/>
    <x v="0"/>
    <x v="0"/>
    <n v="18.71"/>
    <n v="261892"/>
    <m/>
    <m/>
    <n v="4899999.32"/>
  </r>
  <r>
    <n v="18"/>
    <n v="3"/>
    <n v="18"/>
    <x v="17"/>
    <x v="1"/>
    <n v="15.969999999999999"/>
    <n v="2.96"/>
    <n v="18.93"/>
    <s v="без отделки"/>
    <x v="0"/>
    <x v="0"/>
    <n v="18.93"/>
    <n v="258848"/>
    <m/>
    <m/>
    <n v="4899992.6399999997"/>
  </r>
  <r>
    <n v="19"/>
    <n v="3"/>
    <n v="19"/>
    <x v="18"/>
    <x v="1"/>
    <n v="16.03"/>
    <n v="2.88"/>
    <n v="18.91"/>
    <s v="без отделки"/>
    <x v="0"/>
    <x v="0"/>
    <n v="18.91"/>
    <n v="259122"/>
    <m/>
    <m/>
    <n v="4899997.0200000005"/>
  </r>
  <r>
    <n v="20"/>
    <n v="3"/>
    <n v="20"/>
    <x v="19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21"/>
    <n v="3"/>
    <n v="21"/>
    <x v="20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22"/>
    <n v="3"/>
    <n v="22"/>
    <x v="21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23"/>
    <n v="3"/>
    <n v="23"/>
    <x v="22"/>
    <x v="1"/>
    <n v="16.03"/>
    <n v="2.88"/>
    <n v="18.91"/>
    <s v="без отделки"/>
    <x v="0"/>
    <x v="0"/>
    <n v="18.91"/>
    <n v="253834"/>
    <m/>
    <m/>
    <n v="4800000.9400000004"/>
  </r>
  <r>
    <n v="24"/>
    <n v="3"/>
    <n v="24"/>
    <x v="23"/>
    <x v="1"/>
    <n v="16.029999999999998"/>
    <n v="2.96"/>
    <n v="18.989999999999998"/>
    <s v="без отделки"/>
    <x v="0"/>
    <x v="0"/>
    <n v="18.989999999999998"/>
    <n v="252765"/>
    <m/>
    <m/>
    <n v="4800007.3499999996"/>
  </r>
  <r>
    <n v="25"/>
    <n v="3"/>
    <n v="25"/>
    <x v="24"/>
    <x v="0"/>
    <n v="32.58"/>
    <n v="5.96"/>
    <n v="38.54"/>
    <s v="без отделки"/>
    <x v="0"/>
    <x v="0"/>
    <n v="38.54"/>
    <n v="198755"/>
    <m/>
    <m/>
    <n v="7660017.7000000002"/>
  </r>
  <r>
    <n v="26"/>
    <n v="3"/>
    <n v="26"/>
    <x v="25"/>
    <x v="1"/>
    <n v="16.05"/>
    <n v="2.82"/>
    <n v="18.87"/>
    <s v="без отделки"/>
    <x v="0"/>
    <x v="1"/>
    <n v="18.87"/>
    <n v="238474"/>
    <m/>
    <m/>
    <n v="4500004.38"/>
  </r>
  <r>
    <n v="27"/>
    <n v="3"/>
    <n v="27"/>
    <x v="26"/>
    <x v="1"/>
    <n v="16.04"/>
    <n v="2.75"/>
    <n v="18.79"/>
    <s v="без отделки"/>
    <x v="0"/>
    <x v="1"/>
    <n v="18.79"/>
    <n v="239489"/>
    <m/>
    <m/>
    <n v="4499998.3099999996"/>
  </r>
  <r>
    <n v="28"/>
    <n v="3"/>
    <n v="28"/>
    <x v="27"/>
    <x v="1"/>
    <n v="16.059999999999999"/>
    <n v="2.82"/>
    <n v="18.88"/>
    <s v="без отделки"/>
    <x v="0"/>
    <x v="0"/>
    <n v="18.88"/>
    <n v="238347"/>
    <m/>
    <m/>
    <n v="4499991.3599999994"/>
  </r>
  <r>
    <n v="29"/>
    <n v="3"/>
    <n v="29"/>
    <x v="28"/>
    <x v="1"/>
    <n v="16.020000000000003"/>
    <n v="2.74"/>
    <n v="18.760000000000002"/>
    <s v="без отделки"/>
    <x v="0"/>
    <x v="0"/>
    <n v="18.760000000000002"/>
    <n v="239872"/>
    <m/>
    <m/>
    <n v="4499998.7200000007"/>
  </r>
  <r>
    <n v="30"/>
    <n v="3"/>
    <n v="30"/>
    <x v="29"/>
    <x v="2"/>
    <n v="41.65"/>
    <n v="5.96"/>
    <n v="47.61"/>
    <s v="без отделки"/>
    <x v="0"/>
    <x v="0"/>
    <n v="47.61"/>
    <n v="199538"/>
    <m/>
    <m/>
    <n v="9500004.1799999997"/>
  </r>
  <r>
    <n v="31"/>
    <n v="4"/>
    <n v="31"/>
    <x v="30"/>
    <x v="2"/>
    <n v="40.96"/>
    <n v="9.4"/>
    <n v="50.36"/>
    <s v="без отделки"/>
    <x v="0"/>
    <x v="0"/>
    <n v="50.36"/>
    <n v="198570"/>
    <m/>
    <m/>
    <n v="9999985.1999999993"/>
  </r>
  <r>
    <n v="32"/>
    <n v="4"/>
    <n v="32"/>
    <x v="31"/>
    <x v="1"/>
    <n v="15.670000000000002"/>
    <n v="3.25"/>
    <n v="18.920000000000002"/>
    <s v="без отделки"/>
    <x v="0"/>
    <x v="0"/>
    <n v="18.920000000000002"/>
    <n v="248414"/>
    <m/>
    <m/>
    <n v="4699992.8800000008"/>
  </r>
  <r>
    <n v="33"/>
    <n v="4"/>
    <n v="33"/>
    <x v="32"/>
    <x v="1"/>
    <n v="15.780000000000001"/>
    <n v="3.25"/>
    <n v="19.03"/>
    <s v="без отделки"/>
    <x v="0"/>
    <x v="0"/>
    <n v="19.03"/>
    <n v="246978"/>
    <m/>
    <m/>
    <n v="4699991.34"/>
  </r>
  <r>
    <n v="34"/>
    <n v="4"/>
    <n v="34"/>
    <x v="33"/>
    <x v="1"/>
    <n v="15.690000000000001"/>
    <n v="3.25"/>
    <n v="18.940000000000001"/>
    <s v="без отделки"/>
    <x v="0"/>
    <x v="1"/>
    <n v="18.940000000000001"/>
    <n v="248152"/>
    <m/>
    <m/>
    <n v="4699998.88"/>
  </r>
  <r>
    <n v="35"/>
    <n v="4"/>
    <n v="35"/>
    <x v="34"/>
    <x v="1"/>
    <n v="15.77"/>
    <n v="3.25"/>
    <n v="19.02"/>
    <s v="без отделки"/>
    <x v="0"/>
    <x v="0"/>
    <n v="19.02"/>
    <n v="252366"/>
    <m/>
    <m/>
    <n v="4800001.32"/>
  </r>
  <r>
    <n v="36"/>
    <n v="4"/>
    <n v="36"/>
    <x v="35"/>
    <x v="1"/>
    <n v="15.77"/>
    <n v="3.25"/>
    <n v="19.02"/>
    <s v="без отделки"/>
    <x v="0"/>
    <x v="0"/>
    <n v="19.02"/>
    <n v="252366"/>
    <m/>
    <m/>
    <n v="4800001.32"/>
  </r>
  <r>
    <n v="37"/>
    <n v="4"/>
    <n v="37"/>
    <x v="36"/>
    <x v="3"/>
    <n v="21"/>
    <n v="8.77"/>
    <n v="29.77"/>
    <s v="без отделки"/>
    <x v="0"/>
    <x v="0"/>
    <n v="29.77"/>
    <n v="211622"/>
    <m/>
    <m/>
    <n v="6299986.9399999995"/>
  </r>
  <r>
    <n v="38"/>
    <n v="4"/>
    <n v="38"/>
    <x v="37"/>
    <x v="0"/>
    <n v="24.110000000000003"/>
    <n v="3.31"/>
    <n v="27.42"/>
    <s v="без отделки"/>
    <x v="0"/>
    <x v="0"/>
    <n v="27.42"/>
    <n v="229759"/>
    <m/>
    <m/>
    <n v="6299991.7800000003"/>
  </r>
  <r>
    <n v="39"/>
    <n v="4"/>
    <n v="39"/>
    <x v="38"/>
    <x v="1"/>
    <n v="15.68"/>
    <n v="3.25"/>
    <n v="18.93"/>
    <s v="без отделки"/>
    <x v="0"/>
    <x v="0"/>
    <n v="18.93"/>
    <n v="258848"/>
    <m/>
    <m/>
    <n v="4899992.6399999997"/>
  </r>
  <r>
    <n v="40"/>
    <n v="4"/>
    <n v="40"/>
    <x v="39"/>
    <x v="1"/>
    <n v="15.75"/>
    <n v="3.25"/>
    <n v="19"/>
    <s v="без отделки"/>
    <x v="0"/>
    <x v="0"/>
    <n v="19"/>
    <n v="257895"/>
    <m/>
    <m/>
    <n v="4900005"/>
  </r>
  <r>
    <n v="41"/>
    <n v="4"/>
    <n v="41"/>
    <x v="40"/>
    <x v="1"/>
    <n v="15.75"/>
    <n v="3.25"/>
    <n v="19"/>
    <s v="без отделки"/>
    <x v="0"/>
    <x v="0"/>
    <n v="19"/>
    <n v="257895"/>
    <m/>
    <m/>
    <n v="4900005"/>
  </r>
  <r>
    <n v="42"/>
    <n v="4"/>
    <n v="42"/>
    <x v="41"/>
    <x v="1"/>
    <n v="15.75"/>
    <n v="3.25"/>
    <n v="19"/>
    <s v="без отделки"/>
    <x v="0"/>
    <x v="1"/>
    <n v="19"/>
    <n v="230263"/>
    <m/>
    <m/>
    <n v="4374997"/>
  </r>
  <r>
    <n v="43"/>
    <n v="4"/>
    <n v="43"/>
    <x v="42"/>
    <x v="1"/>
    <n v="15.670000000000002"/>
    <n v="3.25"/>
    <n v="18.920000000000002"/>
    <s v="без отделки"/>
    <x v="0"/>
    <x v="0"/>
    <n v="18.920000000000002"/>
    <n v="264271"/>
    <m/>
    <m/>
    <n v="5000007.32"/>
  </r>
  <r>
    <n v="44"/>
    <n v="4"/>
    <n v="44"/>
    <x v="43"/>
    <x v="0"/>
    <n v="31.790000000000003"/>
    <n v="6.7"/>
    <n v="38.49"/>
    <s v="без отделки"/>
    <x v="0"/>
    <x v="1"/>
    <n v="38.49"/>
    <n v="213042"/>
    <m/>
    <m/>
    <n v="8199986.5800000001"/>
  </r>
  <r>
    <n v="45"/>
    <n v="4"/>
    <n v="45"/>
    <x v="44"/>
    <x v="2"/>
    <n v="39.650000000000006"/>
    <n v="12.12"/>
    <n v="51.77"/>
    <s v="без отделки"/>
    <x v="0"/>
    <x v="0"/>
    <n v="51.77"/>
    <n v="209581"/>
    <m/>
    <m/>
    <n v="10850008.370000001"/>
  </r>
  <r>
    <n v="46"/>
    <n v="4"/>
    <n v="46"/>
    <x v="45"/>
    <x v="2"/>
    <n v="39.65"/>
    <n v="12.13"/>
    <n v="51.78"/>
    <s v="без отделки"/>
    <x v="0"/>
    <x v="0"/>
    <n v="51.78"/>
    <n v="209540"/>
    <m/>
    <m/>
    <n v="10849981.200000001"/>
  </r>
  <r>
    <n v="47"/>
    <n v="4"/>
    <n v="47"/>
    <x v="46"/>
    <x v="1"/>
    <n v="15.360000000000001"/>
    <n v="3.31"/>
    <n v="18.670000000000002"/>
    <s v="без отделки"/>
    <x v="0"/>
    <x v="1"/>
    <n v="18.670000000000002"/>
    <n v="267809"/>
    <m/>
    <m/>
    <n v="4999994.03"/>
  </r>
  <r>
    <n v="48"/>
    <n v="4"/>
    <n v="48"/>
    <x v="47"/>
    <x v="1"/>
    <n v="15.670000000000002"/>
    <n v="3.25"/>
    <n v="18.920000000000002"/>
    <s v="без отделки"/>
    <x v="0"/>
    <x v="1"/>
    <n v="18.920000000000002"/>
    <n v="231237"/>
    <m/>
    <m/>
    <n v="4375004.04"/>
  </r>
  <r>
    <n v="49"/>
    <n v="4"/>
    <n v="49"/>
    <x v="48"/>
    <x v="1"/>
    <n v="15.670000000000002"/>
    <n v="3.25"/>
    <n v="18.920000000000002"/>
    <s v="без отделки"/>
    <x v="0"/>
    <x v="0"/>
    <n v="18.920000000000002"/>
    <n v="264271"/>
    <m/>
    <m/>
    <n v="5000007.32"/>
  </r>
  <r>
    <n v="50"/>
    <n v="4"/>
    <n v="50"/>
    <x v="49"/>
    <x v="1"/>
    <n v="15.75"/>
    <n v="3.25"/>
    <n v="19"/>
    <s v="без отделки"/>
    <x v="0"/>
    <x v="1"/>
    <n v="19"/>
    <n v="257895"/>
    <m/>
    <m/>
    <n v="4900005"/>
  </r>
  <r>
    <n v="51"/>
    <n v="4"/>
    <n v="51"/>
    <x v="50"/>
    <x v="1"/>
    <n v="15.75"/>
    <n v="3.25"/>
    <n v="19"/>
    <s v="без отделки"/>
    <x v="0"/>
    <x v="1"/>
    <n v="19"/>
    <n v="257895"/>
    <m/>
    <m/>
    <n v="4900005"/>
  </r>
  <r>
    <n v="52"/>
    <n v="4"/>
    <n v="52"/>
    <x v="51"/>
    <x v="1"/>
    <n v="15.75"/>
    <n v="3.25"/>
    <n v="19"/>
    <s v="без отделки"/>
    <x v="0"/>
    <x v="1"/>
    <n v="19"/>
    <n v="257895"/>
    <m/>
    <m/>
    <n v="4900005"/>
  </r>
  <r>
    <n v="53"/>
    <n v="4"/>
    <n v="53"/>
    <x v="52"/>
    <x v="1"/>
    <n v="15.670000000000002"/>
    <n v="3.25"/>
    <n v="18.920000000000002"/>
    <s v="без отделки"/>
    <x v="0"/>
    <x v="0"/>
    <n v="18.920000000000002"/>
    <n v="258985"/>
    <m/>
    <m/>
    <n v="4899996.2"/>
  </r>
  <r>
    <n v="54"/>
    <n v="4"/>
    <n v="54"/>
    <x v="53"/>
    <x v="1"/>
    <n v="15.829999999999998"/>
    <n v="3.3"/>
    <n v="19.13"/>
    <s v="без отделки"/>
    <x v="0"/>
    <x v="1"/>
    <n v="19.13"/>
    <n v="256142"/>
    <m/>
    <m/>
    <n v="4899996.46"/>
  </r>
  <r>
    <n v="55"/>
    <n v="4"/>
    <n v="55"/>
    <x v="54"/>
    <x v="4"/>
    <n v="32.369999999999997"/>
    <n v="18.11"/>
    <n v="50.48"/>
    <s v="без отделки"/>
    <x v="0"/>
    <x v="0"/>
    <n v="50.48"/>
    <n v="198098"/>
    <m/>
    <m/>
    <n v="9999987.0399999991"/>
  </r>
  <r>
    <n v="56"/>
    <n v="4"/>
    <n v="56"/>
    <x v="55"/>
    <x v="1"/>
    <n v="15.77"/>
    <n v="3.25"/>
    <n v="19.02"/>
    <s v="без отделки"/>
    <x v="0"/>
    <x v="0"/>
    <n v="19.02"/>
    <n v="241851"/>
    <m/>
    <m/>
    <n v="4600006.0199999996"/>
  </r>
  <r>
    <n v="57"/>
    <n v="4"/>
    <n v="57"/>
    <x v="56"/>
    <x v="1"/>
    <n v="15.670000000000002"/>
    <n v="3.25"/>
    <n v="18.920000000000002"/>
    <s v="без отделки"/>
    <x v="0"/>
    <x v="0"/>
    <n v="18.920000000000002"/>
    <n v="243129"/>
    <m/>
    <m/>
    <n v="4600000.6800000006"/>
  </r>
  <r>
    <n v="58"/>
    <n v="4"/>
    <n v="58"/>
    <x v="57"/>
    <x v="1"/>
    <n v="15.780000000000001"/>
    <n v="3.25"/>
    <n v="19.03"/>
    <s v="без отделки"/>
    <x v="0"/>
    <x v="0"/>
    <n v="19.03"/>
    <n v="241724"/>
    <m/>
    <m/>
    <n v="4600007.7200000007"/>
  </r>
  <r>
    <n v="59"/>
    <n v="4"/>
    <n v="59"/>
    <x v="58"/>
    <x v="1"/>
    <n v="15.670000000000002"/>
    <n v="3.25"/>
    <n v="18.920000000000002"/>
    <s v="без отделки"/>
    <x v="0"/>
    <x v="0"/>
    <n v="18.920000000000002"/>
    <n v="243129"/>
    <m/>
    <m/>
    <n v="4600000.6800000006"/>
  </r>
  <r>
    <n v="60"/>
    <n v="4"/>
    <n v="60"/>
    <x v="59"/>
    <x v="2"/>
    <n v="40.99"/>
    <n v="9.39"/>
    <n v="50.38"/>
    <s v="без отделки"/>
    <x v="0"/>
    <x v="0"/>
    <n v="50.38"/>
    <n v="198491"/>
    <m/>
    <m/>
    <n v="9999976.5800000001"/>
  </r>
  <r>
    <n v="61"/>
    <n v="5"/>
    <n v="61"/>
    <x v="60"/>
    <x v="2"/>
    <n v="40.910000000000004"/>
    <n v="9.4"/>
    <n v="50.31"/>
    <s v="с отделкой и комплектацией"/>
    <x v="1"/>
    <x v="0"/>
    <n v="50.31"/>
    <n v="254423"/>
    <n v="50000"/>
    <n v="50000"/>
    <n v="17831021.129999999"/>
  </r>
  <r>
    <n v="62"/>
    <n v="5"/>
    <n v="62"/>
    <x v="61"/>
    <x v="1"/>
    <n v="15.66"/>
    <n v="3.25"/>
    <n v="18.91"/>
    <s v="с отделкой и комплектацией"/>
    <x v="1"/>
    <x v="0"/>
    <n v="18.91"/>
    <n v="264410"/>
    <n v="50000"/>
    <n v="50000"/>
    <n v="6890993.0999999996"/>
  </r>
  <r>
    <n v="63"/>
    <n v="5"/>
    <n v="63"/>
    <x v="62"/>
    <x v="1"/>
    <n v="15.690000000000001"/>
    <n v="3.25"/>
    <n v="18.940000000000001"/>
    <s v="с отделкой и комплектацией"/>
    <x v="1"/>
    <x v="0"/>
    <n v="18.940000000000001"/>
    <n v="263992"/>
    <n v="50000"/>
    <n v="50000"/>
    <n v="6894008.4800000004"/>
  </r>
  <r>
    <n v="64"/>
    <n v="5"/>
    <n v="64"/>
    <x v="63"/>
    <x v="1"/>
    <n v="15.64"/>
    <n v="3.25"/>
    <n v="18.89"/>
    <s v="с отделкой и комплектацией"/>
    <x v="1"/>
    <x v="0"/>
    <n v="18.89"/>
    <n v="269984"/>
    <n v="50000"/>
    <n v="50000"/>
    <n v="6988997.7599999998"/>
  </r>
  <r>
    <n v="65"/>
    <n v="5"/>
    <n v="65"/>
    <x v="64"/>
    <x v="1"/>
    <n v="15.7"/>
    <n v="3.25"/>
    <n v="18.95"/>
    <s v="с отделкой и комплектацией"/>
    <x v="1"/>
    <x v="0"/>
    <n v="18.95"/>
    <n v="269129"/>
    <n v="50000"/>
    <n v="50000"/>
    <n v="6994994.5499999998"/>
  </r>
  <r>
    <n v="66"/>
    <n v="5"/>
    <n v="66"/>
    <x v="65"/>
    <x v="1"/>
    <n v="15.68"/>
    <n v="3.25"/>
    <n v="18.93"/>
    <s v="с отделкой и комплектацией"/>
    <x v="1"/>
    <x v="0"/>
    <n v="18.93"/>
    <n v="269414"/>
    <n v="50000"/>
    <n v="50000"/>
    <n v="6993007.0199999996"/>
  </r>
  <r>
    <n v="67"/>
    <n v="5"/>
    <n v="67"/>
    <x v="66"/>
    <x v="3"/>
    <n v="20.92"/>
    <n v="8.77"/>
    <n v="29.69"/>
    <s v="с отделкой и комплектацией"/>
    <x v="1"/>
    <x v="0"/>
    <n v="29.69"/>
    <n v="252610"/>
    <n v="50000"/>
    <n v="50000"/>
    <n v="10468990.9"/>
  </r>
  <r>
    <n v="68"/>
    <n v="5"/>
    <n v="68"/>
    <x v="67"/>
    <x v="0"/>
    <n v="24.110000000000003"/>
    <n v="3.31"/>
    <n v="27.42"/>
    <s v="с отделкой и комплектацией"/>
    <x v="1"/>
    <x v="0"/>
    <n v="27.42"/>
    <n v="273523"/>
    <n v="50000"/>
    <n v="50000"/>
    <n v="10242000.66"/>
  </r>
  <r>
    <n v="69"/>
    <n v="5"/>
    <n v="69"/>
    <x v="68"/>
    <x v="1"/>
    <n v="15.670000000000002"/>
    <n v="3.25"/>
    <n v="18.920000000000002"/>
    <s v="с отделкой и комплектацией"/>
    <x v="1"/>
    <x v="0"/>
    <n v="18.920000000000002"/>
    <n v="274841"/>
    <n v="50000"/>
    <n v="50000"/>
    <n v="7091991.7200000007"/>
  </r>
  <r>
    <n v="70"/>
    <n v="5"/>
    <n v="70"/>
    <x v="69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71"/>
    <n v="5"/>
    <n v="71"/>
    <x v="70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72"/>
    <n v="5"/>
    <n v="72"/>
    <x v="71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73"/>
    <n v="5"/>
    <n v="73"/>
    <x v="72"/>
    <x v="1"/>
    <n v="15.670000000000002"/>
    <n v="3.25"/>
    <n v="18.920000000000002"/>
    <s v="с отделкой и комплектацией"/>
    <x v="1"/>
    <x v="0"/>
    <n v="18.920000000000002"/>
    <n v="274841"/>
    <n v="50000"/>
    <n v="50000"/>
    <n v="7091991.7200000007"/>
  </r>
  <r>
    <n v="74"/>
    <n v="5"/>
    <n v="74"/>
    <x v="73"/>
    <x v="0"/>
    <n v="31.76"/>
    <n v="6.7"/>
    <n v="38.46"/>
    <s v="с отделкой и комплектацией"/>
    <x v="1"/>
    <x v="0"/>
    <n v="38.46"/>
    <n v="250000"/>
    <n v="50000"/>
    <n v="50000"/>
    <n v="13461000"/>
  </r>
  <r>
    <n v="75"/>
    <n v="5"/>
    <n v="75"/>
    <x v="74"/>
    <x v="2"/>
    <n v="39.690000000000005"/>
    <n v="12.12"/>
    <n v="51.81"/>
    <s v="с отделкой и комплектацией"/>
    <x v="1"/>
    <x v="0"/>
    <n v="51.81"/>
    <n v="250917"/>
    <n v="50000"/>
    <n v="50000"/>
    <n v="18181009.77"/>
  </r>
  <r>
    <n v="76"/>
    <n v="5"/>
    <n v="76"/>
    <x v="75"/>
    <x v="2"/>
    <n v="39.65"/>
    <n v="12.13"/>
    <n v="51.78"/>
    <s v="с отделкой и комплектацией"/>
    <x v="1"/>
    <x v="0"/>
    <n v="51.78"/>
    <n v="251062"/>
    <n v="50000"/>
    <n v="50000"/>
    <n v="18177990.359999999"/>
  </r>
  <r>
    <n v="77"/>
    <n v="5"/>
    <n v="77"/>
    <x v="76"/>
    <x v="1"/>
    <n v="15.37"/>
    <n v="3.31"/>
    <n v="18.68"/>
    <s v="с отделкой и комплектацией"/>
    <x v="1"/>
    <x v="0"/>
    <n v="18.68"/>
    <n v="283726"/>
    <n v="50000"/>
    <n v="50000"/>
    <n v="7168001.6799999997"/>
  </r>
  <r>
    <n v="78"/>
    <n v="5"/>
    <n v="78"/>
    <x v="77"/>
    <x v="1"/>
    <n v="15.719999999999999"/>
    <n v="3.25"/>
    <n v="18.97"/>
    <s v="с отделкой и комплектацией"/>
    <x v="1"/>
    <x v="0"/>
    <n v="18.97"/>
    <n v="279389"/>
    <n v="50000"/>
    <n v="50000"/>
    <n v="7197009.3299999991"/>
  </r>
  <r>
    <n v="79"/>
    <n v="5"/>
    <n v="79"/>
    <x v="78"/>
    <x v="1"/>
    <n v="15.670000000000002"/>
    <n v="3.25"/>
    <n v="18.920000000000002"/>
    <s v="с отделкой и комплектацией"/>
    <x v="1"/>
    <x v="0"/>
    <n v="18.920000000000002"/>
    <n v="274841"/>
    <n v="50000"/>
    <n v="50000"/>
    <n v="7091991.7200000007"/>
  </r>
  <r>
    <n v="80"/>
    <n v="5"/>
    <n v="80"/>
    <x v="79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81"/>
    <n v="5"/>
    <n v="81"/>
    <x v="80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82"/>
    <n v="5"/>
    <n v="82"/>
    <x v="81"/>
    <x v="1"/>
    <n v="15.75"/>
    <n v="3.25"/>
    <n v="19"/>
    <s v="с отделкой и комплектацией"/>
    <x v="1"/>
    <x v="0"/>
    <n v="19"/>
    <n v="273684"/>
    <n v="50000"/>
    <n v="50000"/>
    <n v="7099996"/>
  </r>
  <r>
    <n v="83"/>
    <n v="5"/>
    <n v="83"/>
    <x v="82"/>
    <x v="1"/>
    <n v="15.670000000000002"/>
    <n v="3.25"/>
    <n v="18.920000000000002"/>
    <s v="с отделкой и комплектацией"/>
    <x v="1"/>
    <x v="0"/>
    <n v="18.920000000000002"/>
    <n v="274841"/>
    <n v="50000"/>
    <n v="50000"/>
    <n v="7091991.7200000007"/>
  </r>
  <r>
    <n v="84"/>
    <n v="5"/>
    <n v="84"/>
    <x v="83"/>
    <x v="1"/>
    <n v="15.82"/>
    <n v="3.3"/>
    <n v="19.12"/>
    <s v="с отделкой и комплектацией"/>
    <x v="1"/>
    <x v="0"/>
    <n v="19.12"/>
    <n v="271967"/>
    <n v="50000"/>
    <n v="50000"/>
    <n v="7112009.04"/>
  </r>
  <r>
    <n v="85"/>
    <n v="5"/>
    <n v="85"/>
    <x v="84"/>
    <x v="4"/>
    <n v="32.31"/>
    <n v="18.11"/>
    <n v="50.42"/>
    <s v="с отделкой и комплектацией"/>
    <x v="1"/>
    <x v="0"/>
    <n v="50.42"/>
    <n v="228084"/>
    <n v="50000"/>
    <n v="50000"/>
    <n v="16541995.280000001"/>
  </r>
  <r>
    <n v="86"/>
    <n v="5"/>
    <n v="86"/>
    <x v="85"/>
    <x v="1"/>
    <n v="15.77"/>
    <n v="3.25"/>
    <n v="19.02"/>
    <s v="с отделкой и комплектацией"/>
    <x v="1"/>
    <x v="0"/>
    <n v="19.02"/>
    <n v="262881"/>
    <n v="50000"/>
    <n v="50000"/>
    <n v="6901996.6200000001"/>
  </r>
  <r>
    <n v="87"/>
    <n v="5"/>
    <n v="87"/>
    <x v="86"/>
    <x v="1"/>
    <n v="15.690000000000001"/>
    <n v="3.25"/>
    <n v="18.940000000000001"/>
    <s v="с отделкой и комплектацией"/>
    <x v="1"/>
    <x v="0"/>
    <n v="18.940000000000001"/>
    <n v="263992"/>
    <n v="50000"/>
    <n v="50000"/>
    <n v="6894008.4800000004"/>
  </r>
  <r>
    <n v="88"/>
    <n v="5"/>
    <n v="88"/>
    <x v="87"/>
    <x v="1"/>
    <n v="15.760000000000002"/>
    <n v="3.25"/>
    <n v="19.010000000000002"/>
    <s v="с отделкой и комплектацией"/>
    <x v="1"/>
    <x v="0"/>
    <n v="19.010000000000002"/>
    <n v="263019"/>
    <n v="50000"/>
    <n v="50000"/>
    <n v="6900991.1900000004"/>
  </r>
  <r>
    <n v="89"/>
    <n v="5"/>
    <n v="89"/>
    <x v="88"/>
    <x v="1"/>
    <n v="15.66"/>
    <n v="3.25"/>
    <n v="18.91"/>
    <s v="с отделкой и комплектацией"/>
    <x v="1"/>
    <x v="0"/>
    <n v="18.91"/>
    <n v="264410"/>
    <n v="50000"/>
    <n v="50000"/>
    <n v="6890993.0999999996"/>
  </r>
  <r>
    <n v="90"/>
    <n v="5"/>
    <n v="90"/>
    <x v="89"/>
    <x v="2"/>
    <n v="40.97"/>
    <n v="9.39"/>
    <n v="50.36"/>
    <s v="с отделкой и комплектацией"/>
    <x v="1"/>
    <x v="0"/>
    <n v="50.36"/>
    <n v="254170"/>
    <n v="50000"/>
    <n v="50000"/>
    <n v="17836001.199999999"/>
  </r>
  <r>
    <n v="91"/>
    <n v="6"/>
    <n v="91"/>
    <x v="90"/>
    <x v="2"/>
    <n v="41.32"/>
    <n v="9.0399999999999991"/>
    <n v="50.36"/>
    <s v="с отделкой и комплектацией"/>
    <x v="1"/>
    <x v="0"/>
    <n v="50.36"/>
    <n v="258141"/>
    <n v="50000"/>
    <n v="50000"/>
    <n v="18035980.760000002"/>
  </r>
  <r>
    <n v="92"/>
    <n v="6"/>
    <n v="92"/>
    <x v="91"/>
    <x v="1"/>
    <n v="15.970000000000002"/>
    <n v="2.95"/>
    <n v="18.920000000000002"/>
    <s v="с отделкой и комплектацией"/>
    <x v="1"/>
    <x v="0"/>
    <n v="18.920000000000002"/>
    <n v="269556"/>
    <n v="50000"/>
    <n v="50000"/>
    <n v="6991999.5200000005"/>
  </r>
  <r>
    <n v="93"/>
    <n v="6"/>
    <n v="93"/>
    <x v="92"/>
    <x v="1"/>
    <n v="16"/>
    <n v="3.03"/>
    <n v="19.03"/>
    <s v="с отделкой и комплектацией"/>
    <x v="1"/>
    <x v="0"/>
    <n v="19.03"/>
    <n v="267998"/>
    <n v="50000"/>
    <n v="50000"/>
    <n v="7003001.9400000004"/>
  </r>
  <r>
    <n v="94"/>
    <n v="6"/>
    <n v="94"/>
    <x v="93"/>
    <x v="1"/>
    <n v="15.98"/>
    <n v="2.95"/>
    <n v="18.93"/>
    <s v="с отделкой и комплектацией"/>
    <x v="1"/>
    <x v="0"/>
    <n v="18.93"/>
    <n v="274696"/>
    <n v="50000"/>
    <n v="50000"/>
    <n v="7092995.2800000003"/>
  </r>
  <r>
    <n v="95"/>
    <n v="6"/>
    <n v="95"/>
    <x v="94"/>
    <x v="1"/>
    <n v="16"/>
    <n v="3.02"/>
    <n v="19.02"/>
    <s v="с отделкой и комплектацией"/>
    <x v="1"/>
    <x v="0"/>
    <n v="19.02"/>
    <n v="273396"/>
    <n v="50000"/>
    <n v="50000"/>
    <n v="7101991.9199999999"/>
  </r>
  <r>
    <n v="96"/>
    <n v="6"/>
    <n v="96"/>
    <x v="95"/>
    <x v="1"/>
    <n v="16"/>
    <n v="3.02"/>
    <n v="19.02"/>
    <s v="с отделкой и комплектацией"/>
    <x v="1"/>
    <x v="0"/>
    <n v="19.02"/>
    <n v="273396"/>
    <n v="50000"/>
    <n v="50000"/>
    <n v="7101991.9199999999"/>
  </r>
  <r>
    <n v="97"/>
    <n v="6"/>
    <n v="97"/>
    <x v="96"/>
    <x v="3"/>
    <n v="21.159999999999997"/>
    <n v="8.67"/>
    <n v="29.83"/>
    <s v="с отделкой и комплектацией"/>
    <x v="1"/>
    <x v="0"/>
    <n v="29.83"/>
    <n v="254777"/>
    <n v="50000"/>
    <n v="50000"/>
    <n v="10582997.91"/>
  </r>
  <r>
    <n v="98"/>
    <n v="6"/>
    <n v="98"/>
    <x v="97"/>
    <x v="0"/>
    <n v="24.1"/>
    <n v="6.31"/>
    <n v="30.41"/>
    <s v="с отделкой и комплектацией"/>
    <x v="1"/>
    <x v="0"/>
    <n v="30.41"/>
    <n v="249918"/>
    <n v="50000"/>
    <n v="50000"/>
    <n v="10641006.380000001"/>
  </r>
  <r>
    <n v="99"/>
    <n v="6"/>
    <n v="99"/>
    <x v="98"/>
    <x v="1"/>
    <n v="15.969999999999999"/>
    <n v="2.96"/>
    <n v="18.93"/>
    <s v="с отделкой и комплектацией"/>
    <x v="1"/>
    <x v="0"/>
    <n v="18.93"/>
    <n v="279979"/>
    <n v="50000"/>
    <n v="50000"/>
    <n v="7193002.4699999997"/>
  </r>
  <r>
    <n v="100"/>
    <n v="6"/>
    <n v="100"/>
    <x v="99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01"/>
    <n v="6"/>
    <n v="101"/>
    <x v="100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02"/>
    <n v="6"/>
    <n v="102"/>
    <x v="101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03"/>
    <n v="6"/>
    <n v="103"/>
    <x v="102"/>
    <x v="1"/>
    <n v="15.970000000000002"/>
    <n v="2.95"/>
    <n v="18.920000000000002"/>
    <s v="с отделкой и комплектацией"/>
    <x v="1"/>
    <x v="0"/>
    <n v="18.920000000000002"/>
    <n v="280127"/>
    <n v="50000"/>
    <n v="50000"/>
    <n v="7192002.8400000008"/>
  </r>
  <r>
    <n v="104"/>
    <n v="6"/>
    <n v="104"/>
    <x v="103"/>
    <x v="5"/>
    <n v="32.149999999999991"/>
    <n v="63.06"/>
    <n v="95.21"/>
    <s v="с отделкой и комплектацией"/>
    <x v="1"/>
    <x v="0"/>
    <n v="95.21"/>
    <n v="210062"/>
    <n v="50000"/>
    <n v="50000"/>
    <n v="29521003.02"/>
  </r>
  <r>
    <n v="105"/>
    <n v="6"/>
    <n v="105"/>
    <x v="104"/>
    <x v="5"/>
    <n v="31.869999999999997"/>
    <n v="63.07"/>
    <n v="94.94"/>
    <s v="с отделкой и комплектацией"/>
    <x v="1"/>
    <x v="0"/>
    <n v="94.94"/>
    <n v="210659"/>
    <n v="50000"/>
    <n v="50000"/>
    <n v="29493965.460000001"/>
  </r>
  <r>
    <n v="106"/>
    <n v="6"/>
    <n v="106"/>
    <x v="105"/>
    <x v="1"/>
    <n v="15.96"/>
    <n v="2.95"/>
    <n v="18.91"/>
    <s v="с отделкой и комплектацией"/>
    <x v="1"/>
    <x v="0"/>
    <n v="18.91"/>
    <n v="280275"/>
    <n v="50000"/>
    <n v="50000"/>
    <n v="7191000.25"/>
  </r>
  <r>
    <n v="107"/>
    <n v="6"/>
    <n v="107"/>
    <x v="106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08"/>
    <n v="6"/>
    <n v="108"/>
    <x v="107"/>
    <x v="1"/>
    <n v="15.969999999999999"/>
    <n v="3.02"/>
    <n v="18.989999999999998"/>
    <s v="с отделкой и комплектацией"/>
    <x v="1"/>
    <x v="0"/>
    <n v="18.989999999999998"/>
    <n v="279094"/>
    <n v="50000"/>
    <n v="50000"/>
    <n v="7198995.0599999996"/>
  </r>
  <r>
    <n v="109"/>
    <n v="6"/>
    <n v="109"/>
    <x v="108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10"/>
    <n v="6"/>
    <n v="110"/>
    <x v="109"/>
    <x v="1"/>
    <n v="15.970000000000002"/>
    <n v="2.95"/>
    <n v="18.920000000000002"/>
    <s v="с отделкой и комплектацией"/>
    <x v="1"/>
    <x v="0"/>
    <n v="18.920000000000002"/>
    <n v="280127"/>
    <n v="50000"/>
    <n v="50000"/>
    <n v="7192002.8400000008"/>
  </r>
  <r>
    <n v="111"/>
    <n v="6"/>
    <n v="111"/>
    <x v="110"/>
    <x v="1"/>
    <n v="15.97"/>
    <n v="3.03"/>
    <n v="19"/>
    <s v="с отделкой и комплектацией"/>
    <x v="1"/>
    <x v="0"/>
    <n v="19"/>
    <n v="273684"/>
    <n v="50000"/>
    <n v="50000"/>
    <n v="7099996"/>
  </r>
  <r>
    <n v="112"/>
    <n v="6"/>
    <n v="112"/>
    <x v="111"/>
    <x v="4"/>
    <n v="32.24"/>
    <n v="18.14"/>
    <n v="50.38"/>
    <s v="с отделкой и комплектацией"/>
    <x v="1"/>
    <x v="0"/>
    <n v="50.38"/>
    <n v="238190"/>
    <n v="50000"/>
    <n v="50000"/>
    <n v="17038012.199999999"/>
  </r>
  <r>
    <n v="113"/>
    <n v="6"/>
    <n v="113"/>
    <x v="112"/>
    <x v="1"/>
    <n v="16"/>
    <n v="3.02"/>
    <n v="19.02"/>
    <s v="с отделкой и комплектацией"/>
    <x v="1"/>
    <x v="0"/>
    <n v="19.02"/>
    <n v="268139"/>
    <n v="50000"/>
    <n v="50000"/>
    <n v="7002003.7800000003"/>
  </r>
  <r>
    <n v="114"/>
    <n v="6"/>
    <n v="114"/>
    <x v="113"/>
    <x v="1"/>
    <n v="15.980000000000002"/>
    <n v="2.94"/>
    <n v="18.920000000000002"/>
    <s v="с отделкой и комплектацией"/>
    <x v="1"/>
    <x v="0"/>
    <n v="18.920000000000002"/>
    <n v="269556"/>
    <n v="50000"/>
    <n v="50000"/>
    <n v="6991999.5200000005"/>
  </r>
  <r>
    <n v="115"/>
    <n v="6"/>
    <n v="115"/>
    <x v="114"/>
    <x v="1"/>
    <n v="15.980000000000002"/>
    <n v="3.03"/>
    <n v="19.010000000000002"/>
    <s v="с отделкой и комплектацией"/>
    <x v="1"/>
    <x v="0"/>
    <n v="19.010000000000002"/>
    <n v="268280"/>
    <n v="50000"/>
    <n v="50000"/>
    <n v="7001002.8000000007"/>
  </r>
  <r>
    <n v="116"/>
    <n v="6"/>
    <n v="116"/>
    <x v="115"/>
    <x v="1"/>
    <n v="15.970000000000002"/>
    <n v="2.95"/>
    <n v="18.920000000000002"/>
    <s v="с отделкой и комплектацией"/>
    <x v="1"/>
    <x v="0"/>
    <n v="18.920000000000002"/>
    <n v="269556"/>
    <n v="50000"/>
    <n v="50000"/>
    <n v="6991999.5200000005"/>
  </r>
  <r>
    <n v="117"/>
    <n v="6"/>
    <n v="117"/>
    <x v="116"/>
    <x v="2"/>
    <n v="41.31"/>
    <n v="9.0399999999999991"/>
    <n v="50.35"/>
    <s v="с отделкой и комплектацией"/>
    <x v="1"/>
    <x v="0"/>
    <n v="50.35"/>
    <n v="258193"/>
    <n v="50000"/>
    <n v="50000"/>
    <n v="18035017.550000001"/>
  </r>
  <r>
    <n v="118"/>
    <n v="7"/>
    <n v="118"/>
    <x v="117"/>
    <x v="6"/>
    <n v="41.25"/>
    <n v="27.98"/>
    <n v="69.23"/>
    <s v="с отделкой и комплектацией"/>
    <x v="1"/>
    <x v="0"/>
    <n v="69.23"/>
    <n v="249169"/>
    <n v="50000"/>
    <n v="50000"/>
    <n v="24172969.870000001"/>
  </r>
  <r>
    <n v="119"/>
    <n v="7"/>
    <n v="119"/>
    <x v="118"/>
    <x v="1"/>
    <n v="16"/>
    <n v="3.03"/>
    <n v="19.03"/>
    <s v="с отделкой и комплектацией"/>
    <x v="1"/>
    <x v="0"/>
    <n v="19.03"/>
    <n v="273253"/>
    <n v="50000"/>
    <n v="50000"/>
    <n v="7103004.5900000008"/>
  </r>
  <r>
    <n v="120"/>
    <n v="7"/>
    <n v="120"/>
    <x v="119"/>
    <x v="1"/>
    <n v="16"/>
    <n v="2.95"/>
    <n v="18.95"/>
    <s v="с отделкой и комплектацией"/>
    <x v="1"/>
    <x v="0"/>
    <n v="18.95"/>
    <n v="274406"/>
    <n v="50000"/>
    <n v="50000"/>
    <n v="7094993.7000000002"/>
  </r>
  <r>
    <n v="121"/>
    <n v="7"/>
    <n v="121"/>
    <x v="120"/>
    <x v="1"/>
    <n v="16"/>
    <n v="2.98"/>
    <n v="18.98"/>
    <s v="с отделкой и комплектацией"/>
    <x v="1"/>
    <x v="0"/>
    <n v="18.98"/>
    <n v="279241"/>
    <n v="50000"/>
    <n v="50000"/>
    <n v="7197994.1799999997"/>
  </r>
  <r>
    <n v="122"/>
    <n v="7"/>
    <n v="122"/>
    <x v="121"/>
    <x v="1"/>
    <n v="16"/>
    <n v="3.02"/>
    <n v="19.02"/>
    <s v="с отделкой и комплектацией"/>
    <x v="1"/>
    <x v="0"/>
    <n v="19.02"/>
    <n v="278654"/>
    <n v="50000"/>
    <n v="50000"/>
    <n v="7201999.0800000001"/>
  </r>
  <r>
    <n v="123"/>
    <n v="7"/>
    <n v="123"/>
    <x v="122"/>
    <x v="3"/>
    <n v="21.159999999999997"/>
    <n v="8.6300000000000008"/>
    <n v="29.79"/>
    <s v="с отделкой и комплектацией"/>
    <x v="1"/>
    <x v="0"/>
    <n v="29.79"/>
    <n v="258476"/>
    <n v="50000"/>
    <n v="50000"/>
    <n v="10679000.039999999"/>
  </r>
  <r>
    <n v="124"/>
    <n v="7"/>
    <n v="124"/>
    <x v="123"/>
    <x v="0"/>
    <n v="24.090000000000003"/>
    <n v="6.33"/>
    <n v="30.42"/>
    <s v="с отделкой и комплектацией"/>
    <x v="1"/>
    <x v="0"/>
    <n v="30.42"/>
    <n v="253123"/>
    <n v="50000"/>
    <n v="50000"/>
    <n v="10742001.66"/>
  </r>
  <r>
    <n v="125"/>
    <n v="7"/>
    <n v="125"/>
    <x v="124"/>
    <x v="1"/>
    <n v="15.969999999999999"/>
    <n v="2.96"/>
    <n v="18.93"/>
    <s v="с отделкой и комплектацией"/>
    <x v="1"/>
    <x v="0"/>
    <n v="18.93"/>
    <n v="285261"/>
    <n v="50000"/>
    <n v="50000"/>
    <n v="7292990.7299999995"/>
  </r>
  <r>
    <n v="126"/>
    <n v="7"/>
    <n v="126"/>
    <x v="125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27"/>
    <n v="7"/>
    <n v="127"/>
    <x v="126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28"/>
    <n v="7"/>
    <n v="128"/>
    <x v="127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29"/>
    <n v="7"/>
    <n v="129"/>
    <x v="128"/>
    <x v="5"/>
    <n v="40.010000000000005"/>
    <n v="34.5"/>
    <n v="74.510000000000005"/>
    <s v="с отделкой и комплектацией"/>
    <x v="1"/>
    <x v="0"/>
    <n v="74.510000000000005"/>
    <n v="212052"/>
    <n v="50000"/>
    <n v="50000"/>
    <n v="23250994.520000003"/>
  </r>
  <r>
    <n v="130"/>
    <n v="7"/>
    <n v="130"/>
    <x v="129"/>
    <x v="5"/>
    <n v="49.039999999999992"/>
    <n v="50.09"/>
    <n v="99.13"/>
    <s v="с отделкой и комплектацией"/>
    <x v="1"/>
    <x v="0"/>
    <n v="99.13"/>
    <n v="169474"/>
    <n v="50000"/>
    <n v="50000"/>
    <n v="26712957.619999997"/>
  </r>
  <r>
    <n v="131"/>
    <n v="7"/>
    <n v="131"/>
    <x v="130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32"/>
    <n v="7"/>
    <n v="132"/>
    <x v="131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33"/>
    <n v="7"/>
    <n v="133"/>
    <x v="132"/>
    <x v="1"/>
    <n v="15.97"/>
    <n v="3.03"/>
    <n v="19"/>
    <s v="с отделкой и комплектацией"/>
    <x v="1"/>
    <x v="0"/>
    <n v="19"/>
    <n v="284211"/>
    <n v="50000"/>
    <n v="50000"/>
    <n v="7300009"/>
  </r>
  <r>
    <n v="134"/>
    <n v="7"/>
    <n v="134"/>
    <x v="133"/>
    <x v="1"/>
    <n v="15.970000000000002"/>
    <n v="2.95"/>
    <n v="18.920000000000002"/>
    <s v="с отделкой и комплектацией"/>
    <x v="1"/>
    <x v="0"/>
    <n v="18.920000000000002"/>
    <n v="258985"/>
    <n v="50000"/>
    <n v="50000"/>
    <n v="6791996.2000000002"/>
  </r>
  <r>
    <n v="135"/>
    <n v="7"/>
    <n v="135"/>
    <x v="134"/>
    <x v="1"/>
    <n v="15.97"/>
    <n v="3.03"/>
    <n v="19"/>
    <s v="с отделкой и комплектацией"/>
    <x v="1"/>
    <x v="0"/>
    <n v="19"/>
    <n v="278947"/>
    <n v="50000"/>
    <n v="50000"/>
    <n v="7199993"/>
  </r>
  <r>
    <n v="136"/>
    <n v="7"/>
    <n v="136"/>
    <x v="135"/>
    <x v="4"/>
    <n v="32.25"/>
    <n v="18.14"/>
    <n v="50.39"/>
    <s v="с отделкой и комплектацией"/>
    <x v="1"/>
    <x v="0"/>
    <n v="50.39"/>
    <n v="248065"/>
    <n v="50000"/>
    <n v="50000"/>
    <n v="17538995.350000001"/>
  </r>
  <r>
    <n v="137"/>
    <n v="7"/>
    <n v="137"/>
    <x v="136"/>
    <x v="1"/>
    <n v="16"/>
    <n v="3.02"/>
    <n v="19.02"/>
    <s v="с отделкой и комплектацией"/>
    <x v="1"/>
    <x v="0"/>
    <n v="19.02"/>
    <n v="273396"/>
    <n v="50000"/>
    <n v="50000"/>
    <n v="7101991.9199999999"/>
  </r>
  <r>
    <n v="138"/>
    <n v="7"/>
    <n v="138"/>
    <x v="137"/>
    <x v="1"/>
    <n v="15.990000000000002"/>
    <n v="2.95"/>
    <n v="18.940000000000001"/>
    <s v="с отделкой и комплектацией"/>
    <x v="1"/>
    <x v="0"/>
    <n v="18.940000000000001"/>
    <n v="274551"/>
    <n v="50000"/>
    <n v="50000"/>
    <n v="7093995.9400000004"/>
  </r>
  <r>
    <n v="139"/>
    <n v="7"/>
    <n v="139"/>
    <x v="138"/>
    <x v="1"/>
    <n v="15.990000000000002"/>
    <n v="3.02"/>
    <n v="19.010000000000002"/>
    <s v="с отделкой и комплектацией"/>
    <x v="1"/>
    <x v="0"/>
    <n v="19.010000000000002"/>
    <n v="273540"/>
    <n v="50000"/>
    <n v="50000"/>
    <n v="7100995.4000000004"/>
  </r>
  <r>
    <n v="140"/>
    <n v="7"/>
    <n v="140"/>
    <x v="139"/>
    <x v="6"/>
    <n v="42.289999999999992"/>
    <n v="26.67"/>
    <n v="68.959999999999994"/>
    <s v="с отделкой и комплектацией"/>
    <x v="1"/>
    <x v="0"/>
    <n v="68.959999999999994"/>
    <n v="250145"/>
    <n v="50000"/>
    <n v="50000"/>
    <n v="24145999.199999999"/>
  </r>
  <r>
    <n v="141"/>
    <n v="8"/>
    <n v="141"/>
    <x v="140"/>
    <x v="2"/>
    <n v="40.93"/>
    <n v="8.9600000000000009"/>
    <n v="49.89"/>
    <s v="с отделкой и комплектацией"/>
    <x v="1"/>
    <x v="0"/>
    <n v="49.89"/>
    <n v="270595"/>
    <n v="50000"/>
    <n v="50000"/>
    <n v="18488984.550000001"/>
  </r>
  <r>
    <n v="142"/>
    <n v="8"/>
    <n v="142"/>
    <x v="141"/>
    <x v="1"/>
    <n v="15.980000000000002"/>
    <n v="3.03"/>
    <n v="19.010000000000002"/>
    <s v="с отделкой и комплектацией"/>
    <x v="1"/>
    <x v="0"/>
    <n v="19.010000000000002"/>
    <n v="278801"/>
    <n v="50000"/>
    <n v="50000"/>
    <n v="7201007.0100000007"/>
  </r>
  <r>
    <n v="143"/>
    <n v="8"/>
    <n v="143"/>
    <x v="142"/>
    <x v="1"/>
    <n v="16"/>
    <n v="2.95"/>
    <n v="18.95"/>
    <s v="с отделкой и комплектацией"/>
    <x v="1"/>
    <x v="0"/>
    <n v="18.95"/>
    <n v="279683"/>
    <n v="50000"/>
    <n v="50000"/>
    <n v="7194992.8499999996"/>
  </r>
  <r>
    <n v="144"/>
    <n v="8"/>
    <n v="144"/>
    <x v="143"/>
    <x v="1"/>
    <n v="16"/>
    <n v="3.02"/>
    <n v="19.02"/>
    <s v="с отделкой и комплектацией"/>
    <x v="1"/>
    <x v="0"/>
    <n v="19.02"/>
    <n v="283912"/>
    <n v="50000"/>
    <n v="50000"/>
    <n v="7302006.2400000002"/>
  </r>
  <r>
    <n v="145"/>
    <n v="8"/>
    <n v="145"/>
    <x v="144"/>
    <x v="1"/>
    <n v="16"/>
    <n v="3.02"/>
    <n v="19.02"/>
    <s v="с отделкой и комплектацией"/>
    <x v="1"/>
    <x v="0"/>
    <n v="19.02"/>
    <n v="283912"/>
    <n v="50000"/>
    <n v="50000"/>
    <n v="7302006.2400000002"/>
  </r>
  <r>
    <n v="146"/>
    <n v="8"/>
    <n v="146"/>
    <x v="145"/>
    <x v="3"/>
    <n v="21.160000000000004"/>
    <n v="8.6"/>
    <n v="29.76"/>
    <s v="с отделкой и комплектацией"/>
    <x v="1"/>
    <x v="0"/>
    <n v="29.76"/>
    <n v="262097"/>
    <n v="50000"/>
    <n v="50000"/>
    <n v="10776006.720000001"/>
  </r>
  <r>
    <n v="147"/>
    <n v="8"/>
    <n v="147"/>
    <x v="146"/>
    <x v="0"/>
    <n v="24.040000000000003"/>
    <n v="6.31"/>
    <n v="30.35"/>
    <s v="с отделкой и комплектацией"/>
    <x v="1"/>
    <x v="0"/>
    <n v="30.35"/>
    <n v="257002"/>
    <n v="50000"/>
    <n v="50000"/>
    <n v="10835010.700000001"/>
  </r>
  <r>
    <n v="148"/>
    <n v="8"/>
    <n v="148"/>
    <x v="147"/>
    <x v="1"/>
    <n v="15.969999999999999"/>
    <n v="2.96"/>
    <n v="18.93"/>
    <s v="с отделкой и комплектацией"/>
    <x v="1"/>
    <x v="0"/>
    <n v="18.93"/>
    <n v="290544"/>
    <n v="50000"/>
    <n v="50000"/>
    <n v="7392997.9199999999"/>
  </r>
  <r>
    <n v="149"/>
    <n v="8"/>
    <n v="149"/>
    <x v="148"/>
    <x v="1"/>
    <n v="15.97"/>
    <n v="3.03"/>
    <n v="19"/>
    <s v="с отделкой и комплектацией"/>
    <x v="1"/>
    <x v="0"/>
    <n v="19"/>
    <n v="289474"/>
    <n v="50000"/>
    <n v="50000"/>
    <n v="7400006"/>
  </r>
  <r>
    <n v="150"/>
    <n v="8"/>
    <n v="150"/>
    <x v="149"/>
    <x v="1"/>
    <n v="15.97"/>
    <n v="3.03"/>
    <n v="19"/>
    <s v="с отделкой и комплектацией"/>
    <x v="1"/>
    <x v="0"/>
    <n v="19"/>
    <n v="289474"/>
    <n v="50000"/>
    <n v="50000"/>
    <n v="7400006"/>
  </r>
  <r>
    <n v="151"/>
    <n v="8"/>
    <n v="151"/>
    <x v="150"/>
    <x v="5"/>
    <n v="39.960000000000008"/>
    <n v="30.16"/>
    <n v="70.12"/>
    <s v="с отделкой и комплектацией"/>
    <x v="1"/>
    <x v="0"/>
    <n v="70.12"/>
    <n v="225328"/>
    <n v="50000"/>
    <n v="50000"/>
    <n v="22811999.360000003"/>
  </r>
  <r>
    <n v="152"/>
    <n v="8"/>
    <n v="152"/>
    <x v="151"/>
    <x v="5"/>
    <n v="48.959999999999994"/>
    <n v="36.36"/>
    <n v="85.32"/>
    <s v="с отделкой и комплектацией"/>
    <x v="1"/>
    <x v="0"/>
    <n v="85.32"/>
    <n v="196906"/>
    <n v="50000"/>
    <n v="50000"/>
    <n v="25332019.919999998"/>
  </r>
  <r>
    <n v="153"/>
    <n v="8"/>
    <n v="153"/>
    <x v="152"/>
    <x v="1"/>
    <n v="15.97"/>
    <n v="3.03"/>
    <n v="19"/>
    <s v="с отделкой и комплектацией"/>
    <x v="1"/>
    <x v="0"/>
    <n v="19"/>
    <n v="289474"/>
    <n v="50000"/>
    <n v="50000"/>
    <n v="7400006"/>
  </r>
  <r>
    <n v="154"/>
    <n v="8"/>
    <n v="154"/>
    <x v="153"/>
    <x v="1"/>
    <n v="15.97"/>
    <n v="3.03"/>
    <n v="19"/>
    <s v="с отделкой и комплектацией"/>
    <x v="1"/>
    <x v="0"/>
    <n v="19"/>
    <n v="289474"/>
    <n v="50000"/>
    <n v="50000"/>
    <n v="7400006"/>
  </r>
  <r>
    <n v="155"/>
    <n v="8"/>
    <n v="155"/>
    <x v="154"/>
    <x v="1"/>
    <n v="15.970000000000002"/>
    <n v="2.95"/>
    <n v="18.920000000000002"/>
    <s v="с отделкой и комплектацией"/>
    <x v="1"/>
    <x v="0"/>
    <n v="18.920000000000002"/>
    <n v="290698"/>
    <n v="50000"/>
    <n v="50000"/>
    <n v="7392006.1600000011"/>
  </r>
  <r>
    <n v="156"/>
    <n v="8"/>
    <n v="156"/>
    <x v="155"/>
    <x v="1"/>
    <n v="15.970000000000002"/>
    <n v="3.04"/>
    <n v="19.010000000000002"/>
    <s v="с отделкой и комплектацией"/>
    <x v="1"/>
    <x v="0"/>
    <n v="19.010000000000002"/>
    <n v="284061"/>
    <n v="50000"/>
    <n v="50000"/>
    <n v="7300999.6100000003"/>
  </r>
  <r>
    <n v="157"/>
    <n v="8"/>
    <n v="157"/>
    <x v="156"/>
    <x v="4"/>
    <n v="32.32"/>
    <n v="18.36"/>
    <n v="50.68"/>
    <s v="с отделкой и комплектацией"/>
    <x v="1"/>
    <x v="0"/>
    <n v="50.68"/>
    <n v="256511"/>
    <n v="50000"/>
    <n v="50000"/>
    <n v="18067977.48"/>
  </r>
  <r>
    <n v="158"/>
    <n v="8"/>
    <n v="158"/>
    <x v="157"/>
    <x v="1"/>
    <n v="16"/>
    <n v="3.02"/>
    <n v="19.02"/>
    <s v="с отделкой и комплектацией"/>
    <x v="1"/>
    <x v="0"/>
    <n v="19.02"/>
    <n v="278654"/>
    <n v="50000"/>
    <n v="50000"/>
    <n v="7201999.0800000001"/>
  </r>
  <r>
    <n v="159"/>
    <n v="8"/>
    <n v="159"/>
    <x v="158"/>
    <x v="1"/>
    <n v="16"/>
    <n v="2.94"/>
    <n v="18.940000000000001"/>
    <s v="с отделкой и комплектацией"/>
    <x v="1"/>
    <x v="0"/>
    <n v="18.940000000000001"/>
    <n v="279831"/>
    <n v="50000"/>
    <n v="50000"/>
    <n v="7193999.1400000006"/>
  </r>
  <r>
    <n v="160"/>
    <n v="8"/>
    <n v="160"/>
    <x v="159"/>
    <x v="1"/>
    <n v="16"/>
    <n v="3.03"/>
    <n v="19.03"/>
    <s v="с отделкой и комплектацией"/>
    <x v="1"/>
    <x v="0"/>
    <n v="19.03"/>
    <n v="278508"/>
    <n v="50000"/>
    <n v="50000"/>
    <n v="7203007.2400000002"/>
  </r>
  <r>
    <n v="161"/>
    <n v="8"/>
    <n v="161"/>
    <x v="160"/>
    <x v="2"/>
    <n v="41.06"/>
    <n v="8.91"/>
    <n v="49.97"/>
    <s v="с отделкой и комплектацией"/>
    <x v="1"/>
    <x v="0"/>
    <n v="49.97"/>
    <n v="270162"/>
    <n v="50000"/>
    <n v="50000"/>
    <n v="18496995.140000001"/>
  </r>
  <r>
    <n v="162"/>
    <n v="9"/>
    <n v="162"/>
    <x v="161"/>
    <x v="2"/>
    <n v="40.92"/>
    <n v="8.86"/>
    <n v="49.78"/>
    <s v="с отделкой и комплектацией"/>
    <x v="1"/>
    <x v="0"/>
    <n v="49.78"/>
    <n v="273202"/>
    <n v="50000"/>
    <n v="50000"/>
    <n v="18577995.559999999"/>
  </r>
  <r>
    <n v="163"/>
    <n v="9"/>
    <n v="163"/>
    <x v="162"/>
    <x v="1"/>
    <n v="16"/>
    <n v="3.03"/>
    <n v="19.03"/>
    <s v="с отделкой и комплектацией"/>
    <x v="1"/>
    <x v="0"/>
    <n v="19.03"/>
    <n v="283762"/>
    <n v="50000"/>
    <n v="50000"/>
    <n v="7302990.8600000003"/>
  </r>
  <r>
    <n v="164"/>
    <n v="9"/>
    <n v="164"/>
    <x v="163"/>
    <x v="1"/>
    <n v="16"/>
    <n v="2.95"/>
    <n v="18.95"/>
    <s v="с отделкой и комплектацией"/>
    <x v="1"/>
    <x v="0"/>
    <n v="18.95"/>
    <n v="284960"/>
    <n v="50000"/>
    <n v="50000"/>
    <n v="7294992"/>
  </r>
  <r>
    <n v="165"/>
    <n v="9"/>
    <n v="165"/>
    <x v="164"/>
    <x v="1"/>
    <n v="16"/>
    <n v="3.02"/>
    <n v="19.02"/>
    <s v="с отделкой и комплектацией"/>
    <x v="1"/>
    <x v="0"/>
    <n v="19.02"/>
    <n v="289169"/>
    <n v="50000"/>
    <n v="50000"/>
    <n v="7401994.3799999999"/>
  </r>
  <r>
    <n v="166"/>
    <n v="9"/>
    <n v="166"/>
    <x v="165"/>
    <x v="1"/>
    <n v="16"/>
    <n v="3.02"/>
    <n v="19.02"/>
    <s v="с отделкой и комплектацией"/>
    <x v="1"/>
    <x v="0"/>
    <n v="19.02"/>
    <n v="289169"/>
    <n v="50000"/>
    <n v="50000"/>
    <n v="7401994.3799999999"/>
  </r>
  <r>
    <n v="167"/>
    <n v="9"/>
    <n v="167"/>
    <x v="166"/>
    <x v="3"/>
    <n v="21.15"/>
    <n v="8.44"/>
    <n v="29.59"/>
    <s v="с отделкой и комплектацией"/>
    <x v="1"/>
    <x v="0"/>
    <n v="29.59"/>
    <n v="266982"/>
    <n v="50000"/>
    <n v="50000"/>
    <n v="10858997.380000001"/>
  </r>
  <r>
    <n v="168"/>
    <n v="9"/>
    <n v="168"/>
    <x v="167"/>
    <x v="0"/>
    <n v="24.03"/>
    <n v="6.33"/>
    <n v="30.36"/>
    <s v="с отделкой и комплектацией"/>
    <x v="1"/>
    <x v="0"/>
    <n v="30.36"/>
    <n v="260211"/>
    <n v="50000"/>
    <n v="50000"/>
    <n v="10936005.959999999"/>
  </r>
  <r>
    <n v="169"/>
    <n v="9"/>
    <n v="169"/>
    <x v="168"/>
    <x v="1"/>
    <n v="15.969999999999999"/>
    <n v="2.96"/>
    <n v="18.93"/>
    <s v="с отделкой и комплектацией"/>
    <x v="1"/>
    <x v="0"/>
    <n v="18.93"/>
    <n v="295827"/>
    <n v="50000"/>
    <n v="50000"/>
    <n v="7493005.1100000003"/>
  </r>
  <r>
    <n v="170"/>
    <n v="9"/>
    <n v="170"/>
    <x v="169"/>
    <x v="1"/>
    <n v="15.97"/>
    <n v="3.03"/>
    <n v="19"/>
    <s v="с отделкой и комплектацией"/>
    <x v="1"/>
    <x v="0"/>
    <n v="19"/>
    <n v="294737"/>
    <n v="50000"/>
    <n v="50000"/>
    <n v="7500003"/>
  </r>
  <r>
    <n v="171"/>
    <n v="9"/>
    <n v="171"/>
    <x v="170"/>
    <x v="5"/>
    <n v="39.97"/>
    <n v="30.25"/>
    <n v="70.22"/>
    <s v="с отделкой и комплектацией"/>
    <x v="1"/>
    <x v="0"/>
    <n v="70.22"/>
    <n v="227855"/>
    <n v="50000"/>
    <n v="50000"/>
    <n v="23021978.099999998"/>
  </r>
  <r>
    <n v="172"/>
    <n v="9"/>
    <n v="172"/>
    <x v="171"/>
    <x v="5"/>
    <n v="48.98"/>
    <n v="35.9"/>
    <n v="84.88"/>
    <s v="с отделкой и комплектацией"/>
    <x v="1"/>
    <x v="0"/>
    <n v="84.88"/>
    <n v="199105"/>
    <n v="50000"/>
    <n v="50000"/>
    <n v="25388032.399999999"/>
  </r>
  <r>
    <n v="173"/>
    <n v="9"/>
    <n v="173"/>
    <x v="172"/>
    <x v="1"/>
    <n v="15.97"/>
    <n v="3.03"/>
    <n v="19"/>
    <s v="с отделкой и комплектацией"/>
    <x v="1"/>
    <x v="0"/>
    <n v="19"/>
    <n v="294737"/>
    <n v="50000"/>
    <n v="50000"/>
    <n v="7500003"/>
  </r>
  <r>
    <n v="174"/>
    <n v="9"/>
    <n v="174"/>
    <x v="173"/>
    <x v="1"/>
    <n v="15.969999999999999"/>
    <n v="2.96"/>
    <n v="18.93"/>
    <s v="с отделкой и комплектацией"/>
    <x v="1"/>
    <x v="0"/>
    <n v="18.93"/>
    <n v="295827"/>
    <n v="50000"/>
    <n v="50000"/>
    <n v="7493005.1100000003"/>
  </r>
  <r>
    <n v="175"/>
    <n v="9"/>
    <n v="175"/>
    <x v="174"/>
    <x v="1"/>
    <n v="15.97"/>
    <n v="3.03"/>
    <n v="19"/>
    <s v="с отделкой и комплектацией"/>
    <x v="1"/>
    <x v="0"/>
    <n v="19"/>
    <n v="289474"/>
    <n v="50000"/>
    <n v="50000"/>
    <n v="7400006"/>
  </r>
  <r>
    <n v="176"/>
    <n v="9"/>
    <n v="176"/>
    <x v="175"/>
    <x v="4"/>
    <n v="31.7"/>
    <n v="18.809999999999999"/>
    <n v="50.51"/>
    <s v="с отделкой и комплектацией"/>
    <x v="1"/>
    <x v="0"/>
    <n v="50.51"/>
    <n v="267274"/>
    <n v="50000"/>
    <n v="50000"/>
    <n v="18551009.739999998"/>
  </r>
  <r>
    <n v="177"/>
    <n v="9"/>
    <n v="177"/>
    <x v="176"/>
    <x v="1"/>
    <n v="15.95"/>
    <n v="3.02"/>
    <n v="18.97"/>
    <s v="с отделкой и комплектацией"/>
    <x v="1"/>
    <x v="0"/>
    <n v="18.97"/>
    <n v="284660"/>
    <n v="50000"/>
    <n v="50000"/>
    <n v="7297000.1999999993"/>
  </r>
  <r>
    <n v="178"/>
    <n v="9"/>
    <n v="178"/>
    <x v="177"/>
    <x v="1"/>
    <n v="16"/>
    <n v="2.95"/>
    <n v="18.95"/>
    <s v="с отделкой и комплектацией"/>
    <x v="1"/>
    <x v="0"/>
    <n v="18.95"/>
    <n v="284960"/>
    <n v="50000"/>
    <n v="50000"/>
    <n v="7294992"/>
  </r>
  <r>
    <n v="179"/>
    <n v="9"/>
    <n v="179"/>
    <x v="178"/>
    <x v="1"/>
    <n v="15.990000000000002"/>
    <n v="3.02"/>
    <n v="19.010000000000002"/>
    <s v="с отделкой и комплектацией"/>
    <x v="1"/>
    <x v="0"/>
    <n v="19.010000000000002"/>
    <n v="284061"/>
    <n v="50000"/>
    <n v="50000"/>
    <n v="7300999.6100000003"/>
  </r>
  <r>
    <n v="180"/>
    <n v="9"/>
    <n v="180"/>
    <x v="179"/>
    <x v="2"/>
    <n v="41.04"/>
    <n v="8.7899999999999991"/>
    <n v="49.83"/>
    <s v="с отделкой и комплектацией"/>
    <x v="1"/>
    <x v="0"/>
    <n v="49.83"/>
    <n v="272928"/>
    <n v="50000"/>
    <n v="50000"/>
    <n v="18583002.239999998"/>
  </r>
  <r>
    <n v="181"/>
    <n v="10"/>
    <n v="181"/>
    <x v="180"/>
    <x v="2"/>
    <n v="40.99"/>
    <n v="8.85"/>
    <n v="49.84"/>
    <s v="с отделкой и комплектацией"/>
    <x v="1"/>
    <x v="0"/>
    <n v="49.84"/>
    <n v="274880"/>
    <n v="50000"/>
    <n v="50000"/>
    <n v="18684019.200000003"/>
  </r>
  <r>
    <n v="182"/>
    <n v="10"/>
    <n v="182"/>
    <x v="181"/>
    <x v="1"/>
    <n v="16"/>
    <n v="3.03"/>
    <n v="19.03"/>
    <s v="с отделкой и комплектацией"/>
    <x v="1"/>
    <x v="0"/>
    <n v="19.03"/>
    <n v="294272"/>
    <n v="50000"/>
    <n v="50000"/>
    <n v="7502996.1600000001"/>
  </r>
  <r>
    <n v="183"/>
    <n v="10"/>
    <n v="183"/>
    <x v="182"/>
    <x v="1"/>
    <n v="16"/>
    <n v="2.95"/>
    <n v="18.95"/>
    <s v="с отделкой и комплектацией"/>
    <x v="1"/>
    <x v="0"/>
    <n v="18.95"/>
    <n v="295515"/>
    <n v="50000"/>
    <n v="50000"/>
    <n v="7495009.25"/>
  </r>
  <r>
    <n v="184"/>
    <n v="10"/>
    <n v="184"/>
    <x v="183"/>
    <x v="1"/>
    <n v="16"/>
    <n v="3.02"/>
    <n v="19.02"/>
    <s v="с отделкой и комплектацией"/>
    <x v="1"/>
    <x v="0"/>
    <n v="19.02"/>
    <n v="299685"/>
    <n v="50000"/>
    <n v="50000"/>
    <n v="7602008.7000000002"/>
  </r>
  <r>
    <n v="185"/>
    <n v="10"/>
    <n v="185"/>
    <x v="184"/>
    <x v="1"/>
    <n v="16"/>
    <n v="3.02"/>
    <n v="19.02"/>
    <s v="с отделкой и комплектацией"/>
    <x v="1"/>
    <x v="0"/>
    <n v="19.02"/>
    <n v="299685"/>
    <n v="50000"/>
    <n v="50000"/>
    <n v="7602008.7000000002"/>
  </r>
  <r>
    <n v="186"/>
    <n v="10"/>
    <n v="186"/>
    <x v="185"/>
    <x v="3"/>
    <n v="21.16"/>
    <n v="8.48"/>
    <n v="29.64"/>
    <s v="с отделкой и комплектацией"/>
    <x v="1"/>
    <x v="0"/>
    <n v="29.64"/>
    <n v="269906"/>
    <n v="50000"/>
    <n v="50000"/>
    <n v="10964013.84"/>
  </r>
  <r>
    <n v="187"/>
    <n v="10"/>
    <n v="187"/>
    <x v="186"/>
    <x v="0"/>
    <n v="24.02"/>
    <n v="6.32"/>
    <n v="30.34"/>
    <s v="с отделкой и комплектацией"/>
    <x v="1"/>
    <x v="0"/>
    <n v="30.34"/>
    <n v="263678"/>
    <n v="50000"/>
    <n v="50000"/>
    <n v="11033990.52"/>
  </r>
  <r>
    <n v="188"/>
    <n v="10"/>
    <n v="188"/>
    <x v="187"/>
    <x v="1"/>
    <n v="15.969999999999999"/>
    <n v="2.96"/>
    <n v="18.93"/>
    <s v="с отделкой и комплектацией"/>
    <x v="1"/>
    <x v="0"/>
    <n v="18.93"/>
    <n v="306392"/>
    <n v="50000"/>
    <n v="50000"/>
    <n v="7693000.5599999996"/>
  </r>
  <r>
    <n v="189"/>
    <n v="10"/>
    <n v="189"/>
    <x v="188"/>
    <x v="5"/>
    <n v="40.010000000000005"/>
    <n v="30.24"/>
    <n v="70.25"/>
    <s v="с отделкой и комплектацией"/>
    <x v="1"/>
    <x v="0"/>
    <n v="70.25"/>
    <n v="240000"/>
    <n v="50000"/>
    <n v="50000"/>
    <n v="23885000"/>
  </r>
  <r>
    <n v="190"/>
    <n v="10"/>
    <n v="190"/>
    <x v="189"/>
    <x v="5"/>
    <n v="48.980000000000004"/>
    <n v="36.14"/>
    <n v="85.12"/>
    <s v="с отделкой и комплектацией"/>
    <x v="1"/>
    <x v="0"/>
    <n v="85.12"/>
    <n v="198000"/>
    <n v="50000"/>
    <n v="50000"/>
    <n v="25365760"/>
  </r>
  <r>
    <n v="191"/>
    <n v="10"/>
    <n v="191"/>
    <x v="190"/>
    <x v="1"/>
    <n v="15.969999999999999"/>
    <n v="2.96"/>
    <n v="18.93"/>
    <s v="с отделкой и комплектацией"/>
    <x v="1"/>
    <x v="0"/>
    <n v="18.93"/>
    <n v="306392"/>
    <n v="50000"/>
    <n v="50000"/>
    <n v="7693000.5599999996"/>
  </r>
  <r>
    <n v="192"/>
    <n v="10"/>
    <n v="192"/>
    <x v="191"/>
    <x v="1"/>
    <n v="15.97"/>
    <n v="3.03"/>
    <n v="19"/>
    <s v="с отделкой и комплектацией"/>
    <x v="1"/>
    <x v="0"/>
    <n v="19"/>
    <n v="305263"/>
    <n v="50000"/>
    <n v="50000"/>
    <n v="7699997"/>
  </r>
  <r>
    <n v="193"/>
    <n v="10"/>
    <n v="193"/>
    <x v="192"/>
    <x v="4"/>
    <n v="32.67"/>
    <n v="18.21"/>
    <n v="50.88"/>
    <s v="с отделкой и комплектацией"/>
    <x v="1"/>
    <x v="0"/>
    <n v="50.88"/>
    <n v="275157"/>
    <n v="50000"/>
    <n v="50000"/>
    <n v="19087988.16"/>
  </r>
  <r>
    <n v="194"/>
    <n v="10"/>
    <n v="194"/>
    <x v="193"/>
    <x v="1"/>
    <n v="16"/>
    <n v="3.01"/>
    <n v="19.010000000000002"/>
    <s v="с отделкой и комплектацией"/>
    <x v="1"/>
    <x v="0"/>
    <n v="19.010000000000002"/>
    <n v="294582"/>
    <n v="50000"/>
    <n v="50000"/>
    <n v="7501003.8200000003"/>
  </r>
  <r>
    <n v="195"/>
    <n v="10"/>
    <n v="195"/>
    <x v="194"/>
    <x v="1"/>
    <n v="16"/>
    <n v="2.95"/>
    <n v="18.95"/>
    <s v="с отделкой и комплектацией"/>
    <x v="1"/>
    <x v="0"/>
    <n v="18.95"/>
    <n v="295515"/>
    <n v="50000"/>
    <n v="50000"/>
    <n v="7495009.25"/>
  </r>
  <r>
    <n v="196"/>
    <n v="10"/>
    <n v="196"/>
    <x v="195"/>
    <x v="1"/>
    <n v="16"/>
    <n v="3.03"/>
    <n v="19.03"/>
    <s v="с отделкой и комплектацией"/>
    <x v="1"/>
    <x v="0"/>
    <n v="19.03"/>
    <n v="294272"/>
    <n v="50000"/>
    <n v="50000"/>
    <n v="7502996.1600000001"/>
  </r>
  <r>
    <n v="197"/>
    <n v="10"/>
    <n v="197"/>
    <x v="196"/>
    <x v="2"/>
    <n v="41.019999999999996"/>
    <n v="8.8000000000000007"/>
    <n v="49.82"/>
    <s v="с отделкой и комплектацией"/>
    <x v="1"/>
    <x v="0"/>
    <n v="49.82"/>
    <n v="274990"/>
    <n v="50000"/>
    <n v="50000"/>
    <n v="18682001.800000001"/>
  </r>
  <r>
    <n v="198"/>
    <n v="11"/>
    <n v="198"/>
    <x v="197"/>
    <x v="6"/>
    <n v="40.56"/>
    <n v="28.41"/>
    <n v="68.97"/>
    <s v="с отделкой и комплектацией"/>
    <x v="1"/>
    <x v="0"/>
    <n v="68.97"/>
    <n v="255183"/>
    <n v="50000"/>
    <n v="50000"/>
    <n v="24496971.509999998"/>
  </r>
  <r>
    <n v="199"/>
    <n v="11"/>
    <n v="199"/>
    <x v="198"/>
    <x v="1"/>
    <n v="16"/>
    <n v="2.95"/>
    <n v="18.95"/>
    <s v="с отделкой и комплектацией"/>
    <x v="1"/>
    <x v="0"/>
    <n v="18.95"/>
    <n v="306069"/>
    <n v="50000"/>
    <n v="50000"/>
    <n v="7695007.5499999998"/>
  </r>
  <r>
    <n v="200"/>
    <n v="11"/>
    <n v="200"/>
    <x v="199"/>
    <x v="1"/>
    <n v="16"/>
    <n v="3.02"/>
    <n v="19.02"/>
    <s v="с отделкой и комплектацией"/>
    <x v="1"/>
    <x v="0"/>
    <n v="19.02"/>
    <n v="304942"/>
    <n v="50000"/>
    <n v="50000"/>
    <n v="7701996.8399999999"/>
  </r>
  <r>
    <n v="201"/>
    <n v="11"/>
    <n v="201"/>
    <x v="200"/>
    <x v="1"/>
    <n v="16"/>
    <n v="3.02"/>
    <n v="19.02"/>
    <s v="с отделкой и комплектацией"/>
    <x v="1"/>
    <x v="0"/>
    <n v="19.02"/>
    <n v="304942"/>
    <n v="50000"/>
    <n v="50000"/>
    <n v="7701996.8399999999"/>
  </r>
  <r>
    <n v="202"/>
    <n v="11"/>
    <n v="202"/>
    <x v="201"/>
    <x v="3"/>
    <n v="21.159999999999997"/>
    <n v="8.6300000000000008"/>
    <n v="29.79"/>
    <s v="с отделкой и комплектацией"/>
    <x v="1"/>
    <x v="0"/>
    <n v="29.79"/>
    <n v="271903"/>
    <n v="50000"/>
    <n v="50000"/>
    <n v="11078990.369999999"/>
  </r>
  <r>
    <n v="203"/>
    <n v="11"/>
    <n v="203"/>
    <x v="202"/>
    <x v="0"/>
    <n v="23.97"/>
    <n v="6.32"/>
    <n v="30.29"/>
    <s v="с отделкой и комплектацией"/>
    <x v="1"/>
    <x v="0"/>
    <n v="30.29"/>
    <n v="267415"/>
    <n v="50000"/>
    <n v="50000"/>
    <n v="11129000.35"/>
  </r>
  <r>
    <n v="204"/>
    <n v="11"/>
    <n v="204"/>
    <x v="203"/>
    <x v="5"/>
    <n v="40.160000000000004"/>
    <n v="30.15"/>
    <n v="70.31"/>
    <s v="с отделкой и комплектацией"/>
    <x v="1"/>
    <x v="0"/>
    <n v="70.31"/>
    <n v="284455"/>
    <n v="50000"/>
    <n v="50000"/>
    <n v="27031031.050000001"/>
  </r>
  <r>
    <n v="205"/>
    <n v="11"/>
    <n v="205"/>
    <x v="204"/>
    <x v="5"/>
    <n v="48.980000000000004"/>
    <n v="35.909999999999997"/>
    <n v="84.89"/>
    <s v="с отделкой и комплектацией"/>
    <x v="1"/>
    <x v="0"/>
    <n v="84.89"/>
    <n v="259159"/>
    <n v="50000"/>
    <n v="50000"/>
    <n v="30489007.510000002"/>
  </r>
  <r>
    <n v="206"/>
    <n v="11"/>
    <n v="206"/>
    <x v="205"/>
    <x v="1"/>
    <n v="15.97"/>
    <n v="3.03"/>
    <n v="19"/>
    <s v="с отделкой и комплектацией"/>
    <x v="1"/>
    <x v="0"/>
    <n v="19"/>
    <n v="310526"/>
    <n v="50000"/>
    <n v="50000"/>
    <n v="7799994"/>
  </r>
  <r>
    <n v="207"/>
    <n v="11"/>
    <n v="207"/>
    <x v="206"/>
    <x v="4"/>
    <n v="32.33"/>
    <n v="18.22"/>
    <n v="50.55"/>
    <s v="с отделкой и комплектацией"/>
    <x v="1"/>
    <x v="0"/>
    <n v="50.55"/>
    <n v="282888"/>
    <n v="50000"/>
    <n v="50000"/>
    <n v="19354988.399999999"/>
  </r>
  <r>
    <n v="208"/>
    <n v="11"/>
    <n v="208"/>
    <x v="207"/>
    <x v="1"/>
    <n v="16"/>
    <n v="3.02"/>
    <n v="19.02"/>
    <s v="с отделкой и комплектацией"/>
    <x v="1"/>
    <x v="0"/>
    <n v="19.02"/>
    <n v="304942"/>
    <n v="50000"/>
    <n v="50000"/>
    <n v="7701996.8399999999"/>
  </r>
  <r>
    <n v="209"/>
    <n v="11"/>
    <n v="209"/>
    <x v="208"/>
    <x v="1"/>
    <n v="17"/>
    <n v="1.95"/>
    <n v="18.95"/>
    <s v="с отделкой и комплектацией"/>
    <x v="1"/>
    <x v="0"/>
    <n v="18.95"/>
    <n v="306069"/>
    <n v="50000"/>
    <n v="50000"/>
    <n v="7695007.5499999998"/>
  </r>
  <r>
    <n v="210"/>
    <n v="11"/>
    <n v="210"/>
    <x v="209"/>
    <x v="6"/>
    <n v="40.730000000000004"/>
    <n v="28.2"/>
    <n v="68.930000000000007"/>
    <s v="с отделкой и комплектацией"/>
    <x v="1"/>
    <x v="0"/>
    <n v="68.930000000000007"/>
    <n v="255331"/>
    <n v="50000"/>
    <n v="50000"/>
    <n v="24492965.830000002"/>
  </r>
  <r>
    <n v="211"/>
    <n v="12"/>
    <n v="211"/>
    <x v="210"/>
    <x v="2"/>
    <n v="40.540000000000006"/>
    <n v="8.9499999999999993"/>
    <n v="49.49"/>
    <s v="С отделкой"/>
    <x v="0"/>
    <x v="0"/>
    <n v="49.49"/>
    <n v="288947"/>
    <n v="50000"/>
    <m/>
    <n v="16774487.030000001"/>
  </r>
  <r>
    <n v="212"/>
    <n v="12"/>
    <n v="212"/>
    <x v="211"/>
    <x v="1"/>
    <n v="16"/>
    <n v="2.95"/>
    <n v="18.95"/>
    <s v="С отделкой"/>
    <x v="0"/>
    <x v="0"/>
    <n v="18.95"/>
    <n v="311346"/>
    <n v="50000"/>
    <m/>
    <n v="6847506.7000000002"/>
  </r>
  <r>
    <n v="213"/>
    <n v="12"/>
    <n v="213"/>
    <x v="212"/>
    <x v="1"/>
    <n v="16"/>
    <n v="3.02"/>
    <n v="19.02"/>
    <s v="С отделкой"/>
    <x v="0"/>
    <x v="0"/>
    <n v="19.02"/>
    <n v="310200"/>
    <n v="50000"/>
    <m/>
    <n v="6851004"/>
  </r>
  <r>
    <n v="214"/>
    <n v="12"/>
    <n v="214"/>
    <x v="213"/>
    <x v="1"/>
    <n v="16"/>
    <n v="3.02"/>
    <n v="19.02"/>
    <s v="С отделкой"/>
    <x v="0"/>
    <x v="0"/>
    <n v="19.02"/>
    <n v="310200"/>
    <n v="50000"/>
    <m/>
    <n v="6851004"/>
  </r>
  <r>
    <n v="215"/>
    <n v="12"/>
    <n v="215"/>
    <x v="214"/>
    <x v="3"/>
    <n v="21.159999999999997"/>
    <n v="8.58"/>
    <n v="29.74"/>
    <s v="С отделкой"/>
    <x v="0"/>
    <x v="0"/>
    <n v="29.74"/>
    <n v="275723"/>
    <n v="50000"/>
    <m/>
    <n v="9687002.0199999996"/>
  </r>
  <r>
    <n v="216"/>
    <n v="12"/>
    <n v="216"/>
    <x v="215"/>
    <x v="0"/>
    <n v="24.16"/>
    <n v="6.45"/>
    <n v="30.61"/>
    <s v="С отделкой"/>
    <x v="0"/>
    <x v="0"/>
    <n v="30.61"/>
    <n v="267886"/>
    <n v="50000"/>
    <m/>
    <n v="9730490.459999999"/>
  </r>
  <r>
    <n v="217"/>
    <n v="12"/>
    <n v="217"/>
    <x v="216"/>
    <x v="5"/>
    <n v="24.3"/>
    <n v="26.91"/>
    <n v="51.21"/>
    <s v="С отделкой"/>
    <x v="0"/>
    <x v="0"/>
    <n v="51.21"/>
    <n v="196000"/>
    <n v="50000"/>
    <m/>
    <n v="12597660"/>
  </r>
  <r>
    <n v="218"/>
    <n v="12"/>
    <n v="218"/>
    <x v="217"/>
    <x v="5"/>
    <n v="27.560000000000002"/>
    <n v="32.65"/>
    <n v="60.21"/>
    <s v="С отделкой"/>
    <x v="0"/>
    <x v="0"/>
    <n v="60.21"/>
    <n v="199302"/>
    <n v="50000"/>
    <m/>
    <n v="15010473.42"/>
  </r>
  <r>
    <n v="219"/>
    <n v="12"/>
    <n v="219"/>
    <x v="218"/>
    <x v="1"/>
    <n v="15.82"/>
    <n v="3.05"/>
    <n v="18.87"/>
    <s v="С отделкой"/>
    <x v="0"/>
    <x v="0"/>
    <n v="18.87"/>
    <n v="317965"/>
    <n v="50000"/>
    <m/>
    <n v="6943499.5500000007"/>
  </r>
  <r>
    <n v="220"/>
    <n v="12"/>
    <n v="220"/>
    <x v="219"/>
    <x v="4"/>
    <n v="32.58"/>
    <n v="17.809999999999999"/>
    <n v="50.39"/>
    <s v="С отделкой"/>
    <x v="0"/>
    <x v="0"/>
    <n v="50.39"/>
    <n v="287756"/>
    <n v="50000"/>
    <m/>
    <n v="17019524.84"/>
  </r>
  <r>
    <n v="221"/>
    <n v="12"/>
    <n v="221"/>
    <x v="220"/>
    <x v="1"/>
    <n v="16.12"/>
    <n v="3.02"/>
    <n v="19.14"/>
    <s v="С отделкой"/>
    <x v="0"/>
    <x v="0"/>
    <n v="19.14"/>
    <n v="308255"/>
    <n v="50000"/>
    <m/>
    <n v="6857000.7000000002"/>
  </r>
  <r>
    <n v="222"/>
    <n v="12"/>
    <n v="222"/>
    <x v="221"/>
    <x v="1"/>
    <n v="16.099999999999998"/>
    <n v="2.96"/>
    <n v="19.059999999999999"/>
    <s v="С отделкой"/>
    <x v="0"/>
    <x v="0"/>
    <n v="19.059999999999999"/>
    <n v="309549"/>
    <n v="50000"/>
    <m/>
    <n v="6853003.9399999995"/>
  </r>
  <r>
    <n v="223"/>
    <n v="12"/>
    <n v="223"/>
    <x v="222"/>
    <x v="2"/>
    <n v="40.839999999999996"/>
    <n v="8.92"/>
    <n v="49.76"/>
    <s v="С отделкой"/>
    <x v="0"/>
    <x v="0"/>
    <n v="49.76"/>
    <n v="287379"/>
    <n v="50000"/>
    <m/>
    <n v="16787979.039999999"/>
  </r>
  <r>
    <n v="224"/>
    <n v="13"/>
    <n v="224"/>
    <x v="223"/>
    <x v="2"/>
    <n v="40.51"/>
    <n v="8.93"/>
    <n v="49.44"/>
    <s v="С отделкой"/>
    <x v="0"/>
    <x v="0"/>
    <n v="49.44"/>
    <n v="293285"/>
    <n v="50000"/>
    <m/>
    <n v="16972010.399999999"/>
  </r>
  <r>
    <n v="225"/>
    <n v="13"/>
    <n v="225"/>
    <x v="224"/>
    <x v="1"/>
    <n v="16"/>
    <n v="2.95"/>
    <n v="18.95"/>
    <s v="С отделкой"/>
    <x v="0"/>
    <x v="0"/>
    <n v="18.95"/>
    <n v="321900"/>
    <n v="50000"/>
    <m/>
    <n v="7047505"/>
  </r>
  <r>
    <n v="226"/>
    <n v="13"/>
    <n v="226"/>
    <x v="225"/>
    <x v="1"/>
    <n v="16"/>
    <n v="3.02"/>
    <n v="19.02"/>
    <s v="С отделкой"/>
    <x v="0"/>
    <x v="0"/>
    <n v="19.02"/>
    <n v="320715"/>
    <n v="50000"/>
    <m/>
    <n v="7050999.2999999998"/>
  </r>
  <r>
    <n v="227"/>
    <n v="13"/>
    <n v="227"/>
    <x v="226"/>
    <x v="1"/>
    <n v="15.969999999999999"/>
    <n v="3.02"/>
    <n v="18.989999999999998"/>
    <s v="С отделкой"/>
    <x v="0"/>
    <x v="0"/>
    <n v="18.989999999999998"/>
    <n v="321222"/>
    <n v="50000"/>
    <m/>
    <n v="7049505.7799999993"/>
  </r>
  <r>
    <n v="228"/>
    <n v="13"/>
    <n v="228"/>
    <x v="227"/>
    <x v="3"/>
    <n v="21.14"/>
    <n v="8.49"/>
    <n v="29.63"/>
    <s v="С отделкой"/>
    <x v="0"/>
    <x v="0"/>
    <n v="29.63"/>
    <n v="280121"/>
    <n v="50000"/>
    <m/>
    <n v="9781485.2300000004"/>
  </r>
  <r>
    <n v="229"/>
    <n v="13"/>
    <n v="229"/>
    <x v="228"/>
    <x v="5"/>
    <n v="39.49"/>
    <n v="24.36"/>
    <n v="63.85"/>
    <s v="С отделкой"/>
    <x v="0"/>
    <x v="0"/>
    <n v="63.85"/>
    <n v="280345"/>
    <n v="50000"/>
    <m/>
    <n v="21092528.25"/>
  </r>
  <r>
    <n v="230"/>
    <n v="13"/>
    <n v="230"/>
    <x v="229"/>
    <x v="5"/>
    <n v="36.160000000000004"/>
    <n v="29.93"/>
    <n v="66.09"/>
    <s v="С отделкой"/>
    <x v="0"/>
    <x v="0"/>
    <n v="66.09"/>
    <n v="275382"/>
    <n v="50000"/>
    <m/>
    <n v="21504496.380000003"/>
  </r>
  <r>
    <n v="231"/>
    <n v="13"/>
    <n v="231"/>
    <x v="230"/>
    <x v="4"/>
    <n v="32.33"/>
    <n v="17.82"/>
    <n v="50.15"/>
    <s v="С отделкой"/>
    <x v="0"/>
    <x v="0"/>
    <n v="50.15"/>
    <n v="293121"/>
    <n v="50000"/>
    <m/>
    <n v="17207518.149999999"/>
  </r>
  <r>
    <n v="232"/>
    <n v="13"/>
    <n v="232"/>
    <x v="231"/>
    <x v="1"/>
    <n v="16"/>
    <n v="3.02"/>
    <n v="19.02"/>
    <s v="С отделкой"/>
    <x v="0"/>
    <x v="0"/>
    <n v="19.02"/>
    <n v="320715"/>
    <n v="50000"/>
    <m/>
    <n v="7050999.2999999998"/>
  </r>
  <r>
    <n v="233"/>
    <n v="13"/>
    <n v="233"/>
    <x v="232"/>
    <x v="1"/>
    <n v="16"/>
    <n v="2.95"/>
    <n v="18.95"/>
    <s v="С отделкой"/>
    <x v="0"/>
    <x v="0"/>
    <n v="18.95"/>
    <n v="321900"/>
    <n v="50000"/>
    <m/>
    <n v="7047505"/>
  </r>
  <r>
    <n v="234"/>
    <n v="13"/>
    <n v="234"/>
    <x v="233"/>
    <x v="2"/>
    <n v="40.68"/>
    <n v="8.93"/>
    <n v="49.61"/>
    <s v="С отделкой"/>
    <x v="0"/>
    <x v="0"/>
    <n v="49.61"/>
    <n v="292280"/>
    <n v="50000"/>
    <m/>
    <n v="16980510.800000001"/>
  </r>
  <r>
    <n v="235"/>
    <n v="14"/>
    <n v="235"/>
    <x v="234"/>
    <x v="2"/>
    <n v="40.49"/>
    <n v="8.93"/>
    <n v="49.42"/>
    <s v="С отделкой"/>
    <x v="0"/>
    <x v="0"/>
    <n v="49.42"/>
    <n v="297450"/>
    <n v="50000"/>
    <m/>
    <n v="17170979"/>
  </r>
  <r>
    <n v="236"/>
    <n v="14"/>
    <n v="236"/>
    <x v="235"/>
    <x v="1"/>
    <n v="16"/>
    <n v="2.95"/>
    <n v="18.95"/>
    <s v="С отделкой"/>
    <x v="0"/>
    <x v="0"/>
    <n v="18.95"/>
    <n v="327177"/>
    <n v="50000"/>
    <m/>
    <n v="7147504.1499999994"/>
  </r>
  <r>
    <n v="237"/>
    <n v="14"/>
    <n v="237"/>
    <x v="236"/>
    <x v="1"/>
    <n v="16"/>
    <n v="3.02"/>
    <n v="19.02"/>
    <s v="С отделкой"/>
    <x v="0"/>
    <x v="0"/>
    <n v="19.02"/>
    <n v="325973"/>
    <n v="50000"/>
    <m/>
    <n v="7151006.46"/>
  </r>
  <r>
    <n v="238"/>
    <n v="14"/>
    <n v="238"/>
    <x v="237"/>
    <x v="1"/>
    <n v="16"/>
    <n v="3.02"/>
    <n v="19.02"/>
    <s v="С отделкой"/>
    <x v="0"/>
    <x v="0"/>
    <n v="19.02"/>
    <n v="325973"/>
    <n v="50000"/>
    <m/>
    <n v="7151006.46"/>
  </r>
  <r>
    <n v="239"/>
    <n v="14"/>
    <n v="239"/>
    <x v="238"/>
    <x v="3"/>
    <n v="21.14"/>
    <n v="8.44"/>
    <n v="29.58"/>
    <s v="С отделкой"/>
    <x v="0"/>
    <x v="0"/>
    <n v="29.58"/>
    <n v="283976"/>
    <n v="50000"/>
    <m/>
    <n v="9879010.0800000001"/>
  </r>
  <r>
    <n v="240"/>
    <n v="14"/>
    <n v="240"/>
    <x v="239"/>
    <x v="7"/>
    <n v="51.469999999999992"/>
    <n v="33.6"/>
    <n v="85.07"/>
    <s v="С отделкой"/>
    <x v="0"/>
    <x v="0"/>
    <n v="85.07"/>
    <n v="293876"/>
    <n v="50000"/>
    <m/>
    <n v="29253531.319999997"/>
  </r>
  <r>
    <n v="241"/>
    <n v="14"/>
    <n v="241"/>
    <x v="240"/>
    <x v="4"/>
    <n v="32.269999999999996"/>
    <n v="17.98"/>
    <n v="50.25"/>
    <s v="С отделкой"/>
    <x v="0"/>
    <x v="0"/>
    <n v="50.25"/>
    <n v="298507"/>
    <n v="50000"/>
    <m/>
    <n v="17512476.75"/>
  </r>
  <r>
    <n v="242"/>
    <n v="14"/>
    <n v="242"/>
    <x v="241"/>
    <x v="1"/>
    <n v="16"/>
    <n v="3.02"/>
    <n v="19.02"/>
    <s v="С отделкой"/>
    <x v="0"/>
    <x v="0"/>
    <n v="19.02"/>
    <n v="325973"/>
    <n v="50000"/>
    <m/>
    <n v="7151006.46"/>
  </r>
  <r>
    <n v="243"/>
    <n v="14"/>
    <n v="243"/>
    <x v="242"/>
    <x v="1"/>
    <n v="15.980000000000002"/>
    <n v="2.94"/>
    <n v="18.920000000000002"/>
    <s v="С отделкой"/>
    <x v="0"/>
    <x v="0"/>
    <n v="18.920000000000002"/>
    <n v="327696"/>
    <n v="50000"/>
    <m/>
    <n v="7146008.3200000003"/>
  </r>
  <r>
    <n v="244"/>
    <n v="14"/>
    <n v="244"/>
    <x v="243"/>
    <x v="2"/>
    <n v="40.659999999999997"/>
    <n v="8.91"/>
    <n v="49.57"/>
    <s v="С отделкой"/>
    <x v="0"/>
    <x v="0"/>
    <n v="49.57"/>
    <n v="296550"/>
    <n v="50000"/>
    <m/>
    <n v="17178483.5"/>
  </r>
  <r>
    <m/>
    <m/>
    <m/>
    <x v="244"/>
    <x v="8"/>
    <m/>
    <m/>
    <m/>
    <m/>
    <x v="2"/>
    <x v="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8" indent="0" outline="1" outlineData="1" multipleFieldFilters="0">
  <location ref="A1:A152" firstHeaderRow="1" firstDataRow="1" firstDataCol="1"/>
  <pivotFields count="16">
    <pivotField showAll="0"/>
    <pivotField showAll="0"/>
    <pivotField showAll="0"/>
    <pivotField axis="axisRow" showAll="0">
      <items count="2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t="default"/>
      </items>
    </pivotField>
    <pivotField showAll="0">
      <items count="10">
        <item x="0"/>
        <item x="3"/>
        <item x="2"/>
        <item x="4"/>
        <item h="1" x="7"/>
        <item x="6"/>
        <item x="5"/>
        <item x="1"/>
        <item h="1" x="8"/>
        <item t="default"/>
      </items>
    </pivotField>
    <pivotField showAll="0"/>
    <pivotField showAll="0"/>
    <pivotField showAll="0"/>
    <pivotField showAll="0"/>
    <pivotField showAll="0">
      <items count="4">
        <item x="1"/>
        <item h="1" x="0"/>
        <item h="1" x="2"/>
        <item t="default"/>
      </items>
    </pivotField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151"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Назначение" sourceName="Назначение">
  <pivotTables>
    <pivotTable tabId="10" name="Сводная таблица1"/>
  </pivotTables>
  <data>
    <tabular pivotCacheId="374420717">
      <items count="3">
        <i x="1" s="1"/>
        <i x="0"/>
        <i x="2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Статус" sourceName="Статус">
  <pivotTables>
    <pivotTable tabId="10" name="Сводная таблица1"/>
  </pivotTables>
  <data>
    <tabular pivotCacheId="374420717">
      <items count="3">
        <i x="0" s="1"/>
        <i x="1" nd="1"/>
        <i x="2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Категория" sourceName="Категория">
  <pivotTables>
    <pivotTable tabId="10" name="Сводная таблица1"/>
  </pivotTables>
  <data>
    <tabular pivotCacheId="374420717">
      <items count="9">
        <i x="0" s="1"/>
        <i x="3" s="1"/>
        <i x="2" s="1"/>
        <i x="4" s="1"/>
        <i x="6" s="1"/>
        <i x="5" s="1"/>
        <i x="1" s="1"/>
        <i x="7" nd="1"/>
        <i x="8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Назначение" cache="Срез_Назначение" caption="Назначение" rowHeight="251883"/>
  <slicer name="Статус" cache="Срез_Статус" caption="Статус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Категория 1" cache="Срез_Категория" caption="Категория" rowHeight="251883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D2" sqref="D2"/>
    </sheetView>
  </sheetViews>
  <sheetFormatPr defaultColWidth="8.625" defaultRowHeight="15.75"/>
  <cols>
    <col min="1" max="1" width="12.5" style="29" customWidth="1"/>
    <col min="2" max="2" width="5.375" style="29" bestFit="1" customWidth="1"/>
    <col min="3" max="3" width="8.625" style="29" customWidth="1"/>
    <col min="4" max="4" width="9.625" style="29" customWidth="1"/>
    <col min="5" max="6" width="14.125" style="30" bestFit="1" customWidth="1"/>
    <col min="7" max="7" width="11.375" style="29" customWidth="1"/>
    <col min="8" max="8" width="17.375" style="29" customWidth="1"/>
    <col min="9" max="9" width="18" style="29" customWidth="1"/>
    <col min="10" max="16384" width="8.625" style="29"/>
  </cols>
  <sheetData>
    <row r="1" spans="1:9" ht="45">
      <c r="A1" s="27" t="s">
        <v>84</v>
      </c>
      <c r="B1" s="27" t="s">
        <v>1</v>
      </c>
      <c r="C1" s="27" t="s">
        <v>85</v>
      </c>
      <c r="D1" s="27" t="s">
        <v>86</v>
      </c>
      <c r="E1" s="28" t="s">
        <v>87</v>
      </c>
      <c r="F1" s="28" t="s">
        <v>88</v>
      </c>
      <c r="G1" s="27" t="s">
        <v>89</v>
      </c>
      <c r="H1" s="27" t="s">
        <v>90</v>
      </c>
      <c r="I1" s="28" t="s">
        <v>91</v>
      </c>
    </row>
    <row r="2" spans="1:9">
      <c r="A2" s="29">
        <v>1</v>
      </c>
      <c r="B2" s="29">
        <v>3</v>
      </c>
      <c r="C2" s="29">
        <v>2</v>
      </c>
      <c r="D2" s="29">
        <v>47.63</v>
      </c>
      <c r="E2" s="30">
        <v>9500000</v>
      </c>
      <c r="F2" s="30">
        <v>199454</v>
      </c>
      <c r="H2" s="31">
        <f>E2+(E2*0.3)</f>
        <v>12350000</v>
      </c>
      <c r="I2" s="31">
        <f>H2/D2</f>
        <v>259290.36321646019</v>
      </c>
    </row>
    <row r="3" spans="1:9">
      <c r="A3" s="29">
        <v>2</v>
      </c>
      <c r="B3" s="29">
        <v>3</v>
      </c>
      <c r="C3" s="29">
        <v>1</v>
      </c>
      <c r="D3" s="29">
        <v>18.77</v>
      </c>
      <c r="E3" s="30">
        <v>4600000</v>
      </c>
      <c r="F3" s="30">
        <v>245072</v>
      </c>
      <c r="H3" s="31">
        <f t="shared" ref="H3:H66" si="0">E3+(E3*0.3)</f>
        <v>5980000</v>
      </c>
      <c r="I3" s="31">
        <f t="shared" ref="I3:I66" si="1">H3/D3</f>
        <v>318593.50026638253</v>
      </c>
    </row>
    <row r="4" spans="1:9">
      <c r="A4" s="29">
        <v>3</v>
      </c>
      <c r="B4" s="29">
        <v>3</v>
      </c>
      <c r="C4" s="29">
        <v>1</v>
      </c>
      <c r="D4" s="29">
        <v>18.850000000000001</v>
      </c>
      <c r="E4" s="30">
        <v>4600000</v>
      </c>
      <c r="F4" s="30">
        <v>244032</v>
      </c>
      <c r="H4" s="31">
        <f t="shared" si="0"/>
        <v>5980000</v>
      </c>
      <c r="I4" s="31">
        <f t="shared" si="1"/>
        <v>317241.37931034481</v>
      </c>
    </row>
    <row r="5" spans="1:9">
      <c r="A5" s="29">
        <v>4</v>
      </c>
      <c r="B5" s="29">
        <v>3</v>
      </c>
      <c r="C5" s="29">
        <v>1</v>
      </c>
      <c r="D5" s="29">
        <v>18.8</v>
      </c>
      <c r="E5" s="30">
        <v>4600000</v>
      </c>
      <c r="F5" s="30">
        <v>244681</v>
      </c>
      <c r="H5" s="31">
        <f t="shared" si="0"/>
        <v>5980000</v>
      </c>
      <c r="I5" s="31">
        <f t="shared" si="1"/>
        <v>318085.10638297873</v>
      </c>
    </row>
    <row r="6" spans="1:9">
      <c r="A6" s="29">
        <v>5</v>
      </c>
      <c r="B6" s="29">
        <v>3</v>
      </c>
      <c r="C6" s="29">
        <v>1</v>
      </c>
      <c r="D6" s="29">
        <v>18.87</v>
      </c>
      <c r="E6" s="30">
        <v>4700000</v>
      </c>
      <c r="F6" s="30">
        <v>249073</v>
      </c>
      <c r="H6" s="31">
        <f t="shared" si="0"/>
        <v>6110000</v>
      </c>
      <c r="I6" s="31">
        <f t="shared" si="1"/>
        <v>323794.38261791202</v>
      </c>
    </row>
    <row r="7" spans="1:9">
      <c r="A7" s="29">
        <v>6</v>
      </c>
      <c r="B7" s="29">
        <v>3</v>
      </c>
      <c r="C7" s="29">
        <v>1</v>
      </c>
      <c r="D7" s="29">
        <v>18.87</v>
      </c>
      <c r="E7" s="30">
        <v>4700000</v>
      </c>
      <c r="F7" s="30">
        <v>249073</v>
      </c>
      <c r="H7" s="31">
        <f t="shared" si="0"/>
        <v>6110000</v>
      </c>
      <c r="I7" s="31">
        <f t="shared" si="1"/>
        <v>323794.38261791202</v>
      </c>
    </row>
    <row r="8" spans="1:9">
      <c r="A8" s="29">
        <v>7</v>
      </c>
      <c r="B8" s="29">
        <v>3</v>
      </c>
      <c r="C8" s="29">
        <v>1</v>
      </c>
      <c r="D8" s="29">
        <v>19.02</v>
      </c>
      <c r="E8" s="30">
        <v>4700000</v>
      </c>
      <c r="F8" s="30">
        <v>247108</v>
      </c>
      <c r="H8" s="31">
        <f t="shared" si="0"/>
        <v>6110000</v>
      </c>
      <c r="I8" s="31">
        <f t="shared" si="1"/>
        <v>321240.79915878025</v>
      </c>
    </row>
    <row r="9" spans="1:9">
      <c r="A9" s="29">
        <v>8</v>
      </c>
      <c r="B9" s="29">
        <v>3</v>
      </c>
      <c r="C9" s="29">
        <v>2</v>
      </c>
      <c r="D9" s="29">
        <v>30.7</v>
      </c>
      <c r="E9" s="30">
        <v>6200000</v>
      </c>
      <c r="F9" s="30">
        <v>201954</v>
      </c>
      <c r="H9" s="31">
        <f t="shared" si="0"/>
        <v>8060000</v>
      </c>
      <c r="I9" s="31">
        <f t="shared" si="1"/>
        <v>262540.71661237784</v>
      </c>
    </row>
    <row r="10" spans="1:9">
      <c r="A10" s="29">
        <v>9</v>
      </c>
      <c r="B10" s="29">
        <v>3</v>
      </c>
      <c r="C10" s="29">
        <v>1</v>
      </c>
      <c r="D10" s="29">
        <v>18.91</v>
      </c>
      <c r="E10" s="30">
        <v>4800000</v>
      </c>
      <c r="F10" s="30">
        <v>253834</v>
      </c>
      <c r="H10" s="31">
        <f t="shared" si="0"/>
        <v>6240000</v>
      </c>
      <c r="I10" s="31">
        <f t="shared" si="1"/>
        <v>329984.13537810685</v>
      </c>
    </row>
    <row r="11" spans="1:9">
      <c r="A11" s="29">
        <v>10</v>
      </c>
      <c r="B11" s="29">
        <v>3</v>
      </c>
      <c r="C11" s="29">
        <v>1</v>
      </c>
      <c r="D11" s="29">
        <v>18.989999999999998</v>
      </c>
      <c r="E11" s="30">
        <v>4800000</v>
      </c>
      <c r="F11" s="30">
        <v>252765</v>
      </c>
      <c r="H11" s="31">
        <f t="shared" si="0"/>
        <v>6240000</v>
      </c>
      <c r="I11" s="31">
        <f t="shared" si="1"/>
        <v>328593.99684044236</v>
      </c>
    </row>
    <row r="12" spans="1:9">
      <c r="A12" s="29">
        <v>11</v>
      </c>
      <c r="B12" s="29">
        <v>3</v>
      </c>
      <c r="C12" s="29">
        <v>1</v>
      </c>
      <c r="D12" s="29">
        <v>18.989999999999998</v>
      </c>
      <c r="E12" s="30">
        <v>4800000</v>
      </c>
      <c r="F12" s="30">
        <v>252765</v>
      </c>
      <c r="H12" s="31">
        <f t="shared" si="0"/>
        <v>6240000</v>
      </c>
      <c r="I12" s="31">
        <f t="shared" si="1"/>
        <v>328593.99684044236</v>
      </c>
    </row>
    <row r="13" spans="1:9">
      <c r="A13" s="29">
        <v>12</v>
      </c>
      <c r="B13" s="29">
        <v>3</v>
      </c>
      <c r="C13" s="29">
        <v>1</v>
      </c>
      <c r="D13" s="29">
        <v>18.989999999999998</v>
      </c>
      <c r="E13" s="30">
        <v>4800000</v>
      </c>
      <c r="F13" s="30">
        <v>252765</v>
      </c>
      <c r="H13" s="31">
        <f t="shared" si="0"/>
        <v>6240000</v>
      </c>
      <c r="I13" s="31">
        <f t="shared" si="1"/>
        <v>328593.99684044236</v>
      </c>
    </row>
    <row r="14" spans="1:9">
      <c r="A14" s="29">
        <v>13</v>
      </c>
      <c r="B14" s="29">
        <v>3</v>
      </c>
      <c r="C14" s="29">
        <v>1</v>
      </c>
      <c r="D14" s="29">
        <v>18.91</v>
      </c>
      <c r="E14" s="30">
        <v>4900000</v>
      </c>
      <c r="F14" s="30">
        <v>259122</v>
      </c>
      <c r="H14" s="31">
        <f t="shared" si="0"/>
        <v>6370000</v>
      </c>
      <c r="I14" s="31">
        <f t="shared" si="1"/>
        <v>336858.80486515071</v>
      </c>
    </row>
    <row r="15" spans="1:9">
      <c r="A15" s="29">
        <v>14</v>
      </c>
      <c r="B15" s="29">
        <v>3</v>
      </c>
      <c r="C15" s="29">
        <v>2</v>
      </c>
      <c r="D15" s="29">
        <v>38.75</v>
      </c>
      <c r="E15" s="30">
        <v>8190000</v>
      </c>
      <c r="F15" s="30">
        <v>211355</v>
      </c>
      <c r="H15" s="31">
        <f t="shared" si="0"/>
        <v>10647000</v>
      </c>
      <c r="I15" s="31">
        <f t="shared" si="1"/>
        <v>274761.29032258067</v>
      </c>
    </row>
    <row r="16" spans="1:9">
      <c r="A16" s="29">
        <v>15</v>
      </c>
      <c r="B16" s="29">
        <v>3</v>
      </c>
      <c r="C16" s="29">
        <v>2</v>
      </c>
      <c r="D16" s="29">
        <v>50.09</v>
      </c>
      <c r="E16" s="30">
        <v>10100000</v>
      </c>
      <c r="F16" s="30">
        <v>201637</v>
      </c>
      <c r="H16" s="31">
        <f t="shared" si="0"/>
        <v>13130000</v>
      </c>
      <c r="I16" s="31">
        <f t="shared" si="1"/>
        <v>262128.16929526851</v>
      </c>
    </row>
    <row r="17" spans="1:9">
      <c r="A17" s="29">
        <v>16</v>
      </c>
      <c r="B17" s="29">
        <v>3</v>
      </c>
      <c r="C17" s="29">
        <v>2</v>
      </c>
      <c r="D17" s="29">
        <v>50.13</v>
      </c>
      <c r="E17" s="30">
        <v>10100000</v>
      </c>
      <c r="F17" s="30">
        <v>201476</v>
      </c>
      <c r="H17" s="31">
        <f t="shared" si="0"/>
        <v>13130000</v>
      </c>
      <c r="I17" s="31">
        <f t="shared" si="1"/>
        <v>261919.01057251147</v>
      </c>
    </row>
    <row r="18" spans="1:9">
      <c r="A18" s="29">
        <v>17</v>
      </c>
      <c r="B18" s="29">
        <v>3</v>
      </c>
      <c r="C18" s="29">
        <v>1</v>
      </c>
      <c r="D18" s="29">
        <v>18.71</v>
      </c>
      <c r="E18" s="30">
        <v>4900000</v>
      </c>
      <c r="F18" s="30">
        <v>261892</v>
      </c>
      <c r="H18" s="31">
        <f t="shared" si="0"/>
        <v>6370000</v>
      </c>
      <c r="I18" s="31">
        <f t="shared" si="1"/>
        <v>340459.64724746125</v>
      </c>
    </row>
    <row r="19" spans="1:9">
      <c r="A19" s="29">
        <v>18</v>
      </c>
      <c r="B19" s="29">
        <v>3</v>
      </c>
      <c r="C19" s="29">
        <v>1</v>
      </c>
      <c r="D19" s="29">
        <v>18.93</v>
      </c>
      <c r="E19" s="30">
        <v>4900000</v>
      </c>
      <c r="F19" s="30">
        <v>258848</v>
      </c>
      <c r="H19" s="31">
        <f t="shared" si="0"/>
        <v>6370000</v>
      </c>
      <c r="I19" s="31">
        <f t="shared" si="1"/>
        <v>336502.90544109879</v>
      </c>
    </row>
    <row r="20" spans="1:9">
      <c r="A20" s="29">
        <v>19</v>
      </c>
      <c r="B20" s="29">
        <v>3</v>
      </c>
      <c r="C20" s="29">
        <v>1</v>
      </c>
      <c r="D20" s="29">
        <v>18.91</v>
      </c>
      <c r="E20" s="30">
        <v>4900000</v>
      </c>
      <c r="F20" s="30">
        <v>259122</v>
      </c>
      <c r="H20" s="31">
        <f t="shared" si="0"/>
        <v>6370000</v>
      </c>
      <c r="I20" s="31">
        <f t="shared" si="1"/>
        <v>336858.80486515071</v>
      </c>
    </row>
    <row r="21" spans="1:9">
      <c r="A21" s="29">
        <v>20</v>
      </c>
      <c r="B21" s="29">
        <v>3</v>
      </c>
      <c r="C21" s="29">
        <v>1</v>
      </c>
      <c r="D21" s="29">
        <v>18.989999999999998</v>
      </c>
      <c r="E21" s="30">
        <v>4800000</v>
      </c>
      <c r="F21" s="30">
        <v>252765</v>
      </c>
      <c r="H21" s="31">
        <f t="shared" si="0"/>
        <v>6240000</v>
      </c>
      <c r="I21" s="31">
        <f t="shared" si="1"/>
        <v>328593.99684044236</v>
      </c>
    </row>
    <row r="22" spans="1:9">
      <c r="A22" s="29">
        <v>21</v>
      </c>
      <c r="B22" s="29">
        <v>3</v>
      </c>
      <c r="C22" s="29">
        <v>1</v>
      </c>
      <c r="D22" s="29">
        <v>18.989999999999998</v>
      </c>
      <c r="E22" s="30">
        <v>4800000</v>
      </c>
      <c r="F22" s="30">
        <v>252765</v>
      </c>
      <c r="H22" s="31">
        <f t="shared" si="0"/>
        <v>6240000</v>
      </c>
      <c r="I22" s="31">
        <f t="shared" si="1"/>
        <v>328593.99684044236</v>
      </c>
    </row>
    <row r="23" spans="1:9">
      <c r="A23" s="29">
        <v>22</v>
      </c>
      <c r="B23" s="29">
        <v>3</v>
      </c>
      <c r="C23" s="29">
        <v>1</v>
      </c>
      <c r="D23" s="29">
        <v>18.989999999999998</v>
      </c>
      <c r="E23" s="30">
        <v>4800000</v>
      </c>
      <c r="F23" s="30">
        <v>252765</v>
      </c>
      <c r="H23" s="31">
        <f t="shared" si="0"/>
        <v>6240000</v>
      </c>
      <c r="I23" s="31">
        <f t="shared" si="1"/>
        <v>328593.99684044236</v>
      </c>
    </row>
    <row r="24" spans="1:9">
      <c r="A24" s="29">
        <v>23</v>
      </c>
      <c r="B24" s="29">
        <v>3</v>
      </c>
      <c r="C24" s="29">
        <v>1</v>
      </c>
      <c r="D24" s="29">
        <v>18.91</v>
      </c>
      <c r="E24" s="30">
        <v>4800000</v>
      </c>
      <c r="F24" s="30">
        <v>253834</v>
      </c>
      <c r="H24" s="31">
        <f t="shared" si="0"/>
        <v>6240000</v>
      </c>
      <c r="I24" s="31">
        <f t="shared" si="1"/>
        <v>329984.13537810685</v>
      </c>
    </row>
    <row r="25" spans="1:9">
      <c r="A25" s="29">
        <v>24</v>
      </c>
      <c r="B25" s="29">
        <v>3</v>
      </c>
      <c r="C25" s="29">
        <v>1</v>
      </c>
      <c r="D25" s="29">
        <v>18.989999999999998</v>
      </c>
      <c r="E25" s="30">
        <v>4800000</v>
      </c>
      <c r="F25" s="30">
        <v>252765</v>
      </c>
      <c r="H25" s="31">
        <f t="shared" si="0"/>
        <v>6240000</v>
      </c>
      <c r="I25" s="31">
        <f t="shared" si="1"/>
        <v>328593.99684044236</v>
      </c>
    </row>
    <row r="26" spans="1:9">
      <c r="A26" s="29">
        <v>25</v>
      </c>
      <c r="B26" s="29">
        <v>3</v>
      </c>
      <c r="C26" s="29">
        <v>2</v>
      </c>
      <c r="D26" s="29">
        <v>38.54</v>
      </c>
      <c r="E26" s="30">
        <v>7660000</v>
      </c>
      <c r="F26" s="30">
        <v>198755</v>
      </c>
      <c r="H26" s="31">
        <f t="shared" si="0"/>
        <v>9958000</v>
      </c>
      <c r="I26" s="31">
        <f t="shared" si="1"/>
        <v>258380.90295796577</v>
      </c>
    </row>
    <row r="27" spans="1:9">
      <c r="A27" s="29">
        <v>26</v>
      </c>
      <c r="B27" s="29">
        <v>3</v>
      </c>
      <c r="C27" s="29">
        <v>1</v>
      </c>
      <c r="D27" s="29">
        <v>18.87</v>
      </c>
      <c r="E27" s="30">
        <v>4500000</v>
      </c>
      <c r="F27" s="30">
        <v>238474</v>
      </c>
      <c r="G27" s="29" t="s">
        <v>92</v>
      </c>
      <c r="H27" s="31"/>
      <c r="I27" s="31"/>
    </row>
    <row r="28" spans="1:9">
      <c r="A28" s="29">
        <v>27</v>
      </c>
      <c r="B28" s="29">
        <v>3</v>
      </c>
      <c r="C28" s="29">
        <v>1</v>
      </c>
      <c r="D28" s="29">
        <v>18.79</v>
      </c>
      <c r="E28" s="30">
        <v>4500000</v>
      </c>
      <c r="F28" s="30">
        <v>239489</v>
      </c>
      <c r="G28" s="29" t="s">
        <v>92</v>
      </c>
      <c r="H28" s="31"/>
      <c r="I28" s="31"/>
    </row>
    <row r="29" spans="1:9">
      <c r="A29" s="29">
        <v>28</v>
      </c>
      <c r="B29" s="29">
        <v>3</v>
      </c>
      <c r="C29" s="29">
        <v>1</v>
      </c>
      <c r="D29" s="29">
        <v>18.88</v>
      </c>
      <c r="E29" s="30">
        <v>4500000</v>
      </c>
      <c r="F29" s="30">
        <v>238347</v>
      </c>
      <c r="H29" s="31">
        <f t="shared" si="0"/>
        <v>5850000</v>
      </c>
      <c r="I29" s="31">
        <f t="shared" si="1"/>
        <v>309851.69491525425</v>
      </c>
    </row>
    <row r="30" spans="1:9">
      <c r="A30" s="29">
        <v>29</v>
      </c>
      <c r="B30" s="29">
        <v>3</v>
      </c>
      <c r="C30" s="29">
        <v>1</v>
      </c>
      <c r="D30" s="29">
        <v>18.760000000000002</v>
      </c>
      <c r="E30" s="30">
        <v>4500000</v>
      </c>
      <c r="F30" s="30">
        <v>239872</v>
      </c>
      <c r="H30" s="31">
        <f t="shared" si="0"/>
        <v>5850000</v>
      </c>
      <c r="I30" s="31">
        <f t="shared" si="1"/>
        <v>311833.6886993603</v>
      </c>
    </row>
    <row r="31" spans="1:9">
      <c r="A31" s="29">
        <v>30</v>
      </c>
      <c r="B31" s="29">
        <v>3</v>
      </c>
      <c r="C31" s="29">
        <v>2</v>
      </c>
      <c r="D31" s="29">
        <v>47.61</v>
      </c>
      <c r="E31" s="30">
        <v>9500000</v>
      </c>
      <c r="F31" s="30">
        <v>199538</v>
      </c>
      <c r="H31" s="31">
        <f t="shared" si="0"/>
        <v>12350000</v>
      </c>
      <c r="I31" s="31">
        <f t="shared" si="1"/>
        <v>259399.28586431421</v>
      </c>
    </row>
    <row r="32" spans="1:9">
      <c r="A32" s="29">
        <v>31</v>
      </c>
      <c r="B32" s="29">
        <v>4</v>
      </c>
      <c r="C32" s="29">
        <v>2</v>
      </c>
      <c r="D32" s="29">
        <v>50.36</v>
      </c>
      <c r="E32" s="30">
        <v>10000000</v>
      </c>
      <c r="F32" s="30">
        <v>198570</v>
      </c>
      <c r="H32" s="31">
        <f t="shared" si="0"/>
        <v>13000000</v>
      </c>
      <c r="I32" s="31">
        <f t="shared" si="1"/>
        <v>258141.38204924544</v>
      </c>
    </row>
    <row r="33" spans="1:9">
      <c r="A33" s="29">
        <v>32</v>
      </c>
      <c r="B33" s="29">
        <v>4</v>
      </c>
      <c r="C33" s="29">
        <v>1</v>
      </c>
      <c r="D33" s="29">
        <v>18.920000000000002</v>
      </c>
      <c r="E33" s="30">
        <v>4700000</v>
      </c>
      <c r="F33" s="30">
        <v>248414</v>
      </c>
      <c r="H33" s="31">
        <f t="shared" si="0"/>
        <v>6110000</v>
      </c>
      <c r="I33" s="31">
        <f t="shared" si="1"/>
        <v>322938.68921775895</v>
      </c>
    </row>
    <row r="34" spans="1:9">
      <c r="A34" s="29">
        <v>33</v>
      </c>
      <c r="B34" s="29">
        <v>4</v>
      </c>
      <c r="C34" s="29">
        <v>1</v>
      </c>
      <c r="D34" s="29">
        <v>19.03</v>
      </c>
      <c r="E34" s="30">
        <v>4700000</v>
      </c>
      <c r="F34" s="30">
        <v>246978</v>
      </c>
      <c r="H34" s="31">
        <f t="shared" si="0"/>
        <v>6110000</v>
      </c>
      <c r="I34" s="31">
        <f t="shared" si="1"/>
        <v>321071.99159222277</v>
      </c>
    </row>
    <row r="35" spans="1:9">
      <c r="A35" s="29">
        <v>34</v>
      </c>
      <c r="B35" s="29">
        <v>4</v>
      </c>
      <c r="C35" s="29">
        <v>1</v>
      </c>
      <c r="D35" s="29">
        <v>18.940000000000001</v>
      </c>
      <c r="E35" s="30">
        <v>4700000</v>
      </c>
      <c r="F35" s="30">
        <v>248152</v>
      </c>
      <c r="G35" s="29" t="s">
        <v>92</v>
      </c>
      <c r="H35" s="31"/>
      <c r="I35" s="31"/>
    </row>
    <row r="36" spans="1:9">
      <c r="A36" s="29">
        <v>35</v>
      </c>
      <c r="B36" s="29">
        <v>4</v>
      </c>
      <c r="C36" s="29">
        <v>1</v>
      </c>
      <c r="D36" s="29">
        <v>19.02</v>
      </c>
      <c r="E36" s="30">
        <v>4800000</v>
      </c>
      <c r="F36" s="30">
        <v>252366</v>
      </c>
      <c r="H36" s="31">
        <f t="shared" si="0"/>
        <v>6240000</v>
      </c>
      <c r="I36" s="31">
        <f t="shared" si="1"/>
        <v>328075.70977917983</v>
      </c>
    </row>
    <row r="37" spans="1:9">
      <c r="A37" s="29">
        <v>36</v>
      </c>
      <c r="B37" s="29">
        <v>4</v>
      </c>
      <c r="C37" s="29">
        <v>1</v>
      </c>
      <c r="D37" s="29">
        <v>19.02</v>
      </c>
      <c r="E37" s="30">
        <v>4800000</v>
      </c>
      <c r="F37" s="30">
        <v>252366</v>
      </c>
      <c r="H37" s="31">
        <f t="shared" si="0"/>
        <v>6240000</v>
      </c>
      <c r="I37" s="31">
        <f t="shared" si="1"/>
        <v>328075.70977917983</v>
      </c>
    </row>
    <row r="38" spans="1:9">
      <c r="A38" s="29">
        <v>37</v>
      </c>
      <c r="B38" s="29">
        <v>4</v>
      </c>
      <c r="C38" s="29">
        <v>2</v>
      </c>
      <c r="D38" s="29">
        <v>29.77</v>
      </c>
      <c r="E38" s="30">
        <v>6300000</v>
      </c>
      <c r="F38" s="30">
        <v>211622</v>
      </c>
      <c r="H38" s="31">
        <f t="shared" si="0"/>
        <v>8190000</v>
      </c>
      <c r="I38" s="31">
        <f t="shared" si="1"/>
        <v>275109.17030567687</v>
      </c>
    </row>
    <row r="39" spans="1:9">
      <c r="A39" s="29">
        <v>38</v>
      </c>
      <c r="B39" s="29">
        <v>4</v>
      </c>
      <c r="C39" s="29">
        <v>2</v>
      </c>
      <c r="D39" s="29">
        <v>27.42</v>
      </c>
      <c r="E39" s="30">
        <v>6300000</v>
      </c>
      <c r="F39" s="30">
        <v>229759</v>
      </c>
      <c r="H39" s="31">
        <f t="shared" si="0"/>
        <v>8190000</v>
      </c>
      <c r="I39" s="31">
        <f t="shared" si="1"/>
        <v>298687.0897155361</v>
      </c>
    </row>
    <row r="40" spans="1:9">
      <c r="A40" s="29">
        <v>39</v>
      </c>
      <c r="B40" s="29">
        <v>4</v>
      </c>
      <c r="C40" s="29">
        <v>1</v>
      </c>
      <c r="D40" s="29">
        <v>18.93</v>
      </c>
      <c r="E40" s="30">
        <v>4900000</v>
      </c>
      <c r="F40" s="30">
        <v>258848</v>
      </c>
      <c r="H40" s="31">
        <f t="shared" si="0"/>
        <v>6370000</v>
      </c>
      <c r="I40" s="31">
        <f t="shared" si="1"/>
        <v>336502.90544109879</v>
      </c>
    </row>
    <row r="41" spans="1:9">
      <c r="A41" s="29">
        <v>40</v>
      </c>
      <c r="B41" s="29">
        <v>4</v>
      </c>
      <c r="C41" s="29">
        <v>1</v>
      </c>
      <c r="D41" s="29">
        <v>19</v>
      </c>
      <c r="E41" s="30">
        <v>4900000</v>
      </c>
      <c r="F41" s="30">
        <v>257895</v>
      </c>
      <c r="H41" s="31">
        <f t="shared" si="0"/>
        <v>6370000</v>
      </c>
      <c r="I41" s="31">
        <f t="shared" si="1"/>
        <v>335263.15789473685</v>
      </c>
    </row>
    <row r="42" spans="1:9">
      <c r="A42" s="29">
        <v>41</v>
      </c>
      <c r="B42" s="29">
        <v>4</v>
      </c>
      <c r="C42" s="29">
        <v>1</v>
      </c>
      <c r="D42" s="29">
        <v>19</v>
      </c>
      <c r="E42" s="30">
        <v>4900000</v>
      </c>
      <c r="F42" s="30">
        <v>257895</v>
      </c>
      <c r="H42" s="31">
        <f t="shared" si="0"/>
        <v>6370000</v>
      </c>
      <c r="I42" s="31">
        <f t="shared" si="1"/>
        <v>335263.15789473685</v>
      </c>
    </row>
    <row r="43" spans="1:9">
      <c r="A43" s="29">
        <v>42</v>
      </c>
      <c r="B43" s="29">
        <v>4</v>
      </c>
      <c r="C43" s="29">
        <v>1</v>
      </c>
      <c r="D43" s="29">
        <v>19</v>
      </c>
      <c r="E43" s="30">
        <v>4375000</v>
      </c>
      <c r="F43" s="30">
        <v>230263</v>
      </c>
      <c r="G43" s="29" t="s">
        <v>92</v>
      </c>
      <c r="H43" s="31"/>
      <c r="I43" s="31"/>
    </row>
    <row r="44" spans="1:9">
      <c r="A44" s="29">
        <v>43</v>
      </c>
      <c r="B44" s="29">
        <v>4</v>
      </c>
      <c r="C44" s="29">
        <v>1</v>
      </c>
      <c r="D44" s="29">
        <v>18.920000000000002</v>
      </c>
      <c r="E44" s="30">
        <v>5000000</v>
      </c>
      <c r="F44" s="30">
        <v>264271</v>
      </c>
      <c r="H44" s="31">
        <f t="shared" si="0"/>
        <v>6500000</v>
      </c>
      <c r="I44" s="31">
        <f t="shared" si="1"/>
        <v>343551.79704016913</v>
      </c>
    </row>
    <row r="45" spans="1:9">
      <c r="A45" s="29">
        <v>44</v>
      </c>
      <c r="B45" s="29">
        <v>4</v>
      </c>
      <c r="C45" s="29">
        <v>2</v>
      </c>
      <c r="D45" s="29">
        <v>38.49</v>
      </c>
      <c r="E45" s="30">
        <v>8200000</v>
      </c>
      <c r="F45" s="30">
        <v>213042</v>
      </c>
      <c r="G45" s="29" t="s">
        <v>92</v>
      </c>
      <c r="H45" s="31"/>
      <c r="I45" s="31"/>
    </row>
    <row r="46" spans="1:9">
      <c r="A46" s="29">
        <v>45</v>
      </c>
      <c r="B46" s="29">
        <v>4</v>
      </c>
      <c r="C46" s="29">
        <v>2</v>
      </c>
      <c r="D46" s="29">
        <v>51.77</v>
      </c>
      <c r="E46" s="30">
        <v>10850000</v>
      </c>
      <c r="F46" s="30">
        <v>209581</v>
      </c>
      <c r="H46" s="31">
        <f t="shared" si="0"/>
        <v>14105000</v>
      </c>
      <c r="I46" s="31">
        <f t="shared" si="1"/>
        <v>272455.08982035925</v>
      </c>
    </row>
    <row r="47" spans="1:9">
      <c r="A47" s="29">
        <v>46</v>
      </c>
      <c r="B47" s="29">
        <v>4</v>
      </c>
      <c r="C47" s="29">
        <v>2</v>
      </c>
      <c r="D47" s="29">
        <v>51.78</v>
      </c>
      <c r="E47" s="30">
        <v>10850000</v>
      </c>
      <c r="F47" s="30">
        <v>209540</v>
      </c>
      <c r="H47" s="31">
        <f t="shared" si="0"/>
        <v>14105000</v>
      </c>
      <c r="I47" s="31">
        <f t="shared" si="1"/>
        <v>272402.47199691</v>
      </c>
    </row>
    <row r="48" spans="1:9">
      <c r="A48" s="29">
        <v>47</v>
      </c>
      <c r="B48" s="29">
        <v>4</v>
      </c>
      <c r="C48" s="29">
        <v>1</v>
      </c>
      <c r="D48" s="29">
        <v>18.670000000000002</v>
      </c>
      <c r="E48" s="30">
        <v>5000000</v>
      </c>
      <c r="F48" s="30">
        <v>267809</v>
      </c>
      <c r="G48" s="29" t="s">
        <v>92</v>
      </c>
      <c r="H48" s="31"/>
      <c r="I48" s="31"/>
    </row>
    <row r="49" spans="1:9">
      <c r="A49" s="29">
        <v>48</v>
      </c>
      <c r="B49" s="29">
        <v>4</v>
      </c>
      <c r="C49" s="29">
        <v>1</v>
      </c>
      <c r="D49" s="29">
        <v>18.920000000000002</v>
      </c>
      <c r="E49" s="30">
        <v>4375000</v>
      </c>
      <c r="F49" s="30">
        <v>231237</v>
      </c>
      <c r="G49" s="29" t="s">
        <v>92</v>
      </c>
      <c r="H49" s="31"/>
      <c r="I49" s="31"/>
    </row>
    <row r="50" spans="1:9">
      <c r="A50" s="29">
        <v>49</v>
      </c>
      <c r="B50" s="29">
        <v>4</v>
      </c>
      <c r="C50" s="29">
        <v>1</v>
      </c>
      <c r="D50" s="29">
        <v>18.920000000000002</v>
      </c>
      <c r="E50" s="30">
        <v>5000000</v>
      </c>
      <c r="F50" s="30">
        <v>264271</v>
      </c>
      <c r="H50" s="31">
        <f t="shared" si="0"/>
        <v>6500000</v>
      </c>
      <c r="I50" s="31">
        <f t="shared" si="1"/>
        <v>343551.79704016913</v>
      </c>
    </row>
    <row r="51" spans="1:9">
      <c r="A51" s="29">
        <v>50</v>
      </c>
      <c r="B51" s="29">
        <v>4</v>
      </c>
      <c r="C51" s="29">
        <v>1</v>
      </c>
      <c r="D51" s="29">
        <v>19</v>
      </c>
      <c r="E51" s="30">
        <v>4900000</v>
      </c>
      <c r="F51" s="30">
        <v>257895</v>
      </c>
      <c r="G51" s="29" t="s">
        <v>92</v>
      </c>
      <c r="H51" s="31"/>
      <c r="I51" s="31"/>
    </row>
    <row r="52" spans="1:9">
      <c r="A52" s="29">
        <v>51</v>
      </c>
      <c r="B52" s="29">
        <v>4</v>
      </c>
      <c r="C52" s="29">
        <v>1</v>
      </c>
      <c r="D52" s="29">
        <v>19</v>
      </c>
      <c r="E52" s="30">
        <v>4900000</v>
      </c>
      <c r="F52" s="30">
        <v>257895</v>
      </c>
      <c r="G52" s="29" t="s">
        <v>92</v>
      </c>
      <c r="H52" s="31"/>
      <c r="I52" s="31"/>
    </row>
    <row r="53" spans="1:9">
      <c r="A53" s="29">
        <v>52</v>
      </c>
      <c r="B53" s="29">
        <v>4</v>
      </c>
      <c r="C53" s="29">
        <v>1</v>
      </c>
      <c r="D53" s="29">
        <v>19</v>
      </c>
      <c r="E53" s="30">
        <v>4900000</v>
      </c>
      <c r="F53" s="30">
        <v>257895</v>
      </c>
      <c r="G53" s="29" t="s">
        <v>92</v>
      </c>
      <c r="H53" s="31"/>
      <c r="I53" s="31"/>
    </row>
    <row r="54" spans="1:9">
      <c r="A54" s="29">
        <v>53</v>
      </c>
      <c r="B54" s="29">
        <v>4</v>
      </c>
      <c r="C54" s="29">
        <v>1</v>
      </c>
      <c r="D54" s="29">
        <v>18.920000000000002</v>
      </c>
      <c r="E54" s="30">
        <v>4900000</v>
      </c>
      <c r="F54" s="30">
        <v>258985</v>
      </c>
      <c r="H54" s="31">
        <f t="shared" si="0"/>
        <v>6370000</v>
      </c>
      <c r="I54" s="31">
        <f t="shared" si="1"/>
        <v>336680.76109936571</v>
      </c>
    </row>
    <row r="55" spans="1:9">
      <c r="A55" s="29">
        <v>54</v>
      </c>
      <c r="B55" s="29">
        <v>4</v>
      </c>
      <c r="C55" s="29">
        <v>1</v>
      </c>
      <c r="D55" s="29">
        <v>19.13</v>
      </c>
      <c r="E55" s="30">
        <v>4900000</v>
      </c>
      <c r="F55" s="30">
        <v>256142</v>
      </c>
      <c r="G55" s="29" t="s">
        <v>92</v>
      </c>
      <c r="H55" s="31"/>
      <c r="I55" s="31"/>
    </row>
    <row r="56" spans="1:9">
      <c r="A56" s="29">
        <v>55</v>
      </c>
      <c r="B56" s="29">
        <v>4</v>
      </c>
      <c r="C56" s="29">
        <v>2</v>
      </c>
      <c r="D56" s="29">
        <v>50.48</v>
      </c>
      <c r="E56" s="30">
        <v>10000000</v>
      </c>
      <c r="F56" s="30">
        <v>198098</v>
      </c>
      <c r="H56" s="31">
        <f t="shared" si="0"/>
        <v>13000000</v>
      </c>
      <c r="I56" s="31">
        <f t="shared" si="1"/>
        <v>257527.73375594296</v>
      </c>
    </row>
    <row r="57" spans="1:9">
      <c r="A57" s="29">
        <v>56</v>
      </c>
      <c r="B57" s="29">
        <v>4</v>
      </c>
      <c r="C57" s="29">
        <v>1</v>
      </c>
      <c r="D57" s="29">
        <v>19.02</v>
      </c>
      <c r="E57" s="30">
        <v>4600000</v>
      </c>
      <c r="F57" s="30">
        <v>241851</v>
      </c>
      <c r="H57" s="31">
        <f t="shared" si="0"/>
        <v>5980000</v>
      </c>
      <c r="I57" s="31">
        <f t="shared" si="1"/>
        <v>314405.88853838068</v>
      </c>
    </row>
    <row r="58" spans="1:9">
      <c r="A58" s="29">
        <v>57</v>
      </c>
      <c r="B58" s="29">
        <v>4</v>
      </c>
      <c r="C58" s="29">
        <v>1</v>
      </c>
      <c r="D58" s="29">
        <v>18.920000000000002</v>
      </c>
      <c r="E58" s="30">
        <v>4600000</v>
      </c>
      <c r="F58" s="30">
        <v>243129</v>
      </c>
      <c r="H58" s="31">
        <f t="shared" si="0"/>
        <v>5980000</v>
      </c>
      <c r="I58" s="31">
        <f t="shared" si="1"/>
        <v>316067.65327695559</v>
      </c>
    </row>
    <row r="59" spans="1:9">
      <c r="A59" s="29">
        <v>58</v>
      </c>
      <c r="B59" s="29">
        <v>4</v>
      </c>
      <c r="C59" s="29">
        <v>1</v>
      </c>
      <c r="D59" s="29">
        <v>19.03</v>
      </c>
      <c r="E59" s="30">
        <v>4600000</v>
      </c>
      <c r="F59" s="30">
        <v>241724</v>
      </c>
      <c r="H59" s="31">
        <f t="shared" si="0"/>
        <v>5980000</v>
      </c>
      <c r="I59" s="31">
        <f t="shared" si="1"/>
        <v>314240.67262217548</v>
      </c>
    </row>
    <row r="60" spans="1:9">
      <c r="A60" s="29">
        <v>59</v>
      </c>
      <c r="B60" s="29">
        <v>4</v>
      </c>
      <c r="C60" s="29">
        <v>1</v>
      </c>
      <c r="D60" s="29">
        <v>18.920000000000002</v>
      </c>
      <c r="E60" s="30">
        <v>4600000</v>
      </c>
      <c r="F60" s="30">
        <v>243129</v>
      </c>
      <c r="H60" s="31">
        <f t="shared" si="0"/>
        <v>5980000</v>
      </c>
      <c r="I60" s="31">
        <f t="shared" si="1"/>
        <v>316067.65327695559</v>
      </c>
    </row>
    <row r="61" spans="1:9">
      <c r="A61" s="29">
        <v>60</v>
      </c>
      <c r="B61" s="29">
        <v>4</v>
      </c>
      <c r="C61" s="29">
        <v>2</v>
      </c>
      <c r="D61" s="29">
        <v>50.38</v>
      </c>
      <c r="E61" s="30">
        <v>10000000</v>
      </c>
      <c r="F61" s="30">
        <v>198491</v>
      </c>
      <c r="H61" s="31">
        <f t="shared" si="0"/>
        <v>13000000</v>
      </c>
      <c r="I61" s="31">
        <f t="shared" si="1"/>
        <v>258038.90432711391</v>
      </c>
    </row>
    <row r="62" spans="1:9">
      <c r="A62" s="29">
        <v>61</v>
      </c>
      <c r="B62" s="29">
        <v>5</v>
      </c>
      <c r="C62" s="29">
        <v>2</v>
      </c>
      <c r="D62" s="29">
        <v>50.31</v>
      </c>
      <c r="E62" s="30">
        <v>12800000</v>
      </c>
      <c r="F62" s="30">
        <v>254423</v>
      </c>
      <c r="H62" s="31">
        <f t="shared" si="0"/>
        <v>16640000</v>
      </c>
      <c r="I62" s="31">
        <f t="shared" si="1"/>
        <v>330749.35400516796</v>
      </c>
    </row>
    <row r="63" spans="1:9">
      <c r="A63" s="29">
        <v>62</v>
      </c>
      <c r="B63" s="29">
        <v>5</v>
      </c>
      <c r="C63" s="29">
        <v>1</v>
      </c>
      <c r="D63" s="29">
        <v>18.91</v>
      </c>
      <c r="E63" s="30">
        <v>5000000</v>
      </c>
      <c r="F63" s="30">
        <v>264410</v>
      </c>
      <c r="H63" s="31">
        <f t="shared" si="0"/>
        <v>6500000</v>
      </c>
      <c r="I63" s="31">
        <f t="shared" si="1"/>
        <v>343733.47435219458</v>
      </c>
    </row>
    <row r="64" spans="1:9">
      <c r="A64" s="29">
        <v>63</v>
      </c>
      <c r="B64" s="29">
        <v>5</v>
      </c>
      <c r="C64" s="29">
        <v>1</v>
      </c>
      <c r="D64" s="29">
        <v>18.940000000000001</v>
      </c>
      <c r="E64" s="30">
        <v>5000000</v>
      </c>
      <c r="F64" s="30">
        <v>263992</v>
      </c>
      <c r="H64" s="31">
        <f t="shared" si="0"/>
        <v>6500000</v>
      </c>
      <c r="I64" s="31">
        <f t="shared" si="1"/>
        <v>343189.01795142551</v>
      </c>
    </row>
    <row r="65" spans="1:9">
      <c r="A65" s="29">
        <v>64</v>
      </c>
      <c r="B65" s="29">
        <v>5</v>
      </c>
      <c r="C65" s="29">
        <v>1</v>
      </c>
      <c r="D65" s="29">
        <v>18.89</v>
      </c>
      <c r="E65" s="30">
        <v>5100000</v>
      </c>
      <c r="F65" s="30">
        <v>269984</v>
      </c>
      <c r="H65" s="31">
        <f t="shared" si="0"/>
        <v>6630000</v>
      </c>
      <c r="I65" s="31">
        <f t="shared" si="1"/>
        <v>350979.35415563791</v>
      </c>
    </row>
    <row r="66" spans="1:9">
      <c r="A66" s="29">
        <v>65</v>
      </c>
      <c r="B66" s="29">
        <v>5</v>
      </c>
      <c r="C66" s="29">
        <v>1</v>
      </c>
      <c r="D66" s="29">
        <v>18.95</v>
      </c>
      <c r="E66" s="30">
        <v>5100000</v>
      </c>
      <c r="F66" s="30">
        <v>269129</v>
      </c>
      <c r="H66" s="31">
        <f t="shared" si="0"/>
        <v>6630000</v>
      </c>
      <c r="I66" s="31">
        <f t="shared" si="1"/>
        <v>349868.07387862797</v>
      </c>
    </row>
    <row r="67" spans="1:9">
      <c r="A67" s="29">
        <v>66</v>
      </c>
      <c r="B67" s="29">
        <v>5</v>
      </c>
      <c r="C67" s="29">
        <v>1</v>
      </c>
      <c r="D67" s="29">
        <v>18.93</v>
      </c>
      <c r="E67" s="30">
        <v>5100000</v>
      </c>
      <c r="F67" s="30">
        <v>269414</v>
      </c>
      <c r="H67" s="31">
        <f t="shared" ref="H67:H130" si="2">E67+(E67*0.3)</f>
        <v>6630000</v>
      </c>
      <c r="I67" s="31">
        <f t="shared" ref="I67:I130" si="3">H67/D67</f>
        <v>350237.71790808241</v>
      </c>
    </row>
    <row r="68" spans="1:9">
      <c r="A68" s="29">
        <v>67</v>
      </c>
      <c r="B68" s="29">
        <v>5</v>
      </c>
      <c r="C68" s="29">
        <v>2</v>
      </c>
      <c r="D68" s="29">
        <v>29.69</v>
      </c>
      <c r="E68" s="30">
        <v>7500000</v>
      </c>
      <c r="F68" s="30">
        <v>252610</v>
      </c>
      <c r="H68" s="31">
        <f t="shared" si="2"/>
        <v>9750000</v>
      </c>
      <c r="I68" s="31">
        <f t="shared" si="3"/>
        <v>328393.39845065679</v>
      </c>
    </row>
    <row r="69" spans="1:9">
      <c r="A69" s="29">
        <v>68</v>
      </c>
      <c r="B69" s="29">
        <v>5</v>
      </c>
      <c r="C69" s="29">
        <v>2</v>
      </c>
      <c r="D69" s="29">
        <v>27.42</v>
      </c>
      <c r="E69" s="30">
        <v>7500000</v>
      </c>
      <c r="F69" s="30">
        <v>273523</v>
      </c>
      <c r="H69" s="31">
        <f t="shared" si="2"/>
        <v>9750000</v>
      </c>
      <c r="I69" s="31">
        <f t="shared" si="3"/>
        <v>355579.86870897154</v>
      </c>
    </row>
    <row r="70" spans="1:9">
      <c r="A70" s="29">
        <v>69</v>
      </c>
      <c r="B70" s="29">
        <v>5</v>
      </c>
      <c r="C70" s="29">
        <v>1</v>
      </c>
      <c r="D70" s="29">
        <v>18.920000000000002</v>
      </c>
      <c r="E70" s="30">
        <v>5200000</v>
      </c>
      <c r="F70" s="30">
        <v>274841</v>
      </c>
      <c r="H70" s="31">
        <f t="shared" si="2"/>
        <v>6760000</v>
      </c>
      <c r="I70" s="31">
        <f t="shared" si="3"/>
        <v>357293.86892177589</v>
      </c>
    </row>
    <row r="71" spans="1:9">
      <c r="A71" s="29">
        <v>70</v>
      </c>
      <c r="B71" s="29">
        <v>5</v>
      </c>
      <c r="C71" s="29">
        <v>1</v>
      </c>
      <c r="D71" s="29">
        <v>19</v>
      </c>
      <c r="E71" s="30">
        <v>5200000</v>
      </c>
      <c r="F71" s="30">
        <v>273684</v>
      </c>
      <c r="H71" s="31">
        <f t="shared" si="2"/>
        <v>6760000</v>
      </c>
      <c r="I71" s="31">
        <f t="shared" si="3"/>
        <v>355789.4736842105</v>
      </c>
    </row>
    <row r="72" spans="1:9">
      <c r="A72" s="29">
        <v>71</v>
      </c>
      <c r="B72" s="29">
        <v>5</v>
      </c>
      <c r="C72" s="29">
        <v>1</v>
      </c>
      <c r="D72" s="29">
        <v>19</v>
      </c>
      <c r="E72" s="30">
        <v>5200000</v>
      </c>
      <c r="F72" s="30">
        <v>273684</v>
      </c>
      <c r="H72" s="31">
        <f t="shared" si="2"/>
        <v>6760000</v>
      </c>
      <c r="I72" s="31">
        <f t="shared" si="3"/>
        <v>355789.4736842105</v>
      </c>
    </row>
    <row r="73" spans="1:9">
      <c r="A73" s="29">
        <v>72</v>
      </c>
      <c r="B73" s="29">
        <v>5</v>
      </c>
      <c r="C73" s="29">
        <v>1</v>
      </c>
      <c r="D73" s="29">
        <v>19</v>
      </c>
      <c r="E73" s="30">
        <v>5200000</v>
      </c>
      <c r="F73" s="30">
        <v>273684</v>
      </c>
      <c r="H73" s="31">
        <f t="shared" si="2"/>
        <v>6760000</v>
      </c>
      <c r="I73" s="31">
        <f t="shared" si="3"/>
        <v>355789.4736842105</v>
      </c>
    </row>
    <row r="74" spans="1:9">
      <c r="A74" s="29">
        <v>73</v>
      </c>
      <c r="B74" s="29">
        <v>5</v>
      </c>
      <c r="C74" s="29">
        <v>1</v>
      </c>
      <c r="D74" s="29">
        <v>18.920000000000002</v>
      </c>
      <c r="E74" s="30">
        <v>5200000</v>
      </c>
      <c r="F74" s="30">
        <v>274841</v>
      </c>
      <c r="H74" s="31">
        <f t="shared" si="2"/>
        <v>6760000</v>
      </c>
      <c r="I74" s="31">
        <f t="shared" si="3"/>
        <v>357293.86892177589</v>
      </c>
    </row>
    <row r="75" spans="1:9">
      <c r="A75" s="29">
        <v>74</v>
      </c>
      <c r="B75" s="29">
        <v>5</v>
      </c>
      <c r="C75" s="29">
        <v>2</v>
      </c>
      <c r="D75" s="29">
        <v>38.46</v>
      </c>
      <c r="E75" s="30">
        <v>9615000</v>
      </c>
      <c r="F75" s="30">
        <v>250000</v>
      </c>
      <c r="H75" s="31">
        <f t="shared" si="2"/>
        <v>12499500</v>
      </c>
      <c r="I75" s="31">
        <f t="shared" si="3"/>
        <v>325000</v>
      </c>
    </row>
    <row r="76" spans="1:9">
      <c r="A76" s="29">
        <v>75</v>
      </c>
      <c r="B76" s="29">
        <v>5</v>
      </c>
      <c r="C76" s="29">
        <v>2</v>
      </c>
      <c r="D76" s="29">
        <v>51.81</v>
      </c>
      <c r="E76" s="30">
        <v>13000000</v>
      </c>
      <c r="F76" s="30">
        <v>250917</v>
      </c>
      <c r="H76" s="31">
        <f t="shared" si="2"/>
        <v>16900000</v>
      </c>
      <c r="I76" s="31">
        <f t="shared" si="3"/>
        <v>326191.85485427524</v>
      </c>
    </row>
    <row r="77" spans="1:9">
      <c r="A77" s="29">
        <v>76</v>
      </c>
      <c r="B77" s="29">
        <v>5</v>
      </c>
      <c r="C77" s="29">
        <v>2</v>
      </c>
      <c r="D77" s="29">
        <v>51.78</v>
      </c>
      <c r="E77" s="30">
        <v>13000000</v>
      </c>
      <c r="F77" s="30">
        <v>251062</v>
      </c>
      <c r="H77" s="31">
        <f t="shared" si="2"/>
        <v>16900000</v>
      </c>
      <c r="I77" s="31">
        <f t="shared" si="3"/>
        <v>326380.84202394745</v>
      </c>
    </row>
    <row r="78" spans="1:9">
      <c r="A78" s="29">
        <v>77</v>
      </c>
      <c r="B78" s="29">
        <v>5</v>
      </c>
      <c r="C78" s="29">
        <v>1</v>
      </c>
      <c r="D78" s="29">
        <v>18.68</v>
      </c>
      <c r="E78" s="30">
        <v>5300000</v>
      </c>
      <c r="F78" s="30">
        <v>283726</v>
      </c>
      <c r="H78" s="31">
        <f t="shared" si="2"/>
        <v>6890000</v>
      </c>
      <c r="I78" s="31">
        <f t="shared" si="3"/>
        <v>368843.68308351177</v>
      </c>
    </row>
    <row r="79" spans="1:9">
      <c r="A79" s="29">
        <v>78</v>
      </c>
      <c r="B79" s="29">
        <v>5</v>
      </c>
      <c r="C79" s="29">
        <v>1</v>
      </c>
      <c r="D79" s="29">
        <v>18.97</v>
      </c>
      <c r="E79" s="30">
        <v>5300000</v>
      </c>
      <c r="F79" s="30">
        <v>279389</v>
      </c>
      <c r="H79" s="31">
        <f t="shared" si="2"/>
        <v>6890000</v>
      </c>
      <c r="I79" s="31">
        <f t="shared" si="3"/>
        <v>363205.06062203483</v>
      </c>
    </row>
    <row r="80" spans="1:9">
      <c r="A80" s="29">
        <v>79</v>
      </c>
      <c r="B80" s="29">
        <v>5</v>
      </c>
      <c r="C80" s="29">
        <v>1</v>
      </c>
      <c r="D80" s="29">
        <v>18.920000000000002</v>
      </c>
      <c r="E80" s="30">
        <v>5200000</v>
      </c>
      <c r="F80" s="30">
        <v>274841</v>
      </c>
      <c r="H80" s="31">
        <f t="shared" si="2"/>
        <v>6760000</v>
      </c>
      <c r="I80" s="31">
        <f t="shared" si="3"/>
        <v>357293.86892177589</v>
      </c>
    </row>
    <row r="81" spans="1:9">
      <c r="A81" s="29">
        <v>80</v>
      </c>
      <c r="B81" s="29">
        <v>5</v>
      </c>
      <c r="C81" s="29">
        <v>1</v>
      </c>
      <c r="D81" s="29">
        <v>19</v>
      </c>
      <c r="E81" s="30">
        <v>5200000</v>
      </c>
      <c r="F81" s="30">
        <v>273684</v>
      </c>
      <c r="H81" s="31">
        <f t="shared" si="2"/>
        <v>6760000</v>
      </c>
      <c r="I81" s="31">
        <f t="shared" si="3"/>
        <v>355789.4736842105</v>
      </c>
    </row>
    <row r="82" spans="1:9">
      <c r="A82" s="29">
        <v>81</v>
      </c>
      <c r="B82" s="29">
        <v>5</v>
      </c>
      <c r="C82" s="29">
        <v>1</v>
      </c>
      <c r="D82" s="29">
        <v>19</v>
      </c>
      <c r="E82" s="30">
        <v>5200000</v>
      </c>
      <c r="F82" s="30">
        <v>273684</v>
      </c>
      <c r="H82" s="31">
        <f t="shared" si="2"/>
        <v>6760000</v>
      </c>
      <c r="I82" s="31">
        <f t="shared" si="3"/>
        <v>355789.4736842105</v>
      </c>
    </row>
    <row r="83" spans="1:9">
      <c r="A83" s="29">
        <v>82</v>
      </c>
      <c r="B83" s="29">
        <v>5</v>
      </c>
      <c r="C83" s="29">
        <v>1</v>
      </c>
      <c r="D83" s="29">
        <v>19</v>
      </c>
      <c r="E83" s="30">
        <v>5200000</v>
      </c>
      <c r="F83" s="30">
        <v>273684</v>
      </c>
      <c r="H83" s="31">
        <f t="shared" si="2"/>
        <v>6760000</v>
      </c>
      <c r="I83" s="31">
        <f t="shared" si="3"/>
        <v>355789.4736842105</v>
      </c>
    </row>
    <row r="84" spans="1:9">
      <c r="A84" s="29">
        <v>83</v>
      </c>
      <c r="B84" s="29">
        <v>5</v>
      </c>
      <c r="C84" s="29">
        <v>1</v>
      </c>
      <c r="D84" s="29">
        <v>18.920000000000002</v>
      </c>
      <c r="E84" s="30">
        <v>5200000</v>
      </c>
      <c r="F84" s="30">
        <v>274841</v>
      </c>
      <c r="H84" s="31">
        <f t="shared" si="2"/>
        <v>6760000</v>
      </c>
      <c r="I84" s="31">
        <f t="shared" si="3"/>
        <v>357293.86892177589</v>
      </c>
    </row>
    <row r="85" spans="1:9">
      <c r="A85" s="29">
        <v>84</v>
      </c>
      <c r="B85" s="29">
        <v>5</v>
      </c>
      <c r="C85" s="29">
        <v>1</v>
      </c>
      <c r="D85" s="29">
        <v>19.12</v>
      </c>
      <c r="E85" s="30">
        <v>5200000</v>
      </c>
      <c r="F85" s="30">
        <v>271967</v>
      </c>
      <c r="H85" s="31">
        <f t="shared" si="2"/>
        <v>6760000</v>
      </c>
      <c r="I85" s="31">
        <f t="shared" si="3"/>
        <v>353556.4853556485</v>
      </c>
    </row>
    <row r="86" spans="1:9">
      <c r="A86" s="29">
        <v>85</v>
      </c>
      <c r="B86" s="29">
        <v>5</v>
      </c>
      <c r="C86" s="29">
        <v>2</v>
      </c>
      <c r="D86" s="29">
        <v>50.42</v>
      </c>
      <c r="E86" s="30">
        <v>11500000</v>
      </c>
      <c r="F86" s="30">
        <v>228084</v>
      </c>
      <c r="H86" s="31">
        <f t="shared" si="2"/>
        <v>14950000</v>
      </c>
      <c r="I86" s="31">
        <f t="shared" si="3"/>
        <v>296509.32169773901</v>
      </c>
    </row>
    <row r="87" spans="1:9">
      <c r="A87" s="29">
        <v>86</v>
      </c>
      <c r="B87" s="29">
        <v>5</v>
      </c>
      <c r="C87" s="29">
        <v>1</v>
      </c>
      <c r="D87" s="29">
        <v>19.02</v>
      </c>
      <c r="E87" s="30">
        <v>5000000</v>
      </c>
      <c r="F87" s="30">
        <v>262881</v>
      </c>
      <c r="H87" s="31">
        <f t="shared" si="2"/>
        <v>6500000</v>
      </c>
      <c r="I87" s="31">
        <f t="shared" si="3"/>
        <v>341745.53101997898</v>
      </c>
    </row>
    <row r="88" spans="1:9">
      <c r="A88" s="29">
        <v>87</v>
      </c>
      <c r="B88" s="29">
        <v>5</v>
      </c>
      <c r="C88" s="29">
        <v>1</v>
      </c>
      <c r="D88" s="29">
        <v>18.940000000000001</v>
      </c>
      <c r="E88" s="30">
        <v>5000000</v>
      </c>
      <c r="F88" s="30">
        <v>263992</v>
      </c>
      <c r="H88" s="31">
        <f t="shared" si="2"/>
        <v>6500000</v>
      </c>
      <c r="I88" s="31">
        <f t="shared" si="3"/>
        <v>343189.01795142551</v>
      </c>
    </row>
    <row r="89" spans="1:9">
      <c r="A89" s="29">
        <v>88</v>
      </c>
      <c r="B89" s="29">
        <v>5</v>
      </c>
      <c r="C89" s="29">
        <v>1</v>
      </c>
      <c r="D89" s="29">
        <v>19.010000000000002</v>
      </c>
      <c r="E89" s="30">
        <v>5000000</v>
      </c>
      <c r="F89" s="30">
        <v>263019</v>
      </c>
      <c r="H89" s="31">
        <f t="shared" si="2"/>
        <v>6500000</v>
      </c>
      <c r="I89" s="31">
        <f t="shared" si="3"/>
        <v>341925.3024723829</v>
      </c>
    </row>
    <row r="90" spans="1:9">
      <c r="A90" s="29">
        <v>89</v>
      </c>
      <c r="B90" s="29">
        <v>5</v>
      </c>
      <c r="C90" s="29">
        <v>1</v>
      </c>
      <c r="D90" s="29">
        <v>18.91</v>
      </c>
      <c r="E90" s="30">
        <v>5000000</v>
      </c>
      <c r="F90" s="30">
        <v>264410</v>
      </c>
      <c r="H90" s="31">
        <f t="shared" si="2"/>
        <v>6500000</v>
      </c>
      <c r="I90" s="31">
        <f t="shared" si="3"/>
        <v>343733.47435219458</v>
      </c>
    </row>
    <row r="91" spans="1:9">
      <c r="A91" s="29">
        <v>90</v>
      </c>
      <c r="B91" s="29">
        <v>5</v>
      </c>
      <c r="C91" s="29">
        <v>2</v>
      </c>
      <c r="D91" s="29">
        <v>50.36</v>
      </c>
      <c r="E91" s="30">
        <v>12800000</v>
      </c>
      <c r="F91" s="30">
        <v>254170</v>
      </c>
      <c r="H91" s="31">
        <f t="shared" si="2"/>
        <v>16640000</v>
      </c>
      <c r="I91" s="31">
        <f t="shared" si="3"/>
        <v>330420.96902303415</v>
      </c>
    </row>
    <row r="92" spans="1:9">
      <c r="A92" s="29">
        <v>91</v>
      </c>
      <c r="B92" s="29">
        <v>6</v>
      </c>
      <c r="C92" s="29">
        <v>2</v>
      </c>
      <c r="D92" s="29">
        <v>50.36</v>
      </c>
      <c r="E92" s="30">
        <v>13000000</v>
      </c>
      <c r="F92" s="30">
        <v>258141</v>
      </c>
      <c r="H92" s="31">
        <f t="shared" si="2"/>
        <v>16900000</v>
      </c>
      <c r="I92" s="31">
        <f t="shared" si="3"/>
        <v>335583.79666401906</v>
      </c>
    </row>
    <row r="93" spans="1:9">
      <c r="A93" s="29">
        <v>92</v>
      </c>
      <c r="B93" s="29">
        <v>6</v>
      </c>
      <c r="C93" s="29">
        <v>1</v>
      </c>
      <c r="D93" s="29">
        <v>18.920000000000002</v>
      </c>
      <c r="E93" s="30">
        <v>5100000</v>
      </c>
      <c r="F93" s="30">
        <v>269556</v>
      </c>
      <c r="H93" s="31">
        <f t="shared" si="2"/>
        <v>6630000</v>
      </c>
      <c r="I93" s="31">
        <f t="shared" si="3"/>
        <v>350422.83298097248</v>
      </c>
    </row>
    <row r="94" spans="1:9">
      <c r="A94" s="29">
        <v>93</v>
      </c>
      <c r="B94" s="29">
        <v>6</v>
      </c>
      <c r="C94" s="29">
        <v>1</v>
      </c>
      <c r="D94" s="29">
        <v>19.03</v>
      </c>
      <c r="E94" s="30">
        <v>5100000</v>
      </c>
      <c r="F94" s="30">
        <v>267998</v>
      </c>
      <c r="H94" s="31">
        <f t="shared" si="2"/>
        <v>6630000</v>
      </c>
      <c r="I94" s="31">
        <f t="shared" si="3"/>
        <v>348397.26747241197</v>
      </c>
    </row>
    <row r="95" spans="1:9">
      <c r="A95" s="29">
        <v>94</v>
      </c>
      <c r="B95" s="29">
        <v>6</v>
      </c>
      <c r="C95" s="29">
        <v>1</v>
      </c>
      <c r="D95" s="29">
        <v>18.93</v>
      </c>
      <c r="E95" s="30">
        <v>5200000</v>
      </c>
      <c r="F95" s="30">
        <v>274696</v>
      </c>
      <c r="H95" s="31">
        <f t="shared" si="2"/>
        <v>6760000</v>
      </c>
      <c r="I95" s="31">
        <f t="shared" si="3"/>
        <v>357105.12414157426</v>
      </c>
    </row>
    <row r="96" spans="1:9">
      <c r="A96" s="29">
        <v>95</v>
      </c>
      <c r="B96" s="29">
        <v>6</v>
      </c>
      <c r="C96" s="29">
        <v>1</v>
      </c>
      <c r="D96" s="29">
        <v>19.02</v>
      </c>
      <c r="E96" s="30">
        <v>5200000</v>
      </c>
      <c r="F96" s="30">
        <v>273396</v>
      </c>
      <c r="H96" s="31">
        <f t="shared" si="2"/>
        <v>6760000</v>
      </c>
      <c r="I96" s="31">
        <f t="shared" si="3"/>
        <v>355415.35226077813</v>
      </c>
    </row>
    <row r="97" spans="1:9">
      <c r="A97" s="29">
        <v>96</v>
      </c>
      <c r="B97" s="29">
        <v>6</v>
      </c>
      <c r="C97" s="29">
        <v>1</v>
      </c>
      <c r="D97" s="29">
        <v>19.02</v>
      </c>
      <c r="E97" s="30">
        <v>5200000</v>
      </c>
      <c r="F97" s="30">
        <v>273396</v>
      </c>
      <c r="H97" s="31">
        <f t="shared" si="2"/>
        <v>6760000</v>
      </c>
      <c r="I97" s="31">
        <f t="shared" si="3"/>
        <v>355415.35226077813</v>
      </c>
    </row>
    <row r="98" spans="1:9">
      <c r="A98" s="29">
        <v>97</v>
      </c>
      <c r="B98" s="29">
        <v>6</v>
      </c>
      <c r="C98" s="29">
        <v>2</v>
      </c>
      <c r="D98" s="29">
        <v>29.83</v>
      </c>
      <c r="E98" s="30">
        <v>7600000</v>
      </c>
      <c r="F98" s="30">
        <v>254777</v>
      </c>
      <c r="H98" s="31">
        <f t="shared" si="2"/>
        <v>9880000</v>
      </c>
      <c r="I98" s="31">
        <f t="shared" si="3"/>
        <v>331210.19108280254</v>
      </c>
    </row>
    <row r="99" spans="1:9">
      <c r="A99" s="29">
        <v>98</v>
      </c>
      <c r="B99" s="29">
        <v>6</v>
      </c>
      <c r="C99" s="29">
        <v>2</v>
      </c>
      <c r="D99" s="29">
        <v>30.41</v>
      </c>
      <c r="E99" s="30">
        <v>7600000</v>
      </c>
      <c r="F99" s="30">
        <v>249918</v>
      </c>
      <c r="H99" s="31">
        <f t="shared" si="2"/>
        <v>9880000</v>
      </c>
      <c r="I99" s="31">
        <f t="shared" si="3"/>
        <v>324893.12726076948</v>
      </c>
    </row>
    <row r="100" spans="1:9">
      <c r="A100" s="29">
        <v>99</v>
      </c>
      <c r="B100" s="29">
        <v>6</v>
      </c>
      <c r="C100" s="29">
        <v>1</v>
      </c>
      <c r="D100" s="29">
        <v>18.93</v>
      </c>
      <c r="E100" s="30">
        <v>5300000</v>
      </c>
      <c r="F100" s="30">
        <v>279979</v>
      </c>
      <c r="H100" s="31">
        <f t="shared" si="2"/>
        <v>6890000</v>
      </c>
      <c r="I100" s="31">
        <f t="shared" si="3"/>
        <v>363972.53037506604</v>
      </c>
    </row>
    <row r="101" spans="1:9">
      <c r="A101" s="29">
        <v>100</v>
      </c>
      <c r="B101" s="29">
        <v>6</v>
      </c>
      <c r="C101" s="29">
        <v>1</v>
      </c>
      <c r="D101" s="29">
        <v>19</v>
      </c>
      <c r="E101" s="30">
        <v>5300000</v>
      </c>
      <c r="F101" s="30">
        <v>278947</v>
      </c>
      <c r="H101" s="31">
        <f t="shared" si="2"/>
        <v>6890000</v>
      </c>
      <c r="I101" s="31">
        <f t="shared" si="3"/>
        <v>362631.57894736843</v>
      </c>
    </row>
    <row r="102" spans="1:9">
      <c r="A102" s="29">
        <v>101</v>
      </c>
      <c r="B102" s="29">
        <v>6</v>
      </c>
      <c r="C102" s="29">
        <v>1</v>
      </c>
      <c r="D102" s="29">
        <v>19</v>
      </c>
      <c r="E102" s="30">
        <v>5300000</v>
      </c>
      <c r="F102" s="30">
        <v>278947</v>
      </c>
      <c r="H102" s="31">
        <f t="shared" si="2"/>
        <v>6890000</v>
      </c>
      <c r="I102" s="31">
        <f t="shared" si="3"/>
        <v>362631.57894736843</v>
      </c>
    </row>
    <row r="103" spans="1:9">
      <c r="A103" s="29">
        <v>102</v>
      </c>
      <c r="B103" s="29">
        <v>6</v>
      </c>
      <c r="C103" s="29">
        <v>1</v>
      </c>
      <c r="D103" s="29">
        <v>19</v>
      </c>
      <c r="E103" s="30">
        <v>5300000</v>
      </c>
      <c r="F103" s="30">
        <v>278947</v>
      </c>
      <c r="H103" s="31">
        <f t="shared" si="2"/>
        <v>6890000</v>
      </c>
      <c r="I103" s="31">
        <f t="shared" si="3"/>
        <v>362631.57894736843</v>
      </c>
    </row>
    <row r="104" spans="1:9">
      <c r="A104" s="29">
        <v>103</v>
      </c>
      <c r="B104" s="29">
        <v>6</v>
      </c>
      <c r="C104" s="29">
        <v>1</v>
      </c>
      <c r="D104" s="29">
        <v>18.920000000000002</v>
      </c>
      <c r="E104" s="30">
        <v>5300000</v>
      </c>
      <c r="F104" s="30">
        <v>280127</v>
      </c>
      <c r="H104" s="31">
        <f t="shared" si="2"/>
        <v>6890000</v>
      </c>
      <c r="I104" s="31">
        <f t="shared" si="3"/>
        <v>364164.90486257925</v>
      </c>
    </row>
    <row r="105" spans="1:9">
      <c r="A105" s="29">
        <v>104</v>
      </c>
      <c r="B105" s="29">
        <v>6</v>
      </c>
      <c r="C105" s="29">
        <v>2</v>
      </c>
      <c r="D105" s="29">
        <v>95.21</v>
      </c>
      <c r="E105" s="30">
        <v>20000000</v>
      </c>
      <c r="F105" s="30">
        <v>210062</v>
      </c>
      <c r="H105" s="31">
        <f t="shared" si="2"/>
        <v>26000000</v>
      </c>
      <c r="I105" s="31">
        <f t="shared" si="3"/>
        <v>273080.55876483564</v>
      </c>
    </row>
    <row r="106" spans="1:9">
      <c r="A106" s="29">
        <v>105</v>
      </c>
      <c r="B106" s="29">
        <v>6</v>
      </c>
      <c r="C106" s="29">
        <v>2</v>
      </c>
      <c r="D106" s="29">
        <v>94.94</v>
      </c>
      <c r="E106" s="30">
        <v>20000000</v>
      </c>
      <c r="F106" s="30">
        <v>210659</v>
      </c>
      <c r="H106" s="31">
        <f t="shared" si="2"/>
        <v>26000000</v>
      </c>
      <c r="I106" s="31">
        <f t="shared" si="3"/>
        <v>273857.17295133771</v>
      </c>
    </row>
    <row r="107" spans="1:9">
      <c r="A107" s="29">
        <v>106</v>
      </c>
      <c r="B107" s="29">
        <v>6</v>
      </c>
      <c r="C107" s="29">
        <v>1</v>
      </c>
      <c r="D107" s="29">
        <v>18.91</v>
      </c>
      <c r="E107" s="30">
        <v>5300000</v>
      </c>
      <c r="F107" s="30">
        <v>280275</v>
      </c>
      <c r="H107" s="31">
        <f t="shared" si="2"/>
        <v>6890000</v>
      </c>
      <c r="I107" s="31">
        <f t="shared" si="3"/>
        <v>364357.48281332629</v>
      </c>
    </row>
    <row r="108" spans="1:9">
      <c r="A108" s="29">
        <v>107</v>
      </c>
      <c r="B108" s="29">
        <v>6</v>
      </c>
      <c r="C108" s="29">
        <v>1</v>
      </c>
      <c r="D108" s="29">
        <v>19</v>
      </c>
      <c r="E108" s="30">
        <v>5300000</v>
      </c>
      <c r="F108" s="30">
        <v>278947</v>
      </c>
      <c r="H108" s="31">
        <f t="shared" si="2"/>
        <v>6890000</v>
      </c>
      <c r="I108" s="31">
        <f t="shared" si="3"/>
        <v>362631.57894736843</v>
      </c>
    </row>
    <row r="109" spans="1:9">
      <c r="A109" s="29">
        <v>108</v>
      </c>
      <c r="B109" s="29">
        <v>6</v>
      </c>
      <c r="C109" s="29">
        <v>1</v>
      </c>
      <c r="D109" s="29">
        <v>18.989999999999998</v>
      </c>
      <c r="E109" s="30">
        <v>5300000</v>
      </c>
      <c r="F109" s="30">
        <v>279094</v>
      </c>
      <c r="H109" s="31">
        <f t="shared" si="2"/>
        <v>6890000</v>
      </c>
      <c r="I109" s="31">
        <f t="shared" si="3"/>
        <v>362822.53817798843</v>
      </c>
    </row>
    <row r="110" spans="1:9">
      <c r="A110" s="29">
        <v>109</v>
      </c>
      <c r="B110" s="29">
        <v>6</v>
      </c>
      <c r="C110" s="29">
        <v>1</v>
      </c>
      <c r="D110" s="29">
        <v>19</v>
      </c>
      <c r="E110" s="30">
        <v>5300000</v>
      </c>
      <c r="F110" s="30">
        <v>278947</v>
      </c>
      <c r="H110" s="31">
        <f t="shared" si="2"/>
        <v>6890000</v>
      </c>
      <c r="I110" s="31">
        <f t="shared" si="3"/>
        <v>362631.57894736843</v>
      </c>
    </row>
    <row r="111" spans="1:9">
      <c r="A111" s="29">
        <v>110</v>
      </c>
      <c r="B111" s="29">
        <v>6</v>
      </c>
      <c r="C111" s="29">
        <v>1</v>
      </c>
      <c r="D111" s="29">
        <v>18.920000000000002</v>
      </c>
      <c r="E111" s="30">
        <v>5300000</v>
      </c>
      <c r="F111" s="30">
        <v>280127</v>
      </c>
      <c r="H111" s="31">
        <f t="shared" si="2"/>
        <v>6890000</v>
      </c>
      <c r="I111" s="31">
        <f t="shared" si="3"/>
        <v>364164.90486257925</v>
      </c>
    </row>
    <row r="112" spans="1:9">
      <c r="A112" s="29">
        <v>111</v>
      </c>
      <c r="B112" s="29">
        <v>6</v>
      </c>
      <c r="C112" s="29">
        <v>1</v>
      </c>
      <c r="D112" s="29">
        <v>19</v>
      </c>
      <c r="E112" s="30">
        <v>5200000</v>
      </c>
      <c r="F112" s="30">
        <v>273684</v>
      </c>
      <c r="H112" s="31">
        <f t="shared" si="2"/>
        <v>6760000</v>
      </c>
      <c r="I112" s="31">
        <f t="shared" si="3"/>
        <v>355789.4736842105</v>
      </c>
    </row>
    <row r="113" spans="1:9">
      <c r="A113" s="29">
        <v>112</v>
      </c>
      <c r="B113" s="29">
        <v>6</v>
      </c>
      <c r="C113" s="29">
        <v>2</v>
      </c>
      <c r="D113" s="29">
        <v>50.38</v>
      </c>
      <c r="E113" s="30">
        <v>12000000</v>
      </c>
      <c r="F113" s="30">
        <v>238190</v>
      </c>
      <c r="H113" s="31">
        <f t="shared" si="2"/>
        <v>15600000</v>
      </c>
      <c r="I113" s="31">
        <f t="shared" si="3"/>
        <v>309646.68519253668</v>
      </c>
    </row>
    <row r="114" spans="1:9">
      <c r="A114" s="29">
        <v>113</v>
      </c>
      <c r="B114" s="29">
        <v>6</v>
      </c>
      <c r="C114" s="29">
        <v>1</v>
      </c>
      <c r="D114" s="29">
        <v>19.02</v>
      </c>
      <c r="E114" s="30">
        <v>5100000</v>
      </c>
      <c r="F114" s="30">
        <v>268139</v>
      </c>
      <c r="H114" s="31">
        <f t="shared" si="2"/>
        <v>6630000</v>
      </c>
      <c r="I114" s="31">
        <f t="shared" si="3"/>
        <v>348580.44164037856</v>
      </c>
    </row>
    <row r="115" spans="1:9">
      <c r="A115" s="29">
        <v>114</v>
      </c>
      <c r="B115" s="29">
        <v>6</v>
      </c>
      <c r="C115" s="29">
        <v>1</v>
      </c>
      <c r="D115" s="29">
        <v>18.920000000000002</v>
      </c>
      <c r="E115" s="30">
        <v>5100000</v>
      </c>
      <c r="F115" s="30">
        <v>269556</v>
      </c>
      <c r="H115" s="31">
        <f t="shared" si="2"/>
        <v>6630000</v>
      </c>
      <c r="I115" s="31">
        <f t="shared" si="3"/>
        <v>350422.83298097248</v>
      </c>
    </row>
    <row r="116" spans="1:9">
      <c r="A116" s="29">
        <v>115</v>
      </c>
      <c r="B116" s="29">
        <v>6</v>
      </c>
      <c r="C116" s="29">
        <v>1</v>
      </c>
      <c r="D116" s="29">
        <v>19.010000000000002</v>
      </c>
      <c r="E116" s="30">
        <v>5100000</v>
      </c>
      <c r="F116" s="30">
        <v>268280</v>
      </c>
      <c r="H116" s="31">
        <f t="shared" si="2"/>
        <v>6630000</v>
      </c>
      <c r="I116" s="31">
        <f t="shared" si="3"/>
        <v>348763.80852183059</v>
      </c>
    </row>
    <row r="117" spans="1:9">
      <c r="A117" s="29">
        <v>116</v>
      </c>
      <c r="B117" s="29">
        <v>6</v>
      </c>
      <c r="C117" s="29">
        <v>1</v>
      </c>
      <c r="D117" s="29">
        <v>18.920000000000002</v>
      </c>
      <c r="E117" s="30">
        <v>5100000</v>
      </c>
      <c r="F117" s="30">
        <v>269556</v>
      </c>
      <c r="H117" s="31">
        <f t="shared" si="2"/>
        <v>6630000</v>
      </c>
      <c r="I117" s="31">
        <f t="shared" si="3"/>
        <v>350422.83298097248</v>
      </c>
    </row>
    <row r="118" spans="1:9">
      <c r="A118" s="29">
        <v>117</v>
      </c>
      <c r="B118" s="29">
        <v>6</v>
      </c>
      <c r="C118" s="29">
        <v>2</v>
      </c>
      <c r="D118" s="29">
        <v>50.35</v>
      </c>
      <c r="E118" s="30">
        <v>13000000</v>
      </c>
      <c r="F118" s="30">
        <v>258193</v>
      </c>
      <c r="H118" s="31">
        <f t="shared" si="2"/>
        <v>16900000</v>
      </c>
      <c r="I118" s="31">
        <f t="shared" si="3"/>
        <v>335650.44687189674</v>
      </c>
    </row>
    <row r="119" spans="1:9">
      <c r="A119" s="29">
        <v>118</v>
      </c>
      <c r="B119" s="29">
        <v>7</v>
      </c>
      <c r="C119" s="29">
        <v>2</v>
      </c>
      <c r="D119" s="29">
        <v>69.23</v>
      </c>
      <c r="E119" s="30">
        <v>17250000</v>
      </c>
      <c r="F119" s="30">
        <v>249169</v>
      </c>
      <c r="H119" s="31">
        <f t="shared" si="2"/>
        <v>22425000</v>
      </c>
      <c r="I119" s="31">
        <f t="shared" si="3"/>
        <v>323920.26578073087</v>
      </c>
    </row>
    <row r="120" spans="1:9">
      <c r="A120" s="29">
        <v>119</v>
      </c>
      <c r="B120" s="29">
        <v>7</v>
      </c>
      <c r="C120" s="29">
        <v>1</v>
      </c>
      <c r="D120" s="29">
        <v>19.03</v>
      </c>
      <c r="E120" s="30">
        <v>5200000</v>
      </c>
      <c r="F120" s="30">
        <v>273253</v>
      </c>
      <c r="H120" s="31">
        <f t="shared" si="2"/>
        <v>6760000</v>
      </c>
      <c r="I120" s="31">
        <f t="shared" si="3"/>
        <v>355228.58644245926</v>
      </c>
    </row>
    <row r="121" spans="1:9">
      <c r="A121" s="29">
        <v>120</v>
      </c>
      <c r="B121" s="29">
        <v>7</v>
      </c>
      <c r="C121" s="29">
        <v>1</v>
      </c>
      <c r="D121" s="29">
        <v>18.95</v>
      </c>
      <c r="E121" s="30">
        <v>5200000</v>
      </c>
      <c r="F121" s="30">
        <v>274406</v>
      </c>
      <c r="H121" s="31">
        <f t="shared" si="2"/>
        <v>6760000</v>
      </c>
      <c r="I121" s="31">
        <f t="shared" si="3"/>
        <v>356728.23218997364</v>
      </c>
    </row>
    <row r="122" spans="1:9">
      <c r="A122" s="29">
        <v>121</v>
      </c>
      <c r="B122" s="29">
        <v>7</v>
      </c>
      <c r="C122" s="29">
        <v>1</v>
      </c>
      <c r="D122" s="29">
        <v>18.98</v>
      </c>
      <c r="E122" s="30">
        <v>5300000</v>
      </c>
      <c r="F122" s="30">
        <v>279241</v>
      </c>
      <c r="H122" s="31">
        <f t="shared" si="2"/>
        <v>6890000</v>
      </c>
      <c r="I122" s="31">
        <f t="shared" si="3"/>
        <v>363013.69863013696</v>
      </c>
    </row>
    <row r="123" spans="1:9">
      <c r="A123" s="29">
        <v>122</v>
      </c>
      <c r="B123" s="29">
        <v>7</v>
      </c>
      <c r="C123" s="29">
        <v>1</v>
      </c>
      <c r="D123" s="29">
        <v>19.02</v>
      </c>
      <c r="E123" s="30">
        <v>5300000</v>
      </c>
      <c r="F123" s="30">
        <v>278654</v>
      </c>
      <c r="H123" s="31">
        <f t="shared" si="2"/>
        <v>6890000</v>
      </c>
      <c r="I123" s="31">
        <f t="shared" si="3"/>
        <v>362250.26288117771</v>
      </c>
    </row>
    <row r="124" spans="1:9">
      <c r="A124" s="29">
        <v>123</v>
      </c>
      <c r="B124" s="29">
        <v>7</v>
      </c>
      <c r="C124" s="29">
        <v>2</v>
      </c>
      <c r="D124" s="29">
        <v>29.79</v>
      </c>
      <c r="E124" s="30">
        <v>7700000</v>
      </c>
      <c r="F124" s="30">
        <v>258476</v>
      </c>
      <c r="H124" s="31">
        <f t="shared" si="2"/>
        <v>10010000</v>
      </c>
      <c r="I124" s="31">
        <f t="shared" si="3"/>
        <v>336018.79825444781</v>
      </c>
    </row>
    <row r="125" spans="1:9">
      <c r="A125" s="29">
        <v>124</v>
      </c>
      <c r="B125" s="29">
        <v>7</v>
      </c>
      <c r="C125" s="29">
        <v>2</v>
      </c>
      <c r="D125" s="29">
        <v>30.42</v>
      </c>
      <c r="E125" s="30">
        <v>7700000</v>
      </c>
      <c r="F125" s="30">
        <v>253123</v>
      </c>
      <c r="H125" s="31">
        <f t="shared" si="2"/>
        <v>10010000</v>
      </c>
      <c r="I125" s="31">
        <f t="shared" si="3"/>
        <v>329059.82905982906</v>
      </c>
    </row>
    <row r="126" spans="1:9">
      <c r="A126" s="29">
        <v>125</v>
      </c>
      <c r="B126" s="29">
        <v>7</v>
      </c>
      <c r="C126" s="29">
        <v>1</v>
      </c>
      <c r="D126" s="29">
        <v>18.93</v>
      </c>
      <c r="E126" s="30">
        <v>5400000</v>
      </c>
      <c r="F126" s="30">
        <v>285261</v>
      </c>
      <c r="H126" s="31">
        <f t="shared" si="2"/>
        <v>7020000</v>
      </c>
      <c r="I126" s="31">
        <f t="shared" si="3"/>
        <v>370839.93660855782</v>
      </c>
    </row>
    <row r="127" spans="1:9">
      <c r="A127" s="29">
        <v>126</v>
      </c>
      <c r="B127" s="29">
        <v>7</v>
      </c>
      <c r="C127" s="29">
        <v>1</v>
      </c>
      <c r="D127" s="29">
        <v>19</v>
      </c>
      <c r="E127" s="30">
        <v>5400000</v>
      </c>
      <c r="F127" s="30">
        <v>284211</v>
      </c>
      <c r="H127" s="31">
        <f t="shared" si="2"/>
        <v>7020000</v>
      </c>
      <c r="I127" s="31">
        <f t="shared" si="3"/>
        <v>369473.68421052629</v>
      </c>
    </row>
    <row r="128" spans="1:9">
      <c r="A128" s="29">
        <v>127</v>
      </c>
      <c r="B128" s="29">
        <v>7</v>
      </c>
      <c r="C128" s="29">
        <v>1</v>
      </c>
      <c r="D128" s="29">
        <v>19</v>
      </c>
      <c r="E128" s="30">
        <v>5400000</v>
      </c>
      <c r="F128" s="30">
        <v>284211</v>
      </c>
      <c r="H128" s="31">
        <f t="shared" si="2"/>
        <v>7020000</v>
      </c>
      <c r="I128" s="31">
        <f t="shared" si="3"/>
        <v>369473.68421052629</v>
      </c>
    </row>
    <row r="129" spans="1:9">
      <c r="A129" s="29">
        <v>128</v>
      </c>
      <c r="B129" s="29">
        <v>7</v>
      </c>
      <c r="C129" s="29">
        <v>1</v>
      </c>
      <c r="D129" s="29">
        <v>19</v>
      </c>
      <c r="E129" s="30">
        <v>5400000</v>
      </c>
      <c r="F129" s="30">
        <v>284211</v>
      </c>
      <c r="H129" s="31">
        <f t="shared" si="2"/>
        <v>7020000</v>
      </c>
      <c r="I129" s="31">
        <f t="shared" si="3"/>
        <v>369473.68421052629</v>
      </c>
    </row>
    <row r="130" spans="1:9">
      <c r="A130" s="29">
        <v>129</v>
      </c>
      <c r="B130" s="29">
        <v>7</v>
      </c>
      <c r="C130" s="29">
        <v>2</v>
      </c>
      <c r="D130" s="29">
        <v>74.510000000000005</v>
      </c>
      <c r="E130" s="30">
        <v>15800000</v>
      </c>
      <c r="F130" s="30">
        <v>212052</v>
      </c>
      <c r="H130" s="31">
        <f t="shared" si="2"/>
        <v>20540000</v>
      </c>
      <c r="I130" s="31">
        <f t="shared" si="3"/>
        <v>275667.6956113273</v>
      </c>
    </row>
    <row r="131" spans="1:9">
      <c r="A131" s="29">
        <v>130</v>
      </c>
      <c r="B131" s="29">
        <v>7</v>
      </c>
      <c r="C131" s="29">
        <v>2</v>
      </c>
      <c r="D131" s="29">
        <v>99.13</v>
      </c>
      <c r="E131" s="30">
        <v>16800000</v>
      </c>
      <c r="F131" s="30">
        <v>169474</v>
      </c>
      <c r="H131" s="31">
        <f t="shared" ref="H131:H194" si="4">E131+(E131*0.3)</f>
        <v>21840000</v>
      </c>
      <c r="I131" s="31">
        <f t="shared" ref="I131:I194" si="5">H131/D131</f>
        <v>220316.75577524464</v>
      </c>
    </row>
    <row r="132" spans="1:9">
      <c r="A132" s="29">
        <v>131</v>
      </c>
      <c r="B132" s="29">
        <v>7</v>
      </c>
      <c r="C132" s="29">
        <v>1</v>
      </c>
      <c r="D132" s="29">
        <v>19</v>
      </c>
      <c r="E132" s="30">
        <v>5400000</v>
      </c>
      <c r="F132" s="30">
        <v>284211</v>
      </c>
      <c r="H132" s="31">
        <f t="shared" si="4"/>
        <v>7020000</v>
      </c>
      <c r="I132" s="31">
        <f t="shared" si="5"/>
        <v>369473.68421052629</v>
      </c>
    </row>
    <row r="133" spans="1:9">
      <c r="A133" s="29">
        <v>132</v>
      </c>
      <c r="B133" s="29">
        <v>7</v>
      </c>
      <c r="C133" s="29">
        <v>1</v>
      </c>
      <c r="D133" s="29">
        <v>19</v>
      </c>
      <c r="E133" s="30">
        <v>5400000</v>
      </c>
      <c r="F133" s="30">
        <v>284211</v>
      </c>
      <c r="H133" s="31">
        <f t="shared" si="4"/>
        <v>7020000</v>
      </c>
      <c r="I133" s="31">
        <f t="shared" si="5"/>
        <v>369473.68421052629</v>
      </c>
    </row>
    <row r="134" spans="1:9">
      <c r="A134" s="29">
        <v>133</v>
      </c>
      <c r="B134" s="29">
        <v>7</v>
      </c>
      <c r="C134" s="29">
        <v>1</v>
      </c>
      <c r="D134" s="29">
        <v>19</v>
      </c>
      <c r="E134" s="30">
        <v>5400000</v>
      </c>
      <c r="F134" s="30">
        <v>284211</v>
      </c>
      <c r="H134" s="31">
        <f t="shared" si="4"/>
        <v>7020000</v>
      </c>
      <c r="I134" s="31">
        <f t="shared" si="5"/>
        <v>369473.68421052629</v>
      </c>
    </row>
    <row r="135" spans="1:9">
      <c r="A135" s="29">
        <v>134</v>
      </c>
      <c r="B135" s="29">
        <v>7</v>
      </c>
      <c r="C135" s="29">
        <v>1</v>
      </c>
      <c r="D135" s="29">
        <v>18.920000000000002</v>
      </c>
      <c r="E135" s="30">
        <v>4900000</v>
      </c>
      <c r="F135" s="30">
        <v>258985</v>
      </c>
      <c r="H135" s="31">
        <f t="shared" si="4"/>
        <v>6370000</v>
      </c>
      <c r="I135" s="31">
        <f t="shared" si="5"/>
        <v>336680.76109936571</v>
      </c>
    </row>
    <row r="136" spans="1:9">
      <c r="A136" s="29">
        <v>135</v>
      </c>
      <c r="B136" s="29">
        <v>7</v>
      </c>
      <c r="C136" s="29">
        <v>1</v>
      </c>
      <c r="D136" s="29">
        <v>19</v>
      </c>
      <c r="E136" s="30">
        <v>5300000</v>
      </c>
      <c r="F136" s="30">
        <v>278947</v>
      </c>
      <c r="H136" s="31">
        <f t="shared" si="4"/>
        <v>6890000</v>
      </c>
      <c r="I136" s="31">
        <f t="shared" si="5"/>
        <v>362631.57894736843</v>
      </c>
    </row>
    <row r="137" spans="1:9">
      <c r="A137" s="29">
        <v>136</v>
      </c>
      <c r="B137" s="29">
        <v>7</v>
      </c>
      <c r="C137" s="29">
        <v>2</v>
      </c>
      <c r="D137" s="29">
        <v>50.39</v>
      </c>
      <c r="E137" s="30">
        <v>12500000</v>
      </c>
      <c r="F137" s="30">
        <v>248065</v>
      </c>
      <c r="H137" s="31">
        <f t="shared" si="4"/>
        <v>16250000</v>
      </c>
      <c r="I137" s="31">
        <f t="shared" si="5"/>
        <v>322484.61996427859</v>
      </c>
    </row>
    <row r="138" spans="1:9">
      <c r="A138" s="29">
        <v>137</v>
      </c>
      <c r="B138" s="29">
        <v>7</v>
      </c>
      <c r="C138" s="29">
        <v>1</v>
      </c>
      <c r="D138" s="29">
        <v>19.02</v>
      </c>
      <c r="E138" s="30">
        <v>5200000</v>
      </c>
      <c r="F138" s="30">
        <v>273396</v>
      </c>
      <c r="H138" s="31">
        <f t="shared" si="4"/>
        <v>6760000</v>
      </c>
      <c r="I138" s="31">
        <f t="shared" si="5"/>
        <v>355415.35226077813</v>
      </c>
    </row>
    <row r="139" spans="1:9">
      <c r="A139" s="29">
        <v>138</v>
      </c>
      <c r="B139" s="29">
        <v>7</v>
      </c>
      <c r="C139" s="29">
        <v>1</v>
      </c>
      <c r="D139" s="29">
        <v>18.940000000000001</v>
      </c>
      <c r="E139" s="30">
        <v>5200000</v>
      </c>
      <c r="F139" s="30">
        <v>274551</v>
      </c>
      <c r="H139" s="31">
        <f t="shared" si="4"/>
        <v>6760000</v>
      </c>
      <c r="I139" s="31">
        <f t="shared" si="5"/>
        <v>356916.57866948255</v>
      </c>
    </row>
    <row r="140" spans="1:9">
      <c r="A140" s="29">
        <v>139</v>
      </c>
      <c r="B140" s="29">
        <v>7</v>
      </c>
      <c r="C140" s="29">
        <v>1</v>
      </c>
      <c r="D140" s="29">
        <v>19.010000000000002</v>
      </c>
      <c r="E140" s="30">
        <v>5200000</v>
      </c>
      <c r="F140" s="30">
        <v>273540</v>
      </c>
      <c r="H140" s="31">
        <f t="shared" si="4"/>
        <v>6760000</v>
      </c>
      <c r="I140" s="31">
        <f t="shared" si="5"/>
        <v>355602.31457127823</v>
      </c>
    </row>
    <row r="141" spans="1:9">
      <c r="A141" s="29">
        <v>141</v>
      </c>
      <c r="B141" s="29">
        <v>8</v>
      </c>
      <c r="C141" s="29">
        <v>2</v>
      </c>
      <c r="D141" s="29">
        <v>49.89</v>
      </c>
      <c r="E141" s="30">
        <v>13500000</v>
      </c>
      <c r="F141" s="30">
        <v>270595</v>
      </c>
      <c r="H141" s="31">
        <f t="shared" si="4"/>
        <v>17550000</v>
      </c>
      <c r="I141" s="31">
        <f t="shared" si="5"/>
        <v>351773.90258568851</v>
      </c>
    </row>
    <row r="142" spans="1:9">
      <c r="A142" s="29">
        <v>142</v>
      </c>
      <c r="B142" s="29">
        <v>8</v>
      </c>
      <c r="C142" s="29">
        <v>1</v>
      </c>
      <c r="D142" s="29">
        <v>19.010000000000002</v>
      </c>
      <c r="E142" s="30">
        <v>5300000</v>
      </c>
      <c r="F142" s="30">
        <v>278801</v>
      </c>
      <c r="H142" s="31">
        <f t="shared" si="4"/>
        <v>6890000</v>
      </c>
      <c r="I142" s="31">
        <f t="shared" si="5"/>
        <v>362440.82062072592</v>
      </c>
    </row>
    <row r="143" spans="1:9">
      <c r="A143" s="29">
        <v>143</v>
      </c>
      <c r="B143" s="29">
        <v>8</v>
      </c>
      <c r="C143" s="29">
        <v>1</v>
      </c>
      <c r="D143" s="29">
        <v>18.95</v>
      </c>
      <c r="E143" s="30">
        <v>5300000</v>
      </c>
      <c r="F143" s="30">
        <v>279683</v>
      </c>
      <c r="H143" s="31">
        <f t="shared" si="4"/>
        <v>6890000</v>
      </c>
      <c r="I143" s="31">
        <f t="shared" si="5"/>
        <v>363588.39050131926</v>
      </c>
    </row>
    <row r="144" spans="1:9">
      <c r="A144" s="29">
        <v>144</v>
      </c>
      <c r="B144" s="29">
        <v>8</v>
      </c>
      <c r="C144" s="29">
        <v>1</v>
      </c>
      <c r="D144" s="29">
        <v>19.02</v>
      </c>
      <c r="E144" s="30">
        <v>5400000</v>
      </c>
      <c r="F144" s="30">
        <v>283912</v>
      </c>
      <c r="H144" s="31">
        <f t="shared" si="4"/>
        <v>7020000</v>
      </c>
      <c r="I144" s="31">
        <f t="shared" si="5"/>
        <v>369085.17350157729</v>
      </c>
    </row>
    <row r="145" spans="1:9">
      <c r="A145" s="29">
        <v>145</v>
      </c>
      <c r="B145" s="29">
        <v>8</v>
      </c>
      <c r="C145" s="29">
        <v>1</v>
      </c>
      <c r="D145" s="29">
        <v>19.02</v>
      </c>
      <c r="E145" s="30">
        <v>5400000</v>
      </c>
      <c r="F145" s="30">
        <v>283912</v>
      </c>
      <c r="H145" s="31">
        <f t="shared" si="4"/>
        <v>7020000</v>
      </c>
      <c r="I145" s="31">
        <f t="shared" si="5"/>
        <v>369085.17350157729</v>
      </c>
    </row>
    <row r="146" spans="1:9">
      <c r="A146" s="29">
        <v>146</v>
      </c>
      <c r="B146" s="29">
        <v>8</v>
      </c>
      <c r="C146" s="29">
        <v>2</v>
      </c>
      <c r="D146" s="29">
        <v>29.76</v>
      </c>
      <c r="E146" s="30">
        <v>7800000</v>
      </c>
      <c r="F146" s="30">
        <v>262097</v>
      </c>
      <c r="H146" s="31">
        <f t="shared" si="4"/>
        <v>10140000</v>
      </c>
      <c r="I146" s="31">
        <f t="shared" si="5"/>
        <v>340725.80645161291</v>
      </c>
    </row>
    <row r="147" spans="1:9">
      <c r="A147" s="29">
        <v>147</v>
      </c>
      <c r="B147" s="29">
        <v>8</v>
      </c>
      <c r="C147" s="29">
        <v>2</v>
      </c>
      <c r="D147" s="29">
        <v>30.35</v>
      </c>
      <c r="E147" s="30">
        <v>7800000</v>
      </c>
      <c r="F147" s="30">
        <v>257002</v>
      </c>
      <c r="H147" s="31">
        <f t="shared" si="4"/>
        <v>10140000</v>
      </c>
      <c r="I147" s="31">
        <f t="shared" si="5"/>
        <v>334102.14168039535</v>
      </c>
    </row>
    <row r="148" spans="1:9">
      <c r="A148" s="29">
        <v>148</v>
      </c>
      <c r="B148" s="29">
        <v>8</v>
      </c>
      <c r="C148" s="29">
        <v>1</v>
      </c>
      <c r="D148" s="29">
        <v>18.93</v>
      </c>
      <c r="E148" s="30">
        <v>5500000</v>
      </c>
      <c r="F148" s="30">
        <v>290544</v>
      </c>
      <c r="H148" s="31">
        <f t="shared" si="4"/>
        <v>7150000</v>
      </c>
      <c r="I148" s="31">
        <f t="shared" si="5"/>
        <v>377707.34284204966</v>
      </c>
    </row>
    <row r="149" spans="1:9">
      <c r="A149" s="29">
        <v>149</v>
      </c>
      <c r="B149" s="29">
        <v>8</v>
      </c>
      <c r="C149" s="29">
        <v>1</v>
      </c>
      <c r="D149" s="29">
        <v>19</v>
      </c>
      <c r="E149" s="30">
        <v>5500000</v>
      </c>
      <c r="F149" s="30">
        <v>289474</v>
      </c>
      <c r="H149" s="31">
        <f t="shared" si="4"/>
        <v>7150000</v>
      </c>
      <c r="I149" s="31">
        <f t="shared" si="5"/>
        <v>376315.78947368421</v>
      </c>
    </row>
    <row r="150" spans="1:9">
      <c r="A150" s="29">
        <v>150</v>
      </c>
      <c r="B150" s="29">
        <v>8</v>
      </c>
      <c r="C150" s="29">
        <v>1</v>
      </c>
      <c r="D150" s="29">
        <v>19</v>
      </c>
      <c r="E150" s="30">
        <v>5500000</v>
      </c>
      <c r="F150" s="30">
        <v>289474</v>
      </c>
      <c r="H150" s="31">
        <f t="shared" si="4"/>
        <v>7150000</v>
      </c>
      <c r="I150" s="31">
        <f t="shared" si="5"/>
        <v>376315.78947368421</v>
      </c>
    </row>
    <row r="151" spans="1:9">
      <c r="A151" s="29">
        <v>151</v>
      </c>
      <c r="B151" s="29">
        <v>8</v>
      </c>
      <c r="C151" s="29">
        <v>2</v>
      </c>
      <c r="D151" s="29">
        <v>70.12</v>
      </c>
      <c r="E151" s="30">
        <v>15800000</v>
      </c>
      <c r="F151" s="30">
        <v>225328</v>
      </c>
      <c r="H151" s="31">
        <f t="shared" si="4"/>
        <v>20540000</v>
      </c>
      <c r="I151" s="31">
        <f t="shared" si="5"/>
        <v>292926.41186537361</v>
      </c>
    </row>
    <row r="152" spans="1:9">
      <c r="A152" s="29">
        <v>152</v>
      </c>
      <c r="B152" s="29">
        <v>8</v>
      </c>
      <c r="C152" s="29">
        <v>2</v>
      </c>
      <c r="D152" s="29">
        <v>85.32</v>
      </c>
      <c r="E152" s="30">
        <v>16800000</v>
      </c>
      <c r="F152" s="30">
        <v>196906</v>
      </c>
      <c r="H152" s="31">
        <f t="shared" si="4"/>
        <v>21840000</v>
      </c>
      <c r="I152" s="31">
        <f t="shared" si="5"/>
        <v>255977.49648382561</v>
      </c>
    </row>
    <row r="153" spans="1:9">
      <c r="A153" s="29">
        <v>153</v>
      </c>
      <c r="B153" s="29">
        <v>8</v>
      </c>
      <c r="C153" s="29">
        <v>1</v>
      </c>
      <c r="D153" s="29">
        <v>19</v>
      </c>
      <c r="E153" s="30">
        <v>5500000</v>
      </c>
      <c r="F153" s="30">
        <v>289474</v>
      </c>
      <c r="H153" s="31">
        <f t="shared" si="4"/>
        <v>7150000</v>
      </c>
      <c r="I153" s="31">
        <f t="shared" si="5"/>
        <v>376315.78947368421</v>
      </c>
    </row>
    <row r="154" spans="1:9">
      <c r="A154" s="29">
        <v>154</v>
      </c>
      <c r="B154" s="29">
        <v>8</v>
      </c>
      <c r="C154" s="29">
        <v>1</v>
      </c>
      <c r="D154" s="29">
        <v>19</v>
      </c>
      <c r="E154" s="30">
        <v>5500000</v>
      </c>
      <c r="F154" s="30">
        <v>289474</v>
      </c>
      <c r="H154" s="31">
        <f t="shared" si="4"/>
        <v>7150000</v>
      </c>
      <c r="I154" s="31">
        <f t="shared" si="5"/>
        <v>376315.78947368421</v>
      </c>
    </row>
    <row r="155" spans="1:9">
      <c r="A155" s="29">
        <v>155</v>
      </c>
      <c r="B155" s="29">
        <v>8</v>
      </c>
      <c r="C155" s="29">
        <v>1</v>
      </c>
      <c r="D155" s="29">
        <v>18.920000000000002</v>
      </c>
      <c r="E155" s="30">
        <v>5500000</v>
      </c>
      <c r="F155" s="30">
        <v>290698</v>
      </c>
      <c r="H155" s="31">
        <f t="shared" si="4"/>
        <v>7150000</v>
      </c>
      <c r="I155" s="31">
        <f t="shared" si="5"/>
        <v>377906.97674418602</v>
      </c>
    </row>
    <row r="156" spans="1:9">
      <c r="A156" s="29">
        <v>156</v>
      </c>
      <c r="B156" s="29">
        <v>8</v>
      </c>
      <c r="C156" s="29">
        <v>1</v>
      </c>
      <c r="D156" s="29">
        <v>19.010000000000002</v>
      </c>
      <c r="E156" s="30">
        <v>5400000</v>
      </c>
      <c r="F156" s="30">
        <v>284061</v>
      </c>
      <c r="H156" s="31">
        <f t="shared" si="4"/>
        <v>7020000</v>
      </c>
      <c r="I156" s="31">
        <f t="shared" si="5"/>
        <v>369279.32667017356</v>
      </c>
    </row>
    <row r="157" spans="1:9">
      <c r="A157" s="29">
        <v>157</v>
      </c>
      <c r="B157" s="29">
        <v>8</v>
      </c>
      <c r="C157" s="29">
        <v>2</v>
      </c>
      <c r="D157" s="29">
        <v>50.68</v>
      </c>
      <c r="E157" s="30">
        <v>13000000</v>
      </c>
      <c r="F157" s="30">
        <v>256511</v>
      </c>
      <c r="H157" s="31">
        <f t="shared" si="4"/>
        <v>16900000</v>
      </c>
      <c r="I157" s="31">
        <f t="shared" si="5"/>
        <v>333464.87766377267</v>
      </c>
    </row>
    <row r="158" spans="1:9">
      <c r="A158" s="29">
        <v>158</v>
      </c>
      <c r="B158" s="29">
        <v>8</v>
      </c>
      <c r="C158" s="29">
        <v>1</v>
      </c>
      <c r="D158" s="29">
        <v>19.02</v>
      </c>
      <c r="E158" s="30">
        <v>5300000</v>
      </c>
      <c r="F158" s="30">
        <v>278654</v>
      </c>
      <c r="H158" s="31">
        <f t="shared" si="4"/>
        <v>6890000</v>
      </c>
      <c r="I158" s="31">
        <f t="shared" si="5"/>
        <v>362250.26288117771</v>
      </c>
    </row>
    <row r="159" spans="1:9">
      <c r="A159" s="29">
        <v>159</v>
      </c>
      <c r="B159" s="29">
        <v>8</v>
      </c>
      <c r="C159" s="29">
        <v>1</v>
      </c>
      <c r="D159" s="29">
        <v>18.940000000000001</v>
      </c>
      <c r="E159" s="30">
        <v>5300000</v>
      </c>
      <c r="F159" s="30">
        <v>279831</v>
      </c>
      <c r="H159" s="31">
        <f t="shared" si="4"/>
        <v>6890000</v>
      </c>
      <c r="I159" s="31">
        <f t="shared" si="5"/>
        <v>363780.35902851104</v>
      </c>
    </row>
    <row r="160" spans="1:9">
      <c r="A160" s="29">
        <v>160</v>
      </c>
      <c r="B160" s="29">
        <v>8</v>
      </c>
      <c r="C160" s="29">
        <v>1</v>
      </c>
      <c r="D160" s="29">
        <v>19.03</v>
      </c>
      <c r="E160" s="30">
        <v>5300000</v>
      </c>
      <c r="F160" s="30">
        <v>278508</v>
      </c>
      <c r="H160" s="31">
        <f t="shared" si="4"/>
        <v>6890000</v>
      </c>
      <c r="I160" s="31">
        <f t="shared" si="5"/>
        <v>362059.90541250654</v>
      </c>
    </row>
    <row r="161" spans="1:9">
      <c r="A161" s="29">
        <v>161</v>
      </c>
      <c r="B161" s="29">
        <v>8</v>
      </c>
      <c r="C161" s="29">
        <v>2</v>
      </c>
      <c r="D161" s="29">
        <v>49.97</v>
      </c>
      <c r="E161" s="30">
        <v>13500000</v>
      </c>
      <c r="F161" s="30">
        <v>270162</v>
      </c>
      <c r="H161" s="31">
        <f t="shared" si="4"/>
        <v>17550000</v>
      </c>
      <c r="I161" s="31">
        <f t="shared" si="5"/>
        <v>351210.72643586155</v>
      </c>
    </row>
    <row r="162" spans="1:9">
      <c r="A162" s="29">
        <v>162</v>
      </c>
      <c r="B162" s="29">
        <v>9</v>
      </c>
      <c r="C162" s="29">
        <v>2</v>
      </c>
      <c r="D162" s="29">
        <v>49.78</v>
      </c>
      <c r="E162" s="30">
        <v>13600000</v>
      </c>
      <c r="F162" s="30">
        <v>273202</v>
      </c>
      <c r="H162" s="31">
        <f t="shared" si="4"/>
        <v>17680000</v>
      </c>
      <c r="I162" s="31">
        <f t="shared" si="5"/>
        <v>355162.71595018078</v>
      </c>
    </row>
    <row r="163" spans="1:9">
      <c r="A163" s="29">
        <v>163</v>
      </c>
      <c r="B163" s="29">
        <v>9</v>
      </c>
      <c r="C163" s="29">
        <v>1</v>
      </c>
      <c r="D163" s="29">
        <v>19.03</v>
      </c>
      <c r="E163" s="30">
        <v>5400000</v>
      </c>
      <c r="F163" s="30">
        <v>283762</v>
      </c>
      <c r="H163" s="31">
        <f t="shared" si="4"/>
        <v>7020000</v>
      </c>
      <c r="I163" s="31">
        <f t="shared" si="5"/>
        <v>368891.22438255383</v>
      </c>
    </row>
    <row r="164" spans="1:9">
      <c r="A164" s="29">
        <v>164</v>
      </c>
      <c r="B164" s="29">
        <v>9</v>
      </c>
      <c r="C164" s="29">
        <v>1</v>
      </c>
      <c r="D164" s="29">
        <v>18.95</v>
      </c>
      <c r="E164" s="30">
        <v>5400000</v>
      </c>
      <c r="F164" s="30">
        <v>284960</v>
      </c>
      <c r="H164" s="31">
        <f t="shared" si="4"/>
        <v>7020000</v>
      </c>
      <c r="I164" s="31">
        <f t="shared" si="5"/>
        <v>370448.54881266493</v>
      </c>
    </row>
    <row r="165" spans="1:9">
      <c r="A165" s="29">
        <v>165</v>
      </c>
      <c r="B165" s="29">
        <v>9</v>
      </c>
      <c r="C165" s="29">
        <v>1</v>
      </c>
      <c r="D165" s="29">
        <v>19.02</v>
      </c>
      <c r="E165" s="30">
        <v>5500000</v>
      </c>
      <c r="F165" s="30">
        <v>289169</v>
      </c>
      <c r="H165" s="31">
        <f t="shared" si="4"/>
        <v>7150000</v>
      </c>
      <c r="I165" s="31">
        <f t="shared" si="5"/>
        <v>375920.08412197686</v>
      </c>
    </row>
    <row r="166" spans="1:9">
      <c r="A166" s="29">
        <v>166</v>
      </c>
      <c r="B166" s="29">
        <v>9</v>
      </c>
      <c r="C166" s="29">
        <v>1</v>
      </c>
      <c r="D166" s="29">
        <v>19.02</v>
      </c>
      <c r="E166" s="30">
        <v>5500000</v>
      </c>
      <c r="F166" s="30">
        <v>289169</v>
      </c>
      <c r="H166" s="31">
        <f t="shared" si="4"/>
        <v>7150000</v>
      </c>
      <c r="I166" s="31">
        <f t="shared" si="5"/>
        <v>375920.08412197686</v>
      </c>
    </row>
    <row r="167" spans="1:9">
      <c r="A167" s="29">
        <v>167</v>
      </c>
      <c r="B167" s="29">
        <v>9</v>
      </c>
      <c r="C167" s="29">
        <v>2</v>
      </c>
      <c r="D167" s="29">
        <v>29.59</v>
      </c>
      <c r="E167" s="30">
        <v>7900000</v>
      </c>
      <c r="F167" s="30">
        <v>266982</v>
      </c>
      <c r="H167" s="31">
        <f t="shared" si="4"/>
        <v>10270000</v>
      </c>
      <c r="I167" s="31">
        <f t="shared" si="5"/>
        <v>347076.71510645491</v>
      </c>
    </row>
    <row r="168" spans="1:9">
      <c r="A168" s="29">
        <v>168</v>
      </c>
      <c r="B168" s="29">
        <v>9</v>
      </c>
      <c r="C168" s="29">
        <v>2</v>
      </c>
      <c r="D168" s="29">
        <v>30.36</v>
      </c>
      <c r="E168" s="30">
        <v>7900000</v>
      </c>
      <c r="F168" s="30">
        <v>260211</v>
      </c>
      <c r="H168" s="31">
        <f t="shared" si="4"/>
        <v>10270000</v>
      </c>
      <c r="I168" s="31">
        <f t="shared" si="5"/>
        <v>338274.04479578394</v>
      </c>
    </row>
    <row r="169" spans="1:9">
      <c r="A169" s="29">
        <v>169</v>
      </c>
      <c r="B169" s="29">
        <v>9</v>
      </c>
      <c r="C169" s="29">
        <v>1</v>
      </c>
      <c r="D169" s="29">
        <v>18.93</v>
      </c>
      <c r="E169" s="30">
        <v>5600000</v>
      </c>
      <c r="F169" s="30">
        <v>295827</v>
      </c>
      <c r="H169" s="31">
        <f t="shared" si="4"/>
        <v>7280000</v>
      </c>
      <c r="I169" s="31">
        <f t="shared" si="5"/>
        <v>384574.74907554145</v>
      </c>
    </row>
    <row r="170" spans="1:9">
      <c r="A170" s="29">
        <v>170</v>
      </c>
      <c r="B170" s="29">
        <v>9</v>
      </c>
      <c r="C170" s="29">
        <v>1</v>
      </c>
      <c r="D170" s="29">
        <v>19</v>
      </c>
      <c r="E170" s="30">
        <v>5600000</v>
      </c>
      <c r="F170" s="30">
        <v>294737</v>
      </c>
      <c r="H170" s="31">
        <f t="shared" si="4"/>
        <v>7280000</v>
      </c>
      <c r="I170" s="31">
        <f t="shared" si="5"/>
        <v>383157.89473684208</v>
      </c>
    </row>
    <row r="171" spans="1:9">
      <c r="A171" s="29">
        <v>171</v>
      </c>
      <c r="B171" s="29">
        <v>9</v>
      </c>
      <c r="C171" s="29">
        <v>2</v>
      </c>
      <c r="D171" s="29">
        <v>70.22</v>
      </c>
      <c r="E171" s="30">
        <v>16000000</v>
      </c>
      <c r="F171" s="30">
        <v>227855</v>
      </c>
      <c r="H171" s="31">
        <f t="shared" si="4"/>
        <v>20800000</v>
      </c>
      <c r="I171" s="31">
        <f t="shared" si="5"/>
        <v>296211.90544004558</v>
      </c>
    </row>
    <row r="172" spans="1:9">
      <c r="A172" s="29">
        <v>172</v>
      </c>
      <c r="B172" s="29">
        <v>9</v>
      </c>
      <c r="C172" s="29">
        <v>2</v>
      </c>
      <c r="D172" s="29">
        <v>84.88</v>
      </c>
      <c r="E172" s="30">
        <v>16900000</v>
      </c>
      <c r="F172" s="30">
        <v>199105</v>
      </c>
      <c r="H172" s="31">
        <f t="shared" si="4"/>
        <v>21970000</v>
      </c>
      <c r="I172" s="31">
        <f t="shared" si="5"/>
        <v>258836.0037700283</v>
      </c>
    </row>
    <row r="173" spans="1:9">
      <c r="A173" s="29">
        <v>173</v>
      </c>
      <c r="B173" s="29">
        <v>9</v>
      </c>
      <c r="C173" s="29">
        <v>1</v>
      </c>
      <c r="D173" s="29">
        <v>19</v>
      </c>
      <c r="E173" s="30">
        <v>5600000</v>
      </c>
      <c r="F173" s="30">
        <v>294737</v>
      </c>
      <c r="H173" s="31">
        <f t="shared" si="4"/>
        <v>7280000</v>
      </c>
      <c r="I173" s="31">
        <f t="shared" si="5"/>
        <v>383157.89473684208</v>
      </c>
    </row>
    <row r="174" spans="1:9">
      <c r="A174" s="29">
        <v>174</v>
      </c>
      <c r="B174" s="29">
        <v>9</v>
      </c>
      <c r="C174" s="29">
        <v>1</v>
      </c>
      <c r="D174" s="29">
        <v>18.93</v>
      </c>
      <c r="E174" s="30">
        <v>5600000</v>
      </c>
      <c r="F174" s="30">
        <v>295827</v>
      </c>
      <c r="H174" s="31">
        <f t="shared" si="4"/>
        <v>7280000</v>
      </c>
      <c r="I174" s="31">
        <f t="shared" si="5"/>
        <v>384574.74907554145</v>
      </c>
    </row>
    <row r="175" spans="1:9">
      <c r="A175" s="29">
        <v>175</v>
      </c>
      <c r="B175" s="29">
        <v>9</v>
      </c>
      <c r="C175" s="29">
        <v>1</v>
      </c>
      <c r="D175" s="29">
        <v>19</v>
      </c>
      <c r="E175" s="30">
        <v>5500000</v>
      </c>
      <c r="F175" s="30">
        <v>289474</v>
      </c>
      <c r="H175" s="31">
        <f t="shared" si="4"/>
        <v>7150000</v>
      </c>
      <c r="I175" s="31">
        <f t="shared" si="5"/>
        <v>376315.78947368421</v>
      </c>
    </row>
    <row r="176" spans="1:9">
      <c r="A176" s="29">
        <v>176</v>
      </c>
      <c r="B176" s="29">
        <v>9</v>
      </c>
      <c r="C176" s="29">
        <v>2</v>
      </c>
      <c r="D176" s="29">
        <v>50.51</v>
      </c>
      <c r="E176" s="30">
        <v>13500000</v>
      </c>
      <c r="F176" s="30">
        <v>267274</v>
      </c>
      <c r="H176" s="31">
        <f t="shared" si="4"/>
        <v>17550000</v>
      </c>
      <c r="I176" s="31">
        <f t="shared" si="5"/>
        <v>347455.94931696693</v>
      </c>
    </row>
    <row r="177" spans="1:9">
      <c r="A177" s="29">
        <v>177</v>
      </c>
      <c r="B177" s="29">
        <v>9</v>
      </c>
      <c r="C177" s="29">
        <v>1</v>
      </c>
      <c r="D177" s="29">
        <v>18.97</v>
      </c>
      <c r="E177" s="30">
        <v>5400000</v>
      </c>
      <c r="F177" s="30">
        <v>284660</v>
      </c>
      <c r="H177" s="31">
        <f t="shared" si="4"/>
        <v>7020000</v>
      </c>
      <c r="I177" s="31">
        <f t="shared" si="5"/>
        <v>370057.98629414866</v>
      </c>
    </row>
    <row r="178" spans="1:9">
      <c r="A178" s="29">
        <v>178</v>
      </c>
      <c r="B178" s="29">
        <v>9</v>
      </c>
      <c r="C178" s="29">
        <v>1</v>
      </c>
      <c r="D178" s="29">
        <v>18.95</v>
      </c>
      <c r="E178" s="30">
        <v>5400000</v>
      </c>
      <c r="F178" s="30">
        <v>284960</v>
      </c>
      <c r="H178" s="31">
        <f t="shared" si="4"/>
        <v>7020000</v>
      </c>
      <c r="I178" s="31">
        <f t="shared" si="5"/>
        <v>370448.54881266493</v>
      </c>
    </row>
    <row r="179" spans="1:9">
      <c r="A179" s="29">
        <v>179</v>
      </c>
      <c r="B179" s="29">
        <v>9</v>
      </c>
      <c r="C179" s="29">
        <v>1</v>
      </c>
      <c r="D179" s="29">
        <v>19.010000000000002</v>
      </c>
      <c r="E179" s="30">
        <v>5400000</v>
      </c>
      <c r="F179" s="30">
        <v>284061</v>
      </c>
      <c r="H179" s="31">
        <f t="shared" si="4"/>
        <v>7020000</v>
      </c>
      <c r="I179" s="31">
        <f t="shared" si="5"/>
        <v>369279.32667017356</v>
      </c>
    </row>
    <row r="180" spans="1:9">
      <c r="A180" s="29">
        <v>180</v>
      </c>
      <c r="B180" s="29">
        <v>9</v>
      </c>
      <c r="C180" s="29">
        <v>2</v>
      </c>
      <c r="D180" s="29">
        <v>49.83</v>
      </c>
      <c r="E180" s="30">
        <v>13600000</v>
      </c>
      <c r="F180" s="30">
        <v>272928</v>
      </c>
      <c r="H180" s="31">
        <f t="shared" si="4"/>
        <v>17680000</v>
      </c>
      <c r="I180" s="31">
        <f t="shared" si="5"/>
        <v>354806.34156130848</v>
      </c>
    </row>
    <row r="181" spans="1:9">
      <c r="A181" s="29">
        <v>181</v>
      </c>
      <c r="B181" s="29">
        <v>10</v>
      </c>
      <c r="C181" s="29">
        <v>2</v>
      </c>
      <c r="D181" s="29">
        <v>49.84</v>
      </c>
      <c r="E181" s="30">
        <v>13700000</v>
      </c>
      <c r="F181" s="30">
        <v>274880</v>
      </c>
      <c r="H181" s="31">
        <f t="shared" si="4"/>
        <v>17810000</v>
      </c>
      <c r="I181" s="31">
        <f t="shared" si="5"/>
        <v>357343.49919743178</v>
      </c>
    </row>
    <row r="182" spans="1:9">
      <c r="A182" s="29">
        <v>182</v>
      </c>
      <c r="B182" s="29">
        <v>10</v>
      </c>
      <c r="C182" s="29">
        <v>1</v>
      </c>
      <c r="D182" s="29">
        <v>19.03</v>
      </c>
      <c r="E182" s="30">
        <v>5600000</v>
      </c>
      <c r="F182" s="30">
        <v>294272</v>
      </c>
      <c r="H182" s="31">
        <f t="shared" si="4"/>
        <v>7280000</v>
      </c>
      <c r="I182" s="31">
        <f t="shared" si="5"/>
        <v>382553.86232264841</v>
      </c>
    </row>
    <row r="183" spans="1:9">
      <c r="A183" s="29">
        <v>183</v>
      </c>
      <c r="B183" s="29">
        <v>10</v>
      </c>
      <c r="C183" s="29">
        <v>1</v>
      </c>
      <c r="D183" s="29">
        <v>18.95</v>
      </c>
      <c r="E183" s="30">
        <v>5600000</v>
      </c>
      <c r="F183" s="30">
        <v>295515</v>
      </c>
      <c r="H183" s="31">
        <f t="shared" si="4"/>
        <v>7280000</v>
      </c>
      <c r="I183" s="31">
        <f t="shared" si="5"/>
        <v>384168.86543535622</v>
      </c>
    </row>
    <row r="184" spans="1:9">
      <c r="A184" s="29">
        <v>184</v>
      </c>
      <c r="B184" s="29">
        <v>10</v>
      </c>
      <c r="C184" s="29">
        <v>1</v>
      </c>
      <c r="D184" s="29">
        <v>19.02</v>
      </c>
      <c r="E184" s="30">
        <v>5700000</v>
      </c>
      <c r="F184" s="30">
        <v>299685</v>
      </c>
      <c r="H184" s="31">
        <f t="shared" si="4"/>
        <v>7410000</v>
      </c>
      <c r="I184" s="31">
        <f t="shared" si="5"/>
        <v>389589.90536277601</v>
      </c>
    </row>
    <row r="185" spans="1:9">
      <c r="A185" s="29">
        <v>185</v>
      </c>
      <c r="B185" s="29">
        <v>10</v>
      </c>
      <c r="C185" s="29">
        <v>1</v>
      </c>
      <c r="D185" s="29">
        <v>19.02</v>
      </c>
      <c r="E185" s="30">
        <v>5700000</v>
      </c>
      <c r="F185" s="30">
        <v>299685</v>
      </c>
      <c r="H185" s="31">
        <f t="shared" si="4"/>
        <v>7410000</v>
      </c>
      <c r="I185" s="31">
        <f t="shared" si="5"/>
        <v>389589.90536277601</v>
      </c>
    </row>
    <row r="186" spans="1:9">
      <c r="A186" s="29">
        <v>186</v>
      </c>
      <c r="B186" s="29">
        <v>10</v>
      </c>
      <c r="C186" s="29">
        <v>2</v>
      </c>
      <c r="D186" s="29">
        <v>29.64</v>
      </c>
      <c r="E186" s="30">
        <v>8000000</v>
      </c>
      <c r="F186" s="30">
        <v>269906</v>
      </c>
      <c r="H186" s="31">
        <f t="shared" si="4"/>
        <v>10400000</v>
      </c>
      <c r="I186" s="31">
        <f t="shared" si="5"/>
        <v>350877.19298245612</v>
      </c>
    </row>
    <row r="187" spans="1:9">
      <c r="A187" s="29">
        <v>187</v>
      </c>
      <c r="B187" s="29">
        <v>10</v>
      </c>
      <c r="C187" s="29">
        <v>2</v>
      </c>
      <c r="D187" s="29">
        <v>30.34</v>
      </c>
      <c r="E187" s="30">
        <v>8000000</v>
      </c>
      <c r="F187" s="30">
        <v>263678</v>
      </c>
      <c r="H187" s="31">
        <f t="shared" si="4"/>
        <v>10400000</v>
      </c>
      <c r="I187" s="31">
        <f t="shared" si="5"/>
        <v>342781.80619644036</v>
      </c>
    </row>
    <row r="188" spans="1:9">
      <c r="A188" s="29">
        <v>188</v>
      </c>
      <c r="B188" s="29">
        <v>10</v>
      </c>
      <c r="C188" s="29">
        <v>1</v>
      </c>
      <c r="D188" s="29">
        <v>18.93</v>
      </c>
      <c r="E188" s="30">
        <v>5800000</v>
      </c>
      <c r="F188" s="30">
        <v>306392</v>
      </c>
      <c r="H188" s="31">
        <f t="shared" si="4"/>
        <v>7540000</v>
      </c>
      <c r="I188" s="31">
        <f t="shared" si="5"/>
        <v>398309.56154252507</v>
      </c>
    </row>
    <row r="189" spans="1:9">
      <c r="A189" s="29">
        <v>189</v>
      </c>
      <c r="B189" s="29">
        <v>10</v>
      </c>
      <c r="C189" s="29">
        <v>2</v>
      </c>
      <c r="D189" s="29">
        <v>70.25</v>
      </c>
      <c r="E189" s="30">
        <v>16860000</v>
      </c>
      <c r="F189" s="30">
        <v>240000</v>
      </c>
      <c r="H189" s="31">
        <f t="shared" si="4"/>
        <v>21918000</v>
      </c>
      <c r="I189" s="31">
        <f t="shared" si="5"/>
        <v>312000</v>
      </c>
    </row>
    <row r="190" spans="1:9">
      <c r="A190" s="29">
        <v>190</v>
      </c>
      <c r="B190" s="29">
        <v>10</v>
      </c>
      <c r="C190" s="29">
        <v>2</v>
      </c>
      <c r="D190" s="29">
        <v>85.12</v>
      </c>
      <c r="E190" s="30">
        <v>16853760</v>
      </c>
      <c r="F190" s="30">
        <v>198000</v>
      </c>
      <c r="H190" s="31">
        <f t="shared" si="4"/>
        <v>21909888</v>
      </c>
      <c r="I190" s="31">
        <f t="shared" si="5"/>
        <v>257400</v>
      </c>
    </row>
    <row r="191" spans="1:9">
      <c r="A191" s="29">
        <v>191</v>
      </c>
      <c r="B191" s="29">
        <v>10</v>
      </c>
      <c r="C191" s="29">
        <v>1</v>
      </c>
      <c r="D191" s="29">
        <v>18.93</v>
      </c>
      <c r="E191" s="30">
        <v>5800000</v>
      </c>
      <c r="F191" s="30">
        <v>306392</v>
      </c>
      <c r="H191" s="31">
        <f t="shared" si="4"/>
        <v>7540000</v>
      </c>
      <c r="I191" s="31">
        <f t="shared" si="5"/>
        <v>398309.56154252507</v>
      </c>
    </row>
    <row r="192" spans="1:9">
      <c r="A192" s="29">
        <v>192</v>
      </c>
      <c r="B192" s="29">
        <v>10</v>
      </c>
      <c r="C192" s="29">
        <v>1</v>
      </c>
      <c r="D192" s="29">
        <v>19</v>
      </c>
      <c r="E192" s="30">
        <v>5800000</v>
      </c>
      <c r="F192" s="30">
        <v>305263</v>
      </c>
      <c r="H192" s="31">
        <f t="shared" si="4"/>
        <v>7540000</v>
      </c>
      <c r="I192" s="31">
        <f t="shared" si="5"/>
        <v>396842.10526315792</v>
      </c>
    </row>
    <row r="193" spans="1:9">
      <c r="A193" s="29">
        <v>193</v>
      </c>
      <c r="B193" s="29">
        <v>10</v>
      </c>
      <c r="C193" s="29">
        <v>2</v>
      </c>
      <c r="D193" s="29">
        <v>50.88</v>
      </c>
      <c r="E193" s="30">
        <v>14000000</v>
      </c>
      <c r="F193" s="30">
        <v>275157</v>
      </c>
      <c r="H193" s="31">
        <f t="shared" si="4"/>
        <v>18200000</v>
      </c>
      <c r="I193" s="31">
        <f t="shared" si="5"/>
        <v>357704.40251572325</v>
      </c>
    </row>
    <row r="194" spans="1:9">
      <c r="A194" s="29">
        <v>194</v>
      </c>
      <c r="B194" s="29">
        <v>10</v>
      </c>
      <c r="C194" s="29">
        <v>1</v>
      </c>
      <c r="D194" s="29">
        <v>19.010000000000002</v>
      </c>
      <c r="E194" s="30">
        <v>5600000</v>
      </c>
      <c r="F194" s="30">
        <v>294582</v>
      </c>
      <c r="H194" s="31">
        <f t="shared" si="4"/>
        <v>7280000</v>
      </c>
      <c r="I194" s="31">
        <f t="shared" si="5"/>
        <v>382956.33876906888</v>
      </c>
    </row>
    <row r="195" spans="1:9">
      <c r="A195" s="29">
        <v>195</v>
      </c>
      <c r="B195" s="29">
        <v>10</v>
      </c>
      <c r="C195" s="29">
        <v>1</v>
      </c>
      <c r="D195" s="29">
        <v>18.95</v>
      </c>
      <c r="E195" s="30">
        <v>5600000</v>
      </c>
      <c r="F195" s="30">
        <v>295515</v>
      </c>
      <c r="H195" s="31">
        <f t="shared" ref="H195:H245" si="6">E195+(E195*0.3)</f>
        <v>7280000</v>
      </c>
      <c r="I195" s="31">
        <f t="shared" ref="I195:I245" si="7">H195/D195</f>
        <v>384168.86543535622</v>
      </c>
    </row>
    <row r="196" spans="1:9">
      <c r="A196" s="29">
        <v>196</v>
      </c>
      <c r="B196" s="29">
        <v>10</v>
      </c>
      <c r="C196" s="29">
        <v>1</v>
      </c>
      <c r="D196" s="29">
        <v>19.03</v>
      </c>
      <c r="E196" s="30">
        <v>5600000</v>
      </c>
      <c r="F196" s="30">
        <v>294272</v>
      </c>
      <c r="H196" s="31">
        <f t="shared" si="6"/>
        <v>7280000</v>
      </c>
      <c r="I196" s="31">
        <f t="shared" si="7"/>
        <v>382553.86232264841</v>
      </c>
    </row>
    <row r="197" spans="1:9">
      <c r="A197" s="29">
        <v>197</v>
      </c>
      <c r="B197" s="29">
        <v>10</v>
      </c>
      <c r="C197" s="29">
        <v>2</v>
      </c>
      <c r="D197" s="29">
        <v>49.82</v>
      </c>
      <c r="E197" s="30">
        <v>13700000</v>
      </c>
      <c r="F197" s="30">
        <v>274990</v>
      </c>
      <c r="H197" s="31">
        <f t="shared" si="6"/>
        <v>17810000</v>
      </c>
      <c r="I197" s="31">
        <f t="shared" si="7"/>
        <v>357486.95303091127</v>
      </c>
    </row>
    <row r="198" spans="1:9">
      <c r="A198" s="29">
        <v>198</v>
      </c>
      <c r="B198" s="29">
        <v>11</v>
      </c>
      <c r="C198" s="29">
        <v>2</v>
      </c>
      <c r="D198" s="29">
        <v>68.97</v>
      </c>
      <c r="E198" s="30">
        <v>17600000</v>
      </c>
      <c r="F198" s="30">
        <v>255183</v>
      </c>
      <c r="H198" s="31">
        <f t="shared" si="6"/>
        <v>22880000</v>
      </c>
      <c r="I198" s="31">
        <f t="shared" si="7"/>
        <v>331738.43700159492</v>
      </c>
    </row>
    <row r="199" spans="1:9">
      <c r="A199" s="29">
        <v>199</v>
      </c>
      <c r="B199" s="29">
        <v>11</v>
      </c>
      <c r="C199" s="29">
        <v>1</v>
      </c>
      <c r="D199" s="29">
        <v>18.95</v>
      </c>
      <c r="E199" s="30">
        <v>5800000</v>
      </c>
      <c r="F199" s="30">
        <v>306069</v>
      </c>
      <c r="H199" s="31">
        <f t="shared" si="6"/>
        <v>7540000</v>
      </c>
      <c r="I199" s="31">
        <f t="shared" si="7"/>
        <v>397889.1820580475</v>
      </c>
    </row>
    <row r="200" spans="1:9">
      <c r="A200" s="29">
        <v>200</v>
      </c>
      <c r="B200" s="29">
        <v>11</v>
      </c>
      <c r="C200" s="29">
        <v>1</v>
      </c>
      <c r="D200" s="29">
        <v>19.02</v>
      </c>
      <c r="E200" s="30">
        <v>5800000</v>
      </c>
      <c r="F200" s="30">
        <v>304942</v>
      </c>
      <c r="H200" s="31">
        <f t="shared" si="6"/>
        <v>7540000</v>
      </c>
      <c r="I200" s="31">
        <f t="shared" si="7"/>
        <v>396424.81598317559</v>
      </c>
    </row>
    <row r="201" spans="1:9">
      <c r="A201" s="29">
        <v>201</v>
      </c>
      <c r="B201" s="29">
        <v>11</v>
      </c>
      <c r="C201" s="29">
        <v>1</v>
      </c>
      <c r="D201" s="29">
        <v>19.02</v>
      </c>
      <c r="E201" s="30">
        <v>5800000</v>
      </c>
      <c r="F201" s="30">
        <v>304942</v>
      </c>
      <c r="H201" s="31">
        <f t="shared" si="6"/>
        <v>7540000</v>
      </c>
      <c r="I201" s="31">
        <f t="shared" si="7"/>
        <v>396424.81598317559</v>
      </c>
    </row>
    <row r="202" spans="1:9">
      <c r="A202" s="29">
        <v>202</v>
      </c>
      <c r="B202" s="29">
        <v>11</v>
      </c>
      <c r="C202" s="29">
        <v>2</v>
      </c>
      <c r="D202" s="29">
        <v>29.79</v>
      </c>
      <c r="E202" s="30">
        <v>8100000</v>
      </c>
      <c r="F202" s="30">
        <v>271903</v>
      </c>
      <c r="H202" s="31">
        <f t="shared" si="6"/>
        <v>10530000</v>
      </c>
      <c r="I202" s="31">
        <f t="shared" si="7"/>
        <v>353474.32024169184</v>
      </c>
    </row>
    <row r="203" spans="1:9">
      <c r="A203" s="29">
        <v>203</v>
      </c>
      <c r="B203" s="29">
        <v>11</v>
      </c>
      <c r="C203" s="29">
        <v>2</v>
      </c>
      <c r="D203" s="29">
        <v>30.29</v>
      </c>
      <c r="E203" s="30">
        <v>8100000</v>
      </c>
      <c r="F203" s="30">
        <v>267415</v>
      </c>
      <c r="H203" s="31">
        <f t="shared" si="6"/>
        <v>10530000</v>
      </c>
      <c r="I203" s="31">
        <f t="shared" si="7"/>
        <v>347639.4849785408</v>
      </c>
    </row>
    <row r="204" spans="1:9">
      <c r="A204" s="29">
        <v>204</v>
      </c>
      <c r="B204" s="29">
        <v>11</v>
      </c>
      <c r="C204" s="29">
        <v>2</v>
      </c>
      <c r="D204" s="29">
        <v>70.31</v>
      </c>
      <c r="E204" s="30">
        <v>20000000</v>
      </c>
      <c r="F204" s="30">
        <v>284455</v>
      </c>
      <c r="H204" s="31">
        <f t="shared" si="6"/>
        <v>26000000</v>
      </c>
      <c r="I204" s="31">
        <f t="shared" si="7"/>
        <v>369790.92589958751</v>
      </c>
    </row>
    <row r="205" spans="1:9">
      <c r="A205" s="29">
        <v>205</v>
      </c>
      <c r="B205" s="29">
        <v>11</v>
      </c>
      <c r="C205" s="29">
        <v>2</v>
      </c>
      <c r="D205" s="29">
        <v>84.89</v>
      </c>
      <c r="E205" s="30">
        <v>22000000</v>
      </c>
      <c r="F205" s="30">
        <v>259159</v>
      </c>
      <c r="H205" s="31">
        <f t="shared" si="6"/>
        <v>28600000</v>
      </c>
      <c r="I205" s="31">
        <f t="shared" si="7"/>
        <v>336906.58499234304</v>
      </c>
    </row>
    <row r="206" spans="1:9">
      <c r="A206" s="29">
        <v>206</v>
      </c>
      <c r="B206" s="29">
        <v>11</v>
      </c>
      <c r="C206" s="29">
        <v>1</v>
      </c>
      <c r="D206" s="29">
        <v>19</v>
      </c>
      <c r="E206" s="30">
        <v>5900000</v>
      </c>
      <c r="F206" s="30">
        <v>310526</v>
      </c>
      <c r="H206" s="31">
        <f t="shared" si="6"/>
        <v>7670000</v>
      </c>
      <c r="I206" s="31">
        <f t="shared" si="7"/>
        <v>403684.21052631579</v>
      </c>
    </row>
    <row r="207" spans="1:9">
      <c r="A207" s="29">
        <v>207</v>
      </c>
      <c r="B207" s="29">
        <v>11</v>
      </c>
      <c r="C207" s="29">
        <v>2</v>
      </c>
      <c r="D207" s="29">
        <v>50.55</v>
      </c>
      <c r="E207" s="30">
        <v>14300000</v>
      </c>
      <c r="F207" s="30">
        <v>282888</v>
      </c>
      <c r="H207" s="31">
        <f t="shared" si="6"/>
        <v>18590000</v>
      </c>
      <c r="I207" s="31">
        <f t="shared" si="7"/>
        <v>367754.69831849658</v>
      </c>
    </row>
    <row r="208" spans="1:9">
      <c r="A208" s="29">
        <v>208</v>
      </c>
      <c r="B208" s="29">
        <v>11</v>
      </c>
      <c r="C208" s="29">
        <v>1</v>
      </c>
      <c r="D208" s="29">
        <v>19.02</v>
      </c>
      <c r="E208" s="30">
        <v>5800000</v>
      </c>
      <c r="F208" s="30">
        <v>304942</v>
      </c>
      <c r="H208" s="31">
        <f t="shared" si="6"/>
        <v>7540000</v>
      </c>
      <c r="I208" s="31">
        <f t="shared" si="7"/>
        <v>396424.81598317559</v>
      </c>
    </row>
    <row r="209" spans="1:9">
      <c r="A209" s="29">
        <v>209</v>
      </c>
      <c r="B209" s="29">
        <v>11</v>
      </c>
      <c r="C209" s="29">
        <v>1</v>
      </c>
      <c r="D209" s="29">
        <v>18.95</v>
      </c>
      <c r="E209" s="30">
        <v>5800000</v>
      </c>
      <c r="F209" s="30">
        <v>306069</v>
      </c>
      <c r="H209" s="31">
        <f t="shared" si="6"/>
        <v>7540000</v>
      </c>
      <c r="I209" s="31">
        <f t="shared" si="7"/>
        <v>397889.1820580475</v>
      </c>
    </row>
    <row r="210" spans="1:9">
      <c r="A210" s="29">
        <v>210</v>
      </c>
      <c r="B210" s="29">
        <v>11</v>
      </c>
      <c r="C210" s="29">
        <v>2</v>
      </c>
      <c r="D210" s="29">
        <v>68.930000000000007</v>
      </c>
      <c r="E210" s="30">
        <v>17600000</v>
      </c>
      <c r="F210" s="30">
        <v>255331</v>
      </c>
      <c r="H210" s="31">
        <f t="shared" si="6"/>
        <v>22880000</v>
      </c>
      <c r="I210" s="31">
        <f t="shared" si="7"/>
        <v>331930.94443638471</v>
      </c>
    </row>
    <row r="211" spans="1:9">
      <c r="A211" s="29">
        <v>211</v>
      </c>
      <c r="B211" s="29">
        <v>12</v>
      </c>
      <c r="C211" s="29">
        <v>2</v>
      </c>
      <c r="D211" s="29">
        <v>49.49</v>
      </c>
      <c r="E211" s="30">
        <v>14300000</v>
      </c>
      <c r="F211" s="30">
        <v>288947</v>
      </c>
      <c r="H211" s="31">
        <f t="shared" si="6"/>
        <v>18590000</v>
      </c>
      <c r="I211" s="31">
        <f t="shared" si="7"/>
        <v>375631.44069508993</v>
      </c>
    </row>
    <row r="212" spans="1:9">
      <c r="A212" s="29">
        <v>212</v>
      </c>
      <c r="B212" s="29">
        <v>12</v>
      </c>
      <c r="C212" s="29">
        <v>1</v>
      </c>
      <c r="D212" s="29">
        <v>18.95</v>
      </c>
      <c r="E212" s="30">
        <v>5900000</v>
      </c>
      <c r="F212" s="30">
        <v>311346</v>
      </c>
      <c r="H212" s="31">
        <f t="shared" si="6"/>
        <v>7670000</v>
      </c>
      <c r="I212" s="31">
        <f t="shared" si="7"/>
        <v>404749.34036939318</v>
      </c>
    </row>
    <row r="213" spans="1:9">
      <c r="A213" s="29">
        <v>213</v>
      </c>
      <c r="B213" s="29">
        <v>12</v>
      </c>
      <c r="C213" s="29">
        <v>1</v>
      </c>
      <c r="D213" s="29">
        <v>19.02</v>
      </c>
      <c r="E213" s="30">
        <v>5900000</v>
      </c>
      <c r="F213" s="30">
        <v>310200</v>
      </c>
      <c r="H213" s="31">
        <f t="shared" si="6"/>
        <v>7670000</v>
      </c>
      <c r="I213" s="31">
        <f t="shared" si="7"/>
        <v>403259.72660357517</v>
      </c>
    </row>
    <row r="214" spans="1:9">
      <c r="A214" s="29">
        <v>214</v>
      </c>
      <c r="B214" s="29">
        <v>12</v>
      </c>
      <c r="C214" s="29">
        <v>1</v>
      </c>
      <c r="D214" s="29">
        <v>19.02</v>
      </c>
      <c r="E214" s="30">
        <v>5900000</v>
      </c>
      <c r="F214" s="30">
        <v>310200</v>
      </c>
      <c r="H214" s="31">
        <f t="shared" si="6"/>
        <v>7670000</v>
      </c>
      <c r="I214" s="31">
        <f t="shared" si="7"/>
        <v>403259.72660357517</v>
      </c>
    </row>
    <row r="215" spans="1:9">
      <c r="A215" s="29">
        <v>215</v>
      </c>
      <c r="B215" s="29">
        <v>12</v>
      </c>
      <c r="C215" s="29">
        <v>2</v>
      </c>
      <c r="D215" s="29">
        <v>29.74</v>
      </c>
      <c r="E215" s="30">
        <v>8200000</v>
      </c>
      <c r="F215" s="30">
        <v>275723</v>
      </c>
      <c r="H215" s="31">
        <f t="shared" si="6"/>
        <v>10660000</v>
      </c>
      <c r="I215" s="31">
        <f t="shared" si="7"/>
        <v>358439.81170141225</v>
      </c>
    </row>
    <row r="216" spans="1:9">
      <c r="A216" s="29">
        <v>216</v>
      </c>
      <c r="B216" s="29">
        <v>12</v>
      </c>
      <c r="C216" s="29">
        <v>2</v>
      </c>
      <c r="D216" s="29">
        <v>30.61</v>
      </c>
      <c r="E216" s="30">
        <v>8200000</v>
      </c>
      <c r="F216" s="30">
        <v>267886</v>
      </c>
      <c r="H216" s="31">
        <f t="shared" si="6"/>
        <v>10660000</v>
      </c>
      <c r="I216" s="31">
        <f t="shared" si="7"/>
        <v>348252.20516171184</v>
      </c>
    </row>
    <row r="217" spans="1:9">
      <c r="A217" s="29">
        <v>217</v>
      </c>
      <c r="B217" s="29">
        <v>12</v>
      </c>
      <c r="C217" s="29">
        <v>2</v>
      </c>
      <c r="D217" s="29">
        <v>51.21</v>
      </c>
      <c r="E217" s="30">
        <v>10037160</v>
      </c>
      <c r="F217" s="30">
        <v>196000</v>
      </c>
      <c r="H217" s="31">
        <f t="shared" si="6"/>
        <v>13048308</v>
      </c>
      <c r="I217" s="31">
        <f t="shared" si="7"/>
        <v>254800</v>
      </c>
    </row>
    <row r="218" spans="1:9">
      <c r="A218" s="29">
        <v>218</v>
      </c>
      <c r="B218" s="29">
        <v>12</v>
      </c>
      <c r="C218" s="29">
        <v>2</v>
      </c>
      <c r="D218" s="29">
        <v>60.21</v>
      </c>
      <c r="E218" s="30">
        <v>12000000</v>
      </c>
      <c r="F218" s="30">
        <v>199302</v>
      </c>
      <c r="H218" s="31">
        <f t="shared" si="6"/>
        <v>15600000</v>
      </c>
      <c r="I218" s="31">
        <f t="shared" si="7"/>
        <v>259093.17389138017</v>
      </c>
    </row>
    <row r="219" spans="1:9">
      <c r="A219" s="29">
        <v>219</v>
      </c>
      <c r="B219" s="29">
        <v>12</v>
      </c>
      <c r="C219" s="29">
        <v>1</v>
      </c>
      <c r="D219" s="29">
        <v>18.87</v>
      </c>
      <c r="E219" s="30">
        <v>6000000</v>
      </c>
      <c r="F219" s="30">
        <v>317965</v>
      </c>
      <c r="H219" s="31">
        <f t="shared" si="6"/>
        <v>7800000</v>
      </c>
      <c r="I219" s="31">
        <f t="shared" si="7"/>
        <v>413354.53100158978</v>
      </c>
    </row>
    <row r="220" spans="1:9">
      <c r="A220" s="29">
        <v>220</v>
      </c>
      <c r="B220" s="29">
        <v>12</v>
      </c>
      <c r="C220" s="29">
        <v>2</v>
      </c>
      <c r="D220" s="29">
        <v>50.39</v>
      </c>
      <c r="E220" s="30">
        <v>14500000</v>
      </c>
      <c r="F220" s="30">
        <v>287756</v>
      </c>
      <c r="H220" s="31">
        <f t="shared" si="6"/>
        <v>18850000</v>
      </c>
      <c r="I220" s="31">
        <f t="shared" si="7"/>
        <v>374082.15915856318</v>
      </c>
    </row>
    <row r="221" spans="1:9">
      <c r="A221" s="29">
        <v>221</v>
      </c>
      <c r="B221" s="29">
        <v>12</v>
      </c>
      <c r="C221" s="29">
        <v>1</v>
      </c>
      <c r="D221" s="29">
        <v>19.14</v>
      </c>
      <c r="E221" s="30">
        <v>5900000</v>
      </c>
      <c r="F221" s="30">
        <v>308255</v>
      </c>
      <c r="H221" s="31">
        <f t="shared" si="6"/>
        <v>7670000</v>
      </c>
      <c r="I221" s="31">
        <f t="shared" si="7"/>
        <v>400731.45245559036</v>
      </c>
    </row>
    <row r="222" spans="1:9">
      <c r="A222" s="29">
        <v>222</v>
      </c>
      <c r="B222" s="29">
        <v>12</v>
      </c>
      <c r="C222" s="29">
        <v>1</v>
      </c>
      <c r="D222" s="29">
        <v>19.059999999999999</v>
      </c>
      <c r="E222" s="30">
        <v>5900000</v>
      </c>
      <c r="F222" s="30">
        <v>309549</v>
      </c>
      <c r="H222" s="31">
        <f t="shared" si="6"/>
        <v>7670000</v>
      </c>
      <c r="I222" s="31">
        <f t="shared" si="7"/>
        <v>402413.43126967474</v>
      </c>
    </row>
    <row r="223" spans="1:9">
      <c r="A223" s="29">
        <v>223</v>
      </c>
      <c r="B223" s="29">
        <v>12</v>
      </c>
      <c r="C223" s="29">
        <v>2</v>
      </c>
      <c r="D223" s="29">
        <v>49.76</v>
      </c>
      <c r="E223" s="30">
        <v>14300000</v>
      </c>
      <c r="F223" s="30">
        <v>287379</v>
      </c>
      <c r="H223" s="31">
        <f t="shared" si="6"/>
        <v>18590000</v>
      </c>
      <c r="I223" s="31">
        <f t="shared" si="7"/>
        <v>373593.24758842448</v>
      </c>
    </row>
    <row r="224" spans="1:9">
      <c r="A224" s="29">
        <v>224</v>
      </c>
      <c r="B224" s="29">
        <v>13</v>
      </c>
      <c r="C224" s="29">
        <v>2</v>
      </c>
      <c r="D224" s="29">
        <v>49.44</v>
      </c>
      <c r="E224" s="30">
        <v>14500000</v>
      </c>
      <c r="F224" s="30">
        <v>293285</v>
      </c>
      <c r="H224" s="31">
        <f t="shared" si="6"/>
        <v>18850000</v>
      </c>
      <c r="I224" s="31">
        <f t="shared" si="7"/>
        <v>381270.22653721686</v>
      </c>
    </row>
    <row r="225" spans="1:9">
      <c r="A225" s="29">
        <v>225</v>
      </c>
      <c r="B225" s="29">
        <v>13</v>
      </c>
      <c r="C225" s="29">
        <v>1</v>
      </c>
      <c r="D225" s="29">
        <v>18.95</v>
      </c>
      <c r="E225" s="30">
        <v>6100000</v>
      </c>
      <c r="F225" s="30">
        <v>321900</v>
      </c>
      <c r="H225" s="31">
        <f t="shared" si="6"/>
        <v>7930000</v>
      </c>
      <c r="I225" s="31">
        <f t="shared" si="7"/>
        <v>418469.65699208446</v>
      </c>
    </row>
    <row r="226" spans="1:9">
      <c r="A226" s="29">
        <v>226</v>
      </c>
      <c r="B226" s="29">
        <v>13</v>
      </c>
      <c r="C226" s="29">
        <v>1</v>
      </c>
      <c r="D226" s="29">
        <v>19.02</v>
      </c>
      <c r="E226" s="30">
        <v>6100000</v>
      </c>
      <c r="F226" s="30">
        <v>320715</v>
      </c>
      <c r="H226" s="31">
        <f t="shared" si="6"/>
        <v>7930000</v>
      </c>
      <c r="I226" s="31">
        <f t="shared" si="7"/>
        <v>416929.54784437438</v>
      </c>
    </row>
    <row r="227" spans="1:9">
      <c r="A227" s="29">
        <v>227</v>
      </c>
      <c r="B227" s="29">
        <v>13</v>
      </c>
      <c r="C227" s="29">
        <v>1</v>
      </c>
      <c r="D227" s="29">
        <v>18.989999999999998</v>
      </c>
      <c r="E227" s="30">
        <v>6100000</v>
      </c>
      <c r="F227" s="30">
        <v>321222</v>
      </c>
      <c r="H227" s="31">
        <f t="shared" si="6"/>
        <v>7930000</v>
      </c>
      <c r="I227" s="31">
        <f t="shared" si="7"/>
        <v>417588.20431806217</v>
      </c>
    </row>
    <row r="228" spans="1:9">
      <c r="A228" s="29">
        <v>228</v>
      </c>
      <c r="B228" s="29">
        <v>13</v>
      </c>
      <c r="C228" s="29">
        <v>2</v>
      </c>
      <c r="D228" s="29">
        <v>29.63</v>
      </c>
      <c r="E228" s="30">
        <v>8300000</v>
      </c>
      <c r="F228" s="30">
        <v>280121</v>
      </c>
      <c r="H228" s="31">
        <f t="shared" si="6"/>
        <v>10790000</v>
      </c>
      <c r="I228" s="31">
        <f t="shared" si="7"/>
        <v>364157.9480256497</v>
      </c>
    </row>
    <row r="229" spans="1:9">
      <c r="A229" s="29">
        <v>229</v>
      </c>
      <c r="B229" s="29">
        <v>13</v>
      </c>
      <c r="C229" s="29">
        <v>2</v>
      </c>
      <c r="D229" s="29">
        <v>63.85</v>
      </c>
      <c r="E229" s="30">
        <v>17900000</v>
      </c>
      <c r="F229" s="30">
        <v>280345</v>
      </c>
      <c r="H229" s="31">
        <f t="shared" si="6"/>
        <v>23270000</v>
      </c>
      <c r="I229" s="31">
        <f t="shared" si="7"/>
        <v>364447.92482380581</v>
      </c>
    </row>
    <row r="230" spans="1:9">
      <c r="A230" s="29">
        <v>230</v>
      </c>
      <c r="B230" s="29">
        <v>13</v>
      </c>
      <c r="C230" s="29">
        <v>2</v>
      </c>
      <c r="D230" s="29">
        <v>66.09</v>
      </c>
      <c r="E230" s="30">
        <v>18200000</v>
      </c>
      <c r="F230" s="30">
        <v>275382</v>
      </c>
      <c r="H230" s="31">
        <f t="shared" si="6"/>
        <v>23660000</v>
      </c>
      <c r="I230" s="31">
        <f t="shared" si="7"/>
        <v>357996.67120593128</v>
      </c>
    </row>
    <row r="231" spans="1:9">
      <c r="A231" s="29">
        <v>231</v>
      </c>
      <c r="B231" s="29">
        <v>13</v>
      </c>
      <c r="C231" s="29">
        <v>2</v>
      </c>
      <c r="D231" s="29">
        <v>50.15</v>
      </c>
      <c r="E231" s="30">
        <v>14700000</v>
      </c>
      <c r="F231" s="30">
        <v>293121</v>
      </c>
      <c r="H231" s="31">
        <f t="shared" si="6"/>
        <v>19110000</v>
      </c>
      <c r="I231" s="31">
        <f t="shared" si="7"/>
        <v>381056.82951146562</v>
      </c>
    </row>
    <row r="232" spans="1:9">
      <c r="A232" s="29">
        <v>232</v>
      </c>
      <c r="B232" s="29">
        <v>13</v>
      </c>
      <c r="C232" s="29">
        <v>1</v>
      </c>
      <c r="D232" s="29">
        <v>19.02</v>
      </c>
      <c r="E232" s="30">
        <v>6100000</v>
      </c>
      <c r="F232" s="30">
        <v>320715</v>
      </c>
      <c r="H232" s="31">
        <f t="shared" si="6"/>
        <v>7930000</v>
      </c>
      <c r="I232" s="31">
        <f t="shared" si="7"/>
        <v>416929.54784437438</v>
      </c>
    </row>
    <row r="233" spans="1:9">
      <c r="A233" s="29">
        <v>233</v>
      </c>
      <c r="B233" s="29">
        <v>13</v>
      </c>
      <c r="C233" s="29">
        <v>1</v>
      </c>
      <c r="D233" s="29">
        <v>18.95</v>
      </c>
      <c r="E233" s="30">
        <v>6100000</v>
      </c>
      <c r="F233" s="30">
        <v>321900</v>
      </c>
      <c r="H233" s="31">
        <f t="shared" si="6"/>
        <v>7930000</v>
      </c>
      <c r="I233" s="31">
        <f t="shared" si="7"/>
        <v>418469.65699208446</v>
      </c>
    </row>
    <row r="234" spans="1:9">
      <c r="A234" s="29">
        <v>234</v>
      </c>
      <c r="B234" s="29">
        <v>13</v>
      </c>
      <c r="C234" s="29">
        <v>2</v>
      </c>
      <c r="D234" s="29">
        <v>49.61</v>
      </c>
      <c r="E234" s="30">
        <v>14500000</v>
      </c>
      <c r="F234" s="30">
        <v>292280</v>
      </c>
      <c r="H234" s="31">
        <f t="shared" si="6"/>
        <v>18850000</v>
      </c>
      <c r="I234" s="31">
        <f t="shared" si="7"/>
        <v>379963.71699254186</v>
      </c>
    </row>
    <row r="235" spans="1:9">
      <c r="A235" s="29">
        <v>235</v>
      </c>
      <c r="B235" s="29">
        <v>14</v>
      </c>
      <c r="C235" s="29">
        <v>2</v>
      </c>
      <c r="D235" s="29">
        <v>49.42</v>
      </c>
      <c r="E235" s="30">
        <v>14700000</v>
      </c>
      <c r="F235" s="30">
        <v>297450</v>
      </c>
      <c r="H235" s="31">
        <f t="shared" si="6"/>
        <v>19110000</v>
      </c>
      <c r="I235" s="31">
        <f t="shared" si="7"/>
        <v>386685.552407932</v>
      </c>
    </row>
    <row r="236" spans="1:9">
      <c r="A236" s="29">
        <v>236</v>
      </c>
      <c r="B236" s="29">
        <v>14</v>
      </c>
      <c r="C236" s="29">
        <v>1</v>
      </c>
      <c r="D236" s="29">
        <v>18.95</v>
      </c>
      <c r="E236" s="30">
        <v>6200000</v>
      </c>
      <c r="F236" s="30">
        <v>327177</v>
      </c>
      <c r="H236" s="31">
        <f t="shared" si="6"/>
        <v>8060000</v>
      </c>
      <c r="I236" s="31">
        <f t="shared" si="7"/>
        <v>425329.81530343008</v>
      </c>
    </row>
    <row r="237" spans="1:9">
      <c r="A237" s="29">
        <v>237</v>
      </c>
      <c r="B237" s="29">
        <v>14</v>
      </c>
      <c r="C237" s="29">
        <v>1</v>
      </c>
      <c r="D237" s="29">
        <v>19.02</v>
      </c>
      <c r="E237" s="30">
        <v>6200000</v>
      </c>
      <c r="F237" s="30">
        <v>325973</v>
      </c>
      <c r="H237" s="31">
        <f t="shared" si="6"/>
        <v>8060000</v>
      </c>
      <c r="I237" s="31">
        <f t="shared" si="7"/>
        <v>423764.45846477395</v>
      </c>
    </row>
    <row r="238" spans="1:9">
      <c r="A238" s="29">
        <v>238</v>
      </c>
      <c r="B238" s="29">
        <v>14</v>
      </c>
      <c r="C238" s="29">
        <v>1</v>
      </c>
      <c r="D238" s="29">
        <v>19.02</v>
      </c>
      <c r="E238" s="30">
        <v>6200000</v>
      </c>
      <c r="F238" s="30">
        <v>325973</v>
      </c>
      <c r="H238" s="31">
        <f t="shared" si="6"/>
        <v>8060000</v>
      </c>
      <c r="I238" s="31">
        <f t="shared" si="7"/>
        <v>423764.45846477395</v>
      </c>
    </row>
    <row r="239" spans="1:9">
      <c r="A239" s="29">
        <v>239</v>
      </c>
      <c r="B239" s="29">
        <v>14</v>
      </c>
      <c r="C239" s="29">
        <v>2</v>
      </c>
      <c r="D239" s="29">
        <v>29.58</v>
      </c>
      <c r="E239" s="30">
        <v>8400000</v>
      </c>
      <c r="F239" s="30">
        <v>283976</v>
      </c>
      <c r="H239" s="31">
        <f t="shared" si="6"/>
        <v>10920000</v>
      </c>
      <c r="I239" s="31">
        <f t="shared" si="7"/>
        <v>369168.3569979716</v>
      </c>
    </row>
    <row r="240" spans="1:9">
      <c r="A240" s="29">
        <v>240</v>
      </c>
      <c r="B240" s="29">
        <v>14</v>
      </c>
      <c r="C240" s="29">
        <v>2</v>
      </c>
      <c r="D240" s="29">
        <v>85.07</v>
      </c>
      <c r="E240" s="30">
        <v>25000000</v>
      </c>
      <c r="F240" s="30">
        <v>293876</v>
      </c>
      <c r="H240" s="31">
        <f t="shared" si="6"/>
        <v>32500000</v>
      </c>
      <c r="I240" s="31">
        <f t="shared" si="7"/>
        <v>382038.32138239098</v>
      </c>
    </row>
    <row r="241" spans="1:9">
      <c r="A241" s="29">
        <v>241</v>
      </c>
      <c r="B241" s="29">
        <v>14</v>
      </c>
      <c r="C241" s="29">
        <v>2</v>
      </c>
      <c r="D241" s="29">
        <v>50.25</v>
      </c>
      <c r="E241" s="30">
        <v>15000000</v>
      </c>
      <c r="F241" s="30">
        <v>298507</v>
      </c>
      <c r="H241" s="31">
        <f t="shared" si="6"/>
        <v>19500000</v>
      </c>
      <c r="I241" s="31">
        <f t="shared" si="7"/>
        <v>388059.70149253734</v>
      </c>
    </row>
    <row r="242" spans="1:9">
      <c r="A242" s="29">
        <v>242</v>
      </c>
      <c r="B242" s="29">
        <v>14</v>
      </c>
      <c r="C242" s="29">
        <v>1</v>
      </c>
      <c r="D242" s="29">
        <v>19.02</v>
      </c>
      <c r="E242" s="30">
        <v>6200000</v>
      </c>
      <c r="F242" s="30">
        <v>325973</v>
      </c>
      <c r="H242" s="31">
        <f t="shared" si="6"/>
        <v>8060000</v>
      </c>
      <c r="I242" s="31">
        <f t="shared" si="7"/>
        <v>423764.45846477395</v>
      </c>
    </row>
    <row r="243" spans="1:9">
      <c r="A243" s="29">
        <v>243</v>
      </c>
      <c r="B243" s="29">
        <v>14</v>
      </c>
      <c r="C243" s="29">
        <v>1</v>
      </c>
      <c r="D243" s="29">
        <v>18.920000000000002</v>
      </c>
      <c r="E243" s="30">
        <v>6200000</v>
      </c>
      <c r="F243" s="30">
        <v>327696</v>
      </c>
      <c r="H243" s="31">
        <f t="shared" si="6"/>
        <v>8060000</v>
      </c>
      <c r="I243" s="31">
        <f t="shared" si="7"/>
        <v>426004.22832980967</v>
      </c>
    </row>
    <row r="244" spans="1:9">
      <c r="A244" s="29">
        <v>244</v>
      </c>
      <c r="B244" s="29">
        <v>14</v>
      </c>
      <c r="C244" s="29">
        <v>2</v>
      </c>
      <c r="D244" s="29">
        <v>49.57</v>
      </c>
      <c r="E244" s="30">
        <v>14700000</v>
      </c>
      <c r="F244" s="30">
        <v>296550</v>
      </c>
      <c r="H244" s="31">
        <f t="shared" si="6"/>
        <v>19110000</v>
      </c>
      <c r="I244" s="31">
        <f t="shared" si="7"/>
        <v>385515.43272140407</v>
      </c>
    </row>
    <row r="245" spans="1:9">
      <c r="A245" s="29">
        <v>140</v>
      </c>
      <c r="B245" s="29">
        <v>7</v>
      </c>
      <c r="C245" s="29">
        <v>2</v>
      </c>
      <c r="D245" s="29">
        <v>68.959999999999994</v>
      </c>
      <c r="E245" s="30">
        <v>17250000</v>
      </c>
      <c r="F245" s="30">
        <v>250145</v>
      </c>
      <c r="H245" s="31">
        <f t="shared" si="6"/>
        <v>22425000</v>
      </c>
      <c r="I245" s="31">
        <f t="shared" si="7"/>
        <v>325188.51508120651</v>
      </c>
    </row>
  </sheetData>
  <sheetProtection formatCells="0" formatColumns="0" formatRows="0" insertColumns="0" insertRows="0" insertHyperlinks="0" deleteColumns="0" deleteRows="0" sort="0" autoFilter="0" pivotTables="0"/>
  <autoFilter ref="A1:G245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zoomScale="90" zoomScaleNormal="90" workbookViewId="0">
      <selection activeCell="B15" sqref="B15"/>
    </sheetView>
  </sheetViews>
  <sheetFormatPr defaultColWidth="10.875" defaultRowHeight="12.75"/>
  <cols>
    <col min="1" max="1" width="46" style="47" customWidth="1"/>
    <col min="2" max="2" width="17" style="47" customWidth="1"/>
    <col min="3" max="14" width="15.625" style="47" customWidth="1"/>
    <col min="15" max="16384" width="10.875" style="47"/>
  </cols>
  <sheetData>
    <row r="1" spans="1:3" ht="20.100000000000001" customHeight="1">
      <c r="A1" s="47" t="s">
        <v>100</v>
      </c>
      <c r="B1" s="44">
        <v>1112</v>
      </c>
    </row>
    <row r="2" spans="1:3" ht="20.100000000000001" customHeight="1">
      <c r="A2" s="47" t="s">
        <v>1</v>
      </c>
      <c r="B2" s="45">
        <f>VLOOKUP($B$1,Экспликация!$B:$C,2,FALSE)</f>
        <v>11</v>
      </c>
    </row>
    <row r="3" spans="1:3" ht="20.100000000000001" customHeight="1">
      <c r="A3" s="47" t="s">
        <v>4</v>
      </c>
      <c r="B3" s="45" t="str">
        <f>VLOOKUP($B$1,Экспликация!$B:$E,4,FALSE)</f>
        <v>Стандарт</v>
      </c>
    </row>
    <row r="4" spans="1:3" ht="20.100000000000001" customHeight="1">
      <c r="A4" s="47" t="s">
        <v>5</v>
      </c>
      <c r="B4" s="45">
        <f>VLOOKUP($B$1,Экспликация!$B:$L,11,FALSE)</f>
        <v>18.95</v>
      </c>
    </row>
    <row r="5" spans="1:3" ht="20.100000000000001" customHeight="1">
      <c r="B5" s="45"/>
    </row>
    <row r="6" spans="1:3" ht="20.100000000000001" customHeight="1">
      <c r="A6" s="47" t="s">
        <v>9</v>
      </c>
      <c r="B6" s="45" t="str">
        <f>VLOOKUP($B$1,Экспликация!$B:$O,9,FALSE)</f>
        <v>Invest</v>
      </c>
    </row>
    <row r="7" spans="1:3" ht="20.100000000000001" customHeight="1">
      <c r="A7" s="47" t="s">
        <v>89</v>
      </c>
      <c r="B7" s="45" t="str">
        <f>VLOOKUP($B$1,Экспликация!$B:$O,10,FALSE)</f>
        <v>Внутренняя бронь</v>
      </c>
    </row>
    <row r="8" spans="1:3" ht="20.100000000000001" customHeight="1">
      <c r="B8" s="45"/>
    </row>
    <row r="9" spans="1:3" ht="20.100000000000001" customHeight="1">
      <c r="A9" s="47" t="s">
        <v>103</v>
      </c>
      <c r="B9" s="46">
        <f>VLOOKUP($B$1,Экспликация!$B:$O,12,FALSE)</f>
        <v>327177</v>
      </c>
    </row>
    <row r="10" spans="1:3" ht="20.100000000000001" customHeight="1">
      <c r="A10" s="47" t="s">
        <v>104</v>
      </c>
      <c r="B10" s="46">
        <f>VLOOKUP($B$1,Экспликация!$B:$O,13,FALSE)</f>
        <v>50000</v>
      </c>
    </row>
    <row r="11" spans="1:3" ht="20.100000000000001" customHeight="1">
      <c r="A11" s="47" t="s">
        <v>105</v>
      </c>
      <c r="B11" s="46">
        <v>50000</v>
      </c>
      <c r="C11" s="48"/>
    </row>
    <row r="12" spans="1:3" ht="20.100000000000001" customHeight="1">
      <c r="A12" s="47" t="s">
        <v>106</v>
      </c>
      <c r="B12" s="46">
        <f>SUM(B9:B11)</f>
        <v>427177</v>
      </c>
    </row>
    <row r="14" spans="1:3">
      <c r="A14" s="49" t="s">
        <v>107</v>
      </c>
      <c r="B14" s="50">
        <f>B12*B4</f>
        <v>8095004.1499999994</v>
      </c>
    </row>
    <row r="15" spans="1:3">
      <c r="A15" s="47" t="s">
        <v>134</v>
      </c>
      <c r="B15" s="52">
        <v>0.3</v>
      </c>
    </row>
    <row r="16" spans="1:3">
      <c r="B16" s="53"/>
    </row>
    <row r="17" spans="1:14">
      <c r="A17" s="47" t="s">
        <v>135</v>
      </c>
      <c r="B17" s="54">
        <v>45839</v>
      </c>
    </row>
    <row r="18" spans="1:14">
      <c r="A18" s="47" t="s">
        <v>136</v>
      </c>
      <c r="B18" s="54">
        <v>46753</v>
      </c>
    </row>
    <row r="20" spans="1:14">
      <c r="A20" s="56" t="s">
        <v>108</v>
      </c>
      <c r="B20" s="57" t="s">
        <v>109</v>
      </c>
      <c r="C20" s="57" t="s">
        <v>72</v>
      </c>
      <c r="D20" s="57" t="s">
        <v>110</v>
      </c>
      <c r="E20" s="57" t="s">
        <v>74</v>
      </c>
      <c r="F20" s="57" t="s">
        <v>75</v>
      </c>
      <c r="G20" s="57" t="s">
        <v>76</v>
      </c>
      <c r="H20" s="57" t="s">
        <v>77</v>
      </c>
      <c r="I20" s="57" t="s">
        <v>78</v>
      </c>
      <c r="J20" s="57" t="s">
        <v>79</v>
      </c>
      <c r="K20" s="57" t="s">
        <v>80</v>
      </c>
      <c r="L20" s="57" t="s">
        <v>81</v>
      </c>
      <c r="M20" s="57" t="s">
        <v>69</v>
      </c>
      <c r="N20" s="57" t="s">
        <v>111</v>
      </c>
    </row>
    <row r="21" spans="1:14">
      <c r="C21" s="45">
        <v>365</v>
      </c>
      <c r="D21" s="45">
        <v>365</v>
      </c>
      <c r="E21" s="45">
        <v>365</v>
      </c>
      <c r="F21" s="45">
        <v>366</v>
      </c>
      <c r="G21" s="45">
        <v>365</v>
      </c>
      <c r="H21" s="45">
        <v>365</v>
      </c>
      <c r="I21" s="45">
        <v>365</v>
      </c>
      <c r="J21" s="45">
        <v>366</v>
      </c>
      <c r="K21" s="45">
        <v>365</v>
      </c>
      <c r="L21" s="45">
        <v>365</v>
      </c>
    </row>
    <row r="22" spans="1:14">
      <c r="A22" s="58" t="s">
        <v>70</v>
      </c>
      <c r="B22" s="109" t="s">
        <v>112</v>
      </c>
      <c r="C22" s="90">
        <v>150</v>
      </c>
      <c r="D22" s="90">
        <v>150</v>
      </c>
      <c r="E22" s="90">
        <v>150</v>
      </c>
      <c r="F22" s="90">
        <v>150</v>
      </c>
      <c r="G22" s="90">
        <v>150</v>
      </c>
      <c r="H22" s="90">
        <v>150</v>
      </c>
      <c r="I22" s="90">
        <v>150</v>
      </c>
      <c r="J22" s="90">
        <v>150</v>
      </c>
      <c r="K22" s="90">
        <v>150</v>
      </c>
      <c r="L22" s="90">
        <v>150</v>
      </c>
      <c r="M22" s="90" t="s">
        <v>71</v>
      </c>
      <c r="N22" s="90">
        <f>AVERAGE(C22:L22)</f>
        <v>150</v>
      </c>
    </row>
    <row r="23" spans="1:14">
      <c r="A23" s="58" t="s">
        <v>113</v>
      </c>
      <c r="B23" s="109"/>
      <c r="C23" s="91">
        <f>C21*C22</f>
        <v>54750</v>
      </c>
      <c r="D23" s="91">
        <f t="shared" ref="D23:L23" si="0">D21*D22</f>
        <v>54750</v>
      </c>
      <c r="E23" s="91">
        <f t="shared" si="0"/>
        <v>54750</v>
      </c>
      <c r="F23" s="91">
        <f t="shared" si="0"/>
        <v>54900</v>
      </c>
      <c r="G23" s="91">
        <f t="shared" si="0"/>
        <v>54750</v>
      </c>
      <c r="H23" s="91">
        <f t="shared" si="0"/>
        <v>54750</v>
      </c>
      <c r="I23" s="91">
        <f t="shared" si="0"/>
        <v>54750</v>
      </c>
      <c r="J23" s="91">
        <f t="shared" si="0"/>
        <v>54900</v>
      </c>
      <c r="K23" s="91">
        <f t="shared" si="0"/>
        <v>54750</v>
      </c>
      <c r="L23" s="91">
        <f t="shared" si="0"/>
        <v>54750</v>
      </c>
      <c r="M23" s="91">
        <f>SUM(C23:L23)</f>
        <v>547800</v>
      </c>
      <c r="N23" s="91">
        <f>AVERAGE(C23:L23)</f>
        <v>54780</v>
      </c>
    </row>
    <row r="24" spans="1:14">
      <c r="A24" s="58" t="s">
        <v>82</v>
      </c>
      <c r="B24" s="109"/>
      <c r="C24" s="91">
        <f>INT((C23-INT(C23*C27))*C28)+INT(C23*C27)</f>
        <v>42151</v>
      </c>
      <c r="D24" s="91">
        <f>INT((D23-INT(D23*D27))*D28)+INT(D23*D27)</f>
        <v>44308</v>
      </c>
      <c r="E24" s="91">
        <f t="shared" ref="E24:L24" si="1">INT((E23-INT(E23*E27))*E28)+INT(E23*E27)</f>
        <v>45911</v>
      </c>
      <c r="F24" s="91">
        <f t="shared" si="1"/>
        <v>46979</v>
      </c>
      <c r="G24" s="91">
        <f t="shared" si="1"/>
        <v>47776</v>
      </c>
      <c r="H24" s="91">
        <f t="shared" si="1"/>
        <v>48170</v>
      </c>
      <c r="I24" s="91">
        <f t="shared" si="1"/>
        <v>48285</v>
      </c>
      <c r="J24" s="91">
        <f t="shared" si="1"/>
        <v>48534</v>
      </c>
      <c r="K24" s="91">
        <f t="shared" si="1"/>
        <v>48519</v>
      </c>
      <c r="L24" s="91">
        <f t="shared" si="1"/>
        <v>48639</v>
      </c>
      <c r="M24" s="91">
        <f>SUM(C24:L24)</f>
        <v>469272</v>
      </c>
      <c r="N24" s="91">
        <f>AVERAGE(C24:L24)</f>
        <v>46927.199999999997</v>
      </c>
    </row>
    <row r="25" spans="1:14"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</row>
    <row r="26" spans="1:14">
      <c r="A26" s="58" t="s">
        <v>122</v>
      </c>
      <c r="B26" s="109" t="s">
        <v>116</v>
      </c>
      <c r="C26" s="93">
        <f>C24/C23</f>
        <v>0.76988127853881283</v>
      </c>
      <c r="D26" s="93">
        <f t="shared" ref="D26:N26" si="2">D24/D23</f>
        <v>0.80927853881278544</v>
      </c>
      <c r="E26" s="93">
        <f t="shared" si="2"/>
        <v>0.83855707762557075</v>
      </c>
      <c r="F26" s="93">
        <f t="shared" si="2"/>
        <v>0.85571948998178504</v>
      </c>
      <c r="G26" s="93">
        <f t="shared" si="2"/>
        <v>0.87262100456621006</v>
      </c>
      <c r="H26" s="93">
        <f t="shared" si="2"/>
        <v>0.87981735159817354</v>
      </c>
      <c r="I26" s="93">
        <f t="shared" si="2"/>
        <v>0.88191780821917809</v>
      </c>
      <c r="J26" s="93">
        <f t="shared" si="2"/>
        <v>0.88404371584699448</v>
      </c>
      <c r="K26" s="93">
        <f t="shared" si="2"/>
        <v>0.88619178082191785</v>
      </c>
      <c r="L26" s="93">
        <f t="shared" si="2"/>
        <v>0.88838356164383558</v>
      </c>
      <c r="M26" s="94" t="s">
        <v>71</v>
      </c>
      <c r="N26" s="93">
        <f t="shared" si="2"/>
        <v>0.85664841182913465</v>
      </c>
    </row>
    <row r="27" spans="1:14">
      <c r="A27" s="62" t="s">
        <v>114</v>
      </c>
      <c r="B27" s="109"/>
      <c r="C27" s="86">
        <v>0.60599999999999998</v>
      </c>
      <c r="D27" s="95">
        <f>C27*(1+Лист2!C2)</f>
        <v>0.64842</v>
      </c>
      <c r="E27" s="95">
        <f>D27*(1+Лист2!D2)</f>
        <v>0.68084100000000003</v>
      </c>
      <c r="F27" s="95">
        <f>E27*(1+Лист2!E2)</f>
        <v>0.70467043499999993</v>
      </c>
      <c r="G27" s="95">
        <f>F27*(1+Лист2!F2)</f>
        <v>0.72933390022499989</v>
      </c>
      <c r="H27" s="95">
        <f>G27*(1+Лист2!G2)</f>
        <v>0.74027390872837484</v>
      </c>
      <c r="I27" s="95">
        <f>H27*(1+Лист2!H2)</f>
        <v>0.74027390872837484</v>
      </c>
      <c r="J27" s="95">
        <f>I27*(1+Лист2!I2)</f>
        <v>0.74027390872837484</v>
      </c>
      <c r="K27" s="95">
        <f>J27*(1+Лист2!J2)</f>
        <v>0.74027390872837484</v>
      </c>
      <c r="L27" s="95">
        <f>K27*(1+Лист2!K2)</f>
        <v>0.74027390872837484</v>
      </c>
      <c r="M27" s="90" t="s">
        <v>71</v>
      </c>
      <c r="N27" s="95">
        <f>AVERAGE(C27:L27)</f>
        <v>0.70706348788668727</v>
      </c>
    </row>
    <row r="28" spans="1:14">
      <c r="A28" s="62" t="s">
        <v>115</v>
      </c>
      <c r="B28" s="109"/>
      <c r="C28" s="86">
        <v>0.41599999999999998</v>
      </c>
      <c r="D28" s="95">
        <f>C28*(1+Лист2!C3)</f>
        <v>0.45760000000000001</v>
      </c>
      <c r="E28" s="95">
        <f>D28*(1+Лист2!D3)</f>
        <v>0.49420800000000004</v>
      </c>
      <c r="F28" s="95">
        <f>E28*(1+Лист2!E3)</f>
        <v>0.51150527999999995</v>
      </c>
      <c r="G28" s="95">
        <f>F28*(1+Лист2!F3)</f>
        <v>0.52940796479999996</v>
      </c>
      <c r="H28" s="95">
        <f>G28*(1+Лист2!G3)</f>
        <v>0.5373490842719999</v>
      </c>
      <c r="I28" s="95">
        <f>H28*(1+Лист2!H3)</f>
        <v>0.54540932053607982</v>
      </c>
      <c r="J28" s="95">
        <f>I28*(1+Лист2!I3)</f>
        <v>0.55359046034412096</v>
      </c>
      <c r="K28" s="95">
        <f>J28*(1+Лист2!J3)</f>
        <v>0.56189431724928274</v>
      </c>
      <c r="L28" s="95">
        <f>K28*(1+Лист2!K3)</f>
        <v>0.57032273200802197</v>
      </c>
      <c r="M28" s="90" t="s">
        <v>71</v>
      </c>
      <c r="N28" s="95">
        <f>AVERAGE(C28:L28)</f>
        <v>0.51772871592095049</v>
      </c>
    </row>
    <row r="29" spans="1:14"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</row>
    <row r="30" spans="1:14" ht="15.95" customHeight="1">
      <c r="A30" s="58" t="s">
        <v>123</v>
      </c>
      <c r="B30" s="106" t="s">
        <v>120</v>
      </c>
      <c r="C30" s="96">
        <f>ROUND(C34*1000000/C24,-2)</f>
        <v>8400</v>
      </c>
      <c r="D30" s="96">
        <f t="shared" ref="D30:N30" si="3">ROUND(D34*1000000/D24,-2)</f>
        <v>9400</v>
      </c>
      <c r="E30" s="96">
        <f t="shared" si="3"/>
        <v>10100</v>
      </c>
      <c r="F30" s="96">
        <f t="shared" si="3"/>
        <v>10600</v>
      </c>
      <c r="G30" s="96">
        <f t="shared" si="3"/>
        <v>11200</v>
      </c>
      <c r="H30" s="96">
        <f t="shared" si="3"/>
        <v>11500</v>
      </c>
      <c r="I30" s="96">
        <f t="shared" si="3"/>
        <v>11700</v>
      </c>
      <c r="J30" s="96">
        <f t="shared" si="3"/>
        <v>11900</v>
      </c>
      <c r="K30" s="96">
        <f t="shared" si="3"/>
        <v>12000</v>
      </c>
      <c r="L30" s="96">
        <f t="shared" si="3"/>
        <v>12200</v>
      </c>
      <c r="M30" s="96" t="s">
        <v>71</v>
      </c>
      <c r="N30" s="96">
        <f t="shared" si="3"/>
        <v>10900</v>
      </c>
    </row>
    <row r="31" spans="1:14">
      <c r="A31" s="62" t="s">
        <v>117</v>
      </c>
      <c r="B31" s="108"/>
      <c r="C31" s="87">
        <v>10000</v>
      </c>
      <c r="D31" s="91">
        <f>ROUND(C31*(1+Лист2!C5),-2)</f>
        <v>11000</v>
      </c>
      <c r="E31" s="91">
        <f>ROUND(D31*(1+Лист2!D5),-2)</f>
        <v>11700</v>
      </c>
      <c r="F31" s="91">
        <f>ROUND(E31*(1+Лист2!E5),-2)</f>
        <v>12200</v>
      </c>
      <c r="G31" s="91">
        <f>ROUND(F31*(1+Лист2!F5),-2)</f>
        <v>12700</v>
      </c>
      <c r="H31" s="91">
        <f>ROUND(G31*(1+Лист2!G5),-2)</f>
        <v>13000</v>
      </c>
      <c r="I31" s="91">
        <f>ROUND(H31*(1+Лист2!H5),-2)</f>
        <v>13300</v>
      </c>
      <c r="J31" s="91">
        <f>ROUND(I31*(1+Лист2!I5),-2)</f>
        <v>13500</v>
      </c>
      <c r="K31" s="91">
        <f>ROUND(J31*(1+Лист2!J5),-2)</f>
        <v>13700</v>
      </c>
      <c r="L31" s="91">
        <f>ROUND(K31*(1+Лист2!K5),-2)</f>
        <v>13900</v>
      </c>
      <c r="M31" s="90" t="s">
        <v>71</v>
      </c>
      <c r="N31" s="91">
        <f>ROUND(AVERAGE(C31:L31),-2)</f>
        <v>12500</v>
      </c>
    </row>
    <row r="32" spans="1:14">
      <c r="A32" s="62" t="s">
        <v>118</v>
      </c>
      <c r="B32" s="82" t="s">
        <v>119</v>
      </c>
      <c r="C32" s="89">
        <f>ROUND(C31*30.4*Лист2!$C$7,-2)</f>
        <v>79000</v>
      </c>
      <c r="D32" s="91">
        <f>ROUND(C32*(1+Лист2!C6),-2)</f>
        <v>86900</v>
      </c>
      <c r="E32" s="91">
        <f>ROUND(D32*(1+Лист2!D6),-2)</f>
        <v>92100</v>
      </c>
      <c r="F32" s="91">
        <f>ROUND(E32*(1+Лист2!E6),-2)</f>
        <v>96200</v>
      </c>
      <c r="G32" s="91">
        <f>ROUND(F32*(1+Лист2!F6),-2)</f>
        <v>100500</v>
      </c>
      <c r="H32" s="91">
        <f>ROUND(G32*(1+Лист2!G6),-2)</f>
        <v>102500</v>
      </c>
      <c r="I32" s="91">
        <f>ROUND(H32*(1+Лист2!H6),-2)</f>
        <v>104600</v>
      </c>
      <c r="J32" s="91">
        <f>ROUND(I32*(1+Лист2!I6),-2)</f>
        <v>106200</v>
      </c>
      <c r="K32" s="91">
        <f>ROUND(J32*(1+Лист2!J6),-2)</f>
        <v>107800</v>
      </c>
      <c r="L32" s="91">
        <f>ROUND(K32*(1+Лист2!K6),-2)</f>
        <v>109400</v>
      </c>
      <c r="M32" s="90" t="s">
        <v>71</v>
      </c>
      <c r="N32" s="91">
        <f>ROUND(AVERAGE(C32:L32),-2)</f>
        <v>98500</v>
      </c>
    </row>
    <row r="33" spans="1:14"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</row>
    <row r="34" spans="1:14">
      <c r="A34" s="58" t="s">
        <v>121</v>
      </c>
      <c r="B34" s="109" t="s">
        <v>126</v>
      </c>
      <c r="C34" s="97">
        <f>SUM(C35:C36)</f>
        <v>355.09799342105259</v>
      </c>
      <c r="D34" s="97">
        <f t="shared" ref="D34:L34" si="4">SUM(D35:D36)</f>
        <v>415.67813157894739</v>
      </c>
      <c r="E34" s="97">
        <f t="shared" si="4"/>
        <v>462.28984144736847</v>
      </c>
      <c r="F34" s="97">
        <f t="shared" si="4"/>
        <v>498.2121802631579</v>
      </c>
      <c r="G34" s="97">
        <f t="shared" si="4"/>
        <v>533.05865065789476</v>
      </c>
      <c r="H34" s="97">
        <f t="shared" si="4"/>
        <v>552.64024013157893</v>
      </c>
      <c r="I34" s="97">
        <f t="shared" si="4"/>
        <v>565.72246315789471</v>
      </c>
      <c r="J34" s="97">
        <f t="shared" si="4"/>
        <v>576.22707236842109</v>
      </c>
      <c r="K34" s="97">
        <f t="shared" si="4"/>
        <v>583.58026052631578</v>
      </c>
      <c r="L34" s="97">
        <f t="shared" si="4"/>
        <v>592.53842894736852</v>
      </c>
      <c r="M34" s="97">
        <f t="shared" ref="M34:M36" si="5">SUM(C34:L34)</f>
        <v>5135.0452625000007</v>
      </c>
      <c r="N34" s="97">
        <f t="shared" ref="N34:N36" si="6">AVERAGE(C34:L34)</f>
        <v>513.50452625000003</v>
      </c>
    </row>
    <row r="35" spans="1:14">
      <c r="A35" s="62" t="s">
        <v>117</v>
      </c>
      <c r="B35" s="109"/>
      <c r="C35" s="98">
        <f>(INT(C23*C27)*C31)/1000000</f>
        <v>331.78</v>
      </c>
      <c r="D35" s="98">
        <f t="shared" ref="D35:L35" si="7">(INT(D23*D27)*D31)/1000000</f>
        <v>390.5</v>
      </c>
      <c r="E35" s="98">
        <f t="shared" si="7"/>
        <v>436.12920000000003</v>
      </c>
      <c r="F35" s="98">
        <f t="shared" si="7"/>
        <v>471.9692</v>
      </c>
      <c r="G35" s="98">
        <f t="shared" si="7"/>
        <v>507.12369999999999</v>
      </c>
      <c r="H35" s="98">
        <f t="shared" si="7"/>
        <v>526.87699999999995</v>
      </c>
      <c r="I35" s="98">
        <f t="shared" si="7"/>
        <v>539.03570000000002</v>
      </c>
      <c r="J35" s="98">
        <f t="shared" si="7"/>
        <v>548.65350000000001</v>
      </c>
      <c r="K35" s="98">
        <f t="shared" si="7"/>
        <v>555.2473</v>
      </c>
      <c r="L35" s="98">
        <f t="shared" si="7"/>
        <v>563.35310000000004</v>
      </c>
      <c r="M35" s="98">
        <f t="shared" si="5"/>
        <v>4870.6687000000002</v>
      </c>
      <c r="N35" s="98">
        <f t="shared" si="6"/>
        <v>487.06686999999999</v>
      </c>
    </row>
    <row r="36" spans="1:14">
      <c r="A36" s="62" t="s">
        <v>118</v>
      </c>
      <c r="B36" s="109"/>
      <c r="C36" s="98">
        <f>(INT((C23-INT(C23*C27))*C28)*(C32/30.4))/1000000</f>
        <v>23.317993421052631</v>
      </c>
      <c r="D36" s="98">
        <f t="shared" ref="D36:L36" si="8">(INT((D23-INT(D23*D27))*D28)*(D32/30.4))/1000000</f>
        <v>25.178131578947369</v>
      </c>
      <c r="E36" s="98">
        <f t="shared" si="8"/>
        <v>26.160641447368423</v>
      </c>
      <c r="F36" s="98">
        <f t="shared" si="8"/>
        <v>26.242980263157893</v>
      </c>
      <c r="G36" s="98">
        <f t="shared" si="8"/>
        <v>25.934950657894738</v>
      </c>
      <c r="H36" s="98">
        <f t="shared" si="8"/>
        <v>25.76324013157895</v>
      </c>
      <c r="I36" s="98">
        <f t="shared" si="8"/>
        <v>26.686763157894738</v>
      </c>
      <c r="J36" s="98">
        <f t="shared" si="8"/>
        <v>27.573572368421054</v>
      </c>
      <c r="K36" s="98">
        <f t="shared" si="8"/>
        <v>28.332960526315791</v>
      </c>
      <c r="L36" s="98">
        <f t="shared" si="8"/>
        <v>29.185328947368422</v>
      </c>
      <c r="M36" s="98">
        <f t="shared" si="5"/>
        <v>264.37656250000003</v>
      </c>
      <c r="N36" s="98">
        <f t="shared" si="6"/>
        <v>26.437656250000003</v>
      </c>
    </row>
    <row r="37" spans="1:14"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</row>
    <row r="38" spans="1:14">
      <c r="A38" s="58" t="s">
        <v>127</v>
      </c>
      <c r="B38" s="82" t="s">
        <v>128</v>
      </c>
      <c r="C38" s="97">
        <f>((C34*1000000)/Свод_Экспликация!$D$9*$B$4)/1000</f>
        <v>1471.5699942111173</v>
      </c>
      <c r="D38" s="97">
        <f>((D34*1000000)/Свод_Экспликация!$D$9*$B$4)/1000</f>
        <v>1722.6215777457392</v>
      </c>
      <c r="E38" s="97">
        <f>((E34*1000000)/Свод_Экспликация!$D$9*$B$4)/1000</f>
        <v>1915.7862671893945</v>
      </c>
      <c r="F38" s="97">
        <f>((F34*1000000)/Свод_Экспликация!$D$9*$B$4)/1000</f>
        <v>2064.6528812018269</v>
      </c>
      <c r="G38" s="97">
        <f>((G34*1000000)/Свод_Экспликация!$D$9*$B$4)/1000</f>
        <v>2209.0609634414168</v>
      </c>
      <c r="H38" s="97">
        <f>((H34*1000000)/Свод_Экспликация!$D$9*$B$4)/1000</f>
        <v>2290.2094915725406</v>
      </c>
      <c r="I38" s="97">
        <f>((I34*1000000)/Свод_Экспликация!$D$9*$B$4)/1000</f>
        <v>2344.4238414696883</v>
      </c>
      <c r="J38" s="97">
        <f>((J34*1000000)/Свод_Экспликация!$D$9*$B$4)/1000</f>
        <v>2387.956240980589</v>
      </c>
      <c r="K38" s="97">
        <f>((K34*1000000)/Свод_Экспликация!$D$9*$B$4)/1000</f>
        <v>2418.4287619619054</v>
      </c>
      <c r="L38" s="97">
        <f>((L34*1000000)/Свод_Экспликация!$D$9*$B$4)/1000</f>
        <v>2455.5525196168232</v>
      </c>
      <c r="M38" s="97">
        <f t="shared" ref="M38" si="9">SUM(C38:L38)</f>
        <v>21280.262539391042</v>
      </c>
      <c r="N38" s="97">
        <f t="shared" ref="N38" si="10">AVERAGE(C38:L38)</f>
        <v>2128.0262539391042</v>
      </c>
    </row>
    <row r="39" spans="1:14"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92"/>
      <c r="N39" s="92"/>
    </row>
    <row r="40" spans="1:14">
      <c r="A40" s="58" t="s">
        <v>83</v>
      </c>
      <c r="B40" s="82" t="s">
        <v>126</v>
      </c>
      <c r="C40" s="97">
        <f>(C35*Лист2!B9)+Лист2!B10*Инвест_калькулятор!C36</f>
        <v>190.64029769736842</v>
      </c>
      <c r="D40" s="97">
        <f>(D35*Лист2!C9)+Лист2!C10*Инвест_калькулятор!D36</f>
        <v>217.3521740789474</v>
      </c>
      <c r="E40" s="97">
        <f>(E35*Лист2!D9)+Лист2!D10*Инвест_калькулятор!E36</f>
        <v>232.84714005592107</v>
      </c>
      <c r="F40" s="97">
        <f>(F35*Лист2!E9)+Лист2!E10*Инвест_калькулятор!F36</f>
        <v>243.85749407894735</v>
      </c>
      <c r="G40" s="97">
        <f>(G35*Лист2!F9)+Лист2!F10*Инвест_калькулятор!G36</f>
        <v>261.08298569078949</v>
      </c>
      <c r="H40" s="97">
        <f>(H35*Лист2!G9)+Лист2!G10*Инвест_калькулятор!H36</f>
        <v>270.90983963815785</v>
      </c>
      <c r="I40" s="97">
        <f>(I35*Лист2!H9)+Лист2!H10*Инвест_калькулятор!I36</f>
        <v>277.2570113157895</v>
      </c>
      <c r="J40" s="97">
        <f>(J35*Лист2!I9)+Лист2!I10*Инвест_калькулятор!J36</f>
        <v>282.3230859868421</v>
      </c>
      <c r="K40" s="97">
        <f>(K35*Лист2!J9)+Лист2!J10*Инвест_калькулятор!K36</f>
        <v>285.84020855263157</v>
      </c>
      <c r="L40" s="97">
        <f>(L35*Лист2!K9)+Лист2!K10*Инвест_калькулятор!L36</f>
        <v>290.14029539473688</v>
      </c>
      <c r="M40" s="97">
        <f t="shared" ref="M40" si="11">SUM(C40:L40)</f>
        <v>2552.2505324901317</v>
      </c>
      <c r="N40" s="97">
        <f t="shared" ref="N40:N41" si="12">AVERAGE(C40:L40)</f>
        <v>255.22505324901317</v>
      </c>
    </row>
    <row r="41" spans="1:14">
      <c r="A41" s="58" t="s">
        <v>129</v>
      </c>
      <c r="B41" s="82" t="s">
        <v>128</v>
      </c>
      <c r="C41" s="97">
        <f>(C40/Свод_Экспликация!$D$9*Инвест_калькулятор!$B$4)*1000</f>
        <v>790.03696719365871</v>
      </c>
      <c r="D41" s="97">
        <f>(D40/Свод_Экспликация!$D$9*Инвест_калькулятор!$B$4)*1000</f>
        <v>900.73428596335066</v>
      </c>
      <c r="E41" s="97">
        <f>(E40/Свод_Экспликация!$D$9*Инвест_калькулятор!$B$4)*1000</f>
        <v>964.94734099461232</v>
      </c>
      <c r="F41" s="97">
        <f>(F40/Свод_Экспликация!$D$9*Инвест_калькулятор!$B$4)*1000</f>
        <v>1010.5756095461478</v>
      </c>
      <c r="G41" s="97">
        <f>(G40/Свод_Экспликация!$D$9*Инвест_калькулятор!$B$4)*1000</f>
        <v>1081.9601767956324</v>
      </c>
      <c r="H41" s="97">
        <f>(H40/Свод_Экспликация!$D$9*Инвест_калькулятор!$B$4)*1000</f>
        <v>1122.6838746884998</v>
      </c>
      <c r="I41" s="97">
        <f>(I40/Свод_Экспликация!$D$9*Инвест_калькулятор!$B$4)*1000</f>
        <v>1148.9873389771144</v>
      </c>
      <c r="J41" s="97">
        <f>(J40/Свод_Экспликация!$D$9*Инвест_калькулятор!$B$4)*1000</f>
        <v>1169.9817788570217</v>
      </c>
      <c r="K41" s="97">
        <f>(K40/Свод_Экспликация!$D$9*Инвест_калькулятор!$B$4)*1000</f>
        <v>1184.557169677779</v>
      </c>
      <c r="L41" s="97">
        <f>(L40/Свод_Экспликация!$D$9*Инвест_калькулятор!$B$4)*1000</f>
        <v>1202.3772612766663</v>
      </c>
      <c r="M41" s="97">
        <f t="shared" ref="M41" si="13">SUM(C41:L41)</f>
        <v>10576.841803970483</v>
      </c>
      <c r="N41" s="97">
        <f t="shared" si="12"/>
        <v>1057.6841803970483</v>
      </c>
    </row>
    <row r="42" spans="1:14">
      <c r="B42" s="45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</row>
    <row r="43" spans="1:14">
      <c r="A43" s="58" t="s">
        <v>124</v>
      </c>
      <c r="B43" s="82" t="s">
        <v>128</v>
      </c>
      <c r="C43" s="98">
        <f>(C38-C41)*0.15</f>
        <v>102.22995405261879</v>
      </c>
      <c r="D43" s="98">
        <f t="shared" ref="D43:L43" si="14">(D38-D41)*0.15</f>
        <v>123.28309376735827</v>
      </c>
      <c r="E43" s="98">
        <f t="shared" si="14"/>
        <v>142.62583892921731</v>
      </c>
      <c r="F43" s="98">
        <f t="shared" si="14"/>
        <v>158.11159074835183</v>
      </c>
      <c r="G43" s="98">
        <f t="shared" si="14"/>
        <v>169.06511799686766</v>
      </c>
      <c r="H43" s="98">
        <f t="shared" si="14"/>
        <v>175.12884253260611</v>
      </c>
      <c r="I43" s="98">
        <f t="shared" si="14"/>
        <v>179.31547537388607</v>
      </c>
      <c r="J43" s="98">
        <f t="shared" si="14"/>
        <v>182.69616931853508</v>
      </c>
      <c r="K43" s="98">
        <f t="shared" si="14"/>
        <v>185.08073884261896</v>
      </c>
      <c r="L43" s="98">
        <f t="shared" si="14"/>
        <v>187.97628875102353</v>
      </c>
      <c r="M43" s="98">
        <f>SUM(C43:L43)</f>
        <v>1605.5131103130836</v>
      </c>
      <c r="N43" s="98">
        <f>AVERAGE(C43:L43)</f>
        <v>160.55131103130836</v>
      </c>
    </row>
    <row r="44" spans="1:14">
      <c r="B44" s="45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</row>
    <row r="45" spans="1:14">
      <c r="A45" s="58" t="s">
        <v>125</v>
      </c>
      <c r="B45" s="82" t="s">
        <v>131</v>
      </c>
      <c r="C45" s="91">
        <f>(C38-C41-C43)*1000</f>
        <v>579303.07296483975</v>
      </c>
      <c r="D45" s="91">
        <f t="shared" ref="D45:L45" si="15">(D38-D41-D43)*1000</f>
        <v>698604.19801503024</v>
      </c>
      <c r="E45" s="91">
        <f t="shared" si="15"/>
        <v>808213.08726556483</v>
      </c>
      <c r="F45" s="91">
        <f t="shared" si="15"/>
        <v>895965.68090732722</v>
      </c>
      <c r="G45" s="91">
        <f t="shared" si="15"/>
        <v>958035.66864891676</v>
      </c>
      <c r="H45" s="91">
        <f t="shared" si="15"/>
        <v>992396.77435143467</v>
      </c>
      <c r="I45" s="91">
        <f t="shared" si="15"/>
        <v>1016121.0271186879</v>
      </c>
      <c r="J45" s="91">
        <f t="shared" si="15"/>
        <v>1035278.2928050321</v>
      </c>
      <c r="K45" s="91">
        <f t="shared" si="15"/>
        <v>1048790.8534415073</v>
      </c>
      <c r="L45" s="91">
        <f t="shared" si="15"/>
        <v>1065198.9695891335</v>
      </c>
      <c r="M45" s="91">
        <f>SUM(C45:L45)</f>
        <v>9097907.6251074728</v>
      </c>
      <c r="N45" s="91">
        <f>AVERAGE(C45:L45)</f>
        <v>909790.7625107473</v>
      </c>
    </row>
    <row r="46" spans="1:14">
      <c r="A46" s="58" t="s">
        <v>130</v>
      </c>
      <c r="B46" s="82" t="s">
        <v>119</v>
      </c>
      <c r="C46" s="91">
        <f>C45/12</f>
        <v>48275.256080403313</v>
      </c>
      <c r="D46" s="91">
        <f t="shared" ref="D46:L46" si="16">D45/12</f>
        <v>58217.016501252518</v>
      </c>
      <c r="E46" s="91">
        <f t="shared" si="16"/>
        <v>67351.090605463731</v>
      </c>
      <c r="F46" s="91">
        <f t="shared" si="16"/>
        <v>74663.806742277273</v>
      </c>
      <c r="G46" s="91">
        <f t="shared" si="16"/>
        <v>79836.305720743068</v>
      </c>
      <c r="H46" s="91">
        <f t="shared" si="16"/>
        <v>82699.731195952889</v>
      </c>
      <c r="I46" s="91">
        <f t="shared" si="16"/>
        <v>84676.752259890651</v>
      </c>
      <c r="J46" s="91">
        <f t="shared" si="16"/>
        <v>86273.191067086009</v>
      </c>
      <c r="K46" s="91">
        <f t="shared" si="16"/>
        <v>87399.237786792277</v>
      </c>
      <c r="L46" s="91">
        <f t="shared" si="16"/>
        <v>88766.58079909446</v>
      </c>
      <c r="M46" s="90" t="s">
        <v>71</v>
      </c>
      <c r="N46" s="91">
        <f>AVERAGE(C46:L46)</f>
        <v>75815.896875895603</v>
      </c>
    </row>
    <row r="47" spans="1:14"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</row>
    <row r="48" spans="1:14">
      <c r="A48" s="58" t="s">
        <v>125</v>
      </c>
      <c r="B48" s="109" t="s">
        <v>132</v>
      </c>
      <c r="C48" s="99">
        <f>C45/$B$14</f>
        <v>7.1563035945428122E-2</v>
      </c>
      <c r="D48" s="99">
        <f t="shared" ref="D48:L48" si="17">D45/$B$14</f>
        <v>8.6300659650067044E-2</v>
      </c>
      <c r="E48" s="99">
        <f t="shared" si="17"/>
        <v>9.9840972566464334E-2</v>
      </c>
      <c r="F48" s="99">
        <f t="shared" si="17"/>
        <v>0.11068131211610649</v>
      </c>
      <c r="G48" s="99">
        <f t="shared" si="17"/>
        <v>0.11834900277956212</v>
      </c>
      <c r="H48" s="99">
        <f t="shared" si="17"/>
        <v>0.12259373262352617</v>
      </c>
      <c r="I48" s="99">
        <f t="shared" si="17"/>
        <v>0.12552446030786629</v>
      </c>
      <c r="J48" s="99">
        <f t="shared" si="17"/>
        <v>0.12789101446044746</v>
      </c>
      <c r="K48" s="99">
        <f t="shared" si="17"/>
        <v>0.12956026136706889</v>
      </c>
      <c r="L48" s="99">
        <f t="shared" si="17"/>
        <v>0.13158720487983117</v>
      </c>
      <c r="M48" s="100">
        <f>SUM(C48:L48)</f>
        <v>1.1238916566963681</v>
      </c>
      <c r="N48" s="100">
        <f>AVERAGE(C48:L48)</f>
        <v>0.11238916566963682</v>
      </c>
    </row>
    <row r="49" spans="1:14">
      <c r="A49" s="58" t="s">
        <v>133</v>
      </c>
      <c r="B49" s="109"/>
      <c r="C49" s="65">
        <v>7.0000000000000007E-2</v>
      </c>
      <c r="D49" s="65">
        <v>7.0000000000000007E-2</v>
      </c>
      <c r="E49" s="65">
        <v>7.0000000000000007E-2</v>
      </c>
      <c r="F49" s="65">
        <v>7.0000000000000007E-2</v>
      </c>
      <c r="G49" s="65">
        <v>7.0000000000000007E-2</v>
      </c>
      <c r="H49" s="65">
        <v>7.0000000000000007E-2</v>
      </c>
      <c r="I49" s="65">
        <v>7.0000000000000007E-2</v>
      </c>
      <c r="J49" s="65">
        <v>7.0000000000000007E-2</v>
      </c>
      <c r="K49" s="65">
        <v>7.0000000000000007E-2</v>
      </c>
      <c r="L49" s="65">
        <v>7.0000000000000007E-2</v>
      </c>
      <c r="M49" s="63">
        <f>SUM(C49:L49)</f>
        <v>0.70000000000000018</v>
      </c>
      <c r="N49" s="63">
        <f>AVERAGE(C49:L49)</f>
        <v>7.0000000000000021E-2</v>
      </c>
    </row>
    <row r="51" spans="1:14" ht="15.95" customHeight="1">
      <c r="A51" s="66" t="s">
        <v>137</v>
      </c>
      <c r="B51" s="106" t="s">
        <v>139</v>
      </c>
      <c r="C51" s="64">
        <f ca="1">SUM(C52:C54)</f>
        <v>9473638.0077048354</v>
      </c>
      <c r="D51" s="64">
        <f t="shared" ref="D51:L51" ca="1" si="18">SUM(D52:D54)</f>
        <v>1821532.9339468291</v>
      </c>
      <c r="E51" s="64">
        <f t="shared" ca="1" si="18"/>
        <v>2009746.8347125899</v>
      </c>
      <c r="F51" s="64">
        <f t="shared" ca="1" si="18"/>
        <v>2181606.7906756471</v>
      </c>
      <c r="G51" s="64">
        <f t="shared" ca="1" si="18"/>
        <v>2333671.6561010177</v>
      </c>
      <c r="H51" s="64">
        <f t="shared" ca="1" si="18"/>
        <v>2464327.2809251826</v>
      </c>
      <c r="I51" s="64">
        <f t="shared" ca="1" si="18"/>
        <v>2591086.6691526002</v>
      </c>
      <c r="J51" s="64">
        <f t="shared" ca="1" si="18"/>
        <v>2720491.5297813164</v>
      </c>
      <c r="K51" s="64">
        <f t="shared" ca="1" si="18"/>
        <v>2851969.0170061337</v>
      </c>
      <c r="L51" s="64">
        <f t="shared" ca="1" si="18"/>
        <v>2994599.6046032803</v>
      </c>
      <c r="M51" s="64">
        <f ca="1">SUM(C51:L51)</f>
        <v>31442670.324609429</v>
      </c>
      <c r="N51" s="64">
        <f ca="1">AVERAGE(C51:L51)</f>
        <v>3144267.0324609429</v>
      </c>
    </row>
    <row r="52" spans="1:14">
      <c r="A52" s="62" t="s">
        <v>138</v>
      </c>
      <c r="B52" s="107"/>
      <c r="C52" s="60">
        <f ca="1">Доходность!B44</f>
        <v>7844868.8263925174</v>
      </c>
      <c r="D52" s="60" t="s">
        <v>71</v>
      </c>
      <c r="E52" s="60" t="s">
        <v>71</v>
      </c>
      <c r="F52" s="60" t="s">
        <v>71</v>
      </c>
      <c r="G52" s="60" t="s">
        <v>71</v>
      </c>
      <c r="H52" s="60" t="s">
        <v>71</v>
      </c>
      <c r="I52" s="60" t="s">
        <v>71</v>
      </c>
      <c r="J52" s="60" t="s">
        <v>71</v>
      </c>
      <c r="K52" s="60" t="s">
        <v>71</v>
      </c>
      <c r="L52" s="60" t="s">
        <v>71</v>
      </c>
      <c r="M52" s="60">
        <f t="shared" ref="M52:M54" ca="1" si="19">SUM(C52:L52)</f>
        <v>7844868.8263925174</v>
      </c>
      <c r="N52" s="60">
        <f t="shared" ref="N52:N54" ca="1" si="20">AVERAGE(C52:L52)</f>
        <v>7844868.8263925174</v>
      </c>
    </row>
    <row r="53" spans="1:14">
      <c r="A53" s="62" t="s">
        <v>125</v>
      </c>
      <c r="B53" s="107"/>
      <c r="C53" s="60">
        <f>C45</f>
        <v>579303.07296483975</v>
      </c>
      <c r="D53" s="60">
        <f t="shared" ref="D53:L53" si="21">D45</f>
        <v>698604.19801503024</v>
      </c>
      <c r="E53" s="60">
        <f t="shared" si="21"/>
        <v>808213.08726556483</v>
      </c>
      <c r="F53" s="60">
        <f t="shared" si="21"/>
        <v>895965.68090732722</v>
      </c>
      <c r="G53" s="60">
        <f t="shared" si="21"/>
        <v>958035.66864891676</v>
      </c>
      <c r="H53" s="60">
        <f t="shared" si="21"/>
        <v>992396.77435143467</v>
      </c>
      <c r="I53" s="60">
        <f t="shared" si="21"/>
        <v>1016121.0271186879</v>
      </c>
      <c r="J53" s="60">
        <f t="shared" si="21"/>
        <v>1035278.2928050321</v>
      </c>
      <c r="K53" s="60">
        <f t="shared" si="21"/>
        <v>1048790.8534415073</v>
      </c>
      <c r="L53" s="60">
        <f t="shared" si="21"/>
        <v>1065198.9695891335</v>
      </c>
      <c r="M53" s="60">
        <f t="shared" si="19"/>
        <v>9097907.6251074728</v>
      </c>
      <c r="N53" s="60">
        <f t="shared" si="20"/>
        <v>909790.7625107473</v>
      </c>
    </row>
    <row r="54" spans="1:14">
      <c r="A54" s="62" t="s">
        <v>133</v>
      </c>
      <c r="B54" s="108"/>
      <c r="C54" s="60">
        <f ca="1">VLOOKUP(C$20,Доходность!$D$3:$F$12,3,FALSE)</f>
        <v>1049466.1083474774</v>
      </c>
      <c r="D54" s="60">
        <f ca="1">VLOOKUP(D$20,Доходность!$D$3:$F$12,3,FALSE)</f>
        <v>1122928.7359317988</v>
      </c>
      <c r="E54" s="60">
        <f ca="1">VLOOKUP(E$20,Доходность!$D$3:$F$12,3,FALSE)</f>
        <v>1201533.747447025</v>
      </c>
      <c r="F54" s="60">
        <f ca="1">VLOOKUP(F$20,Доходность!$D$3:$F$12,3,FALSE)</f>
        <v>1285641.1097683199</v>
      </c>
      <c r="G54" s="60">
        <f ca="1">VLOOKUP(G$20,Доходность!$D$3:$F$12,3,FALSE)</f>
        <v>1375635.987452101</v>
      </c>
      <c r="H54" s="60">
        <f ca="1">VLOOKUP(H$20,Доходность!$D$3:$F$12,3,FALSE)</f>
        <v>1471930.5065737478</v>
      </c>
      <c r="I54" s="60">
        <f ca="1">VLOOKUP(I$20,Доходность!$D$3:$F$12,3,FALSE)</f>
        <v>1574965.6420339122</v>
      </c>
      <c r="J54" s="60">
        <f ca="1">VLOOKUP(J$20,Доходность!$D$3:$F$12,3,FALSE)</f>
        <v>1685213.2369762845</v>
      </c>
      <c r="K54" s="60">
        <f ca="1">VLOOKUP(K$20,Доходность!$D$3:$F$12,3,FALSE)</f>
        <v>1803178.1635646261</v>
      </c>
      <c r="L54" s="60">
        <f ca="1">VLOOKUP(L$20,Доходность!$D$3:$F$12,3,FALSE)</f>
        <v>1929400.6350141466</v>
      </c>
      <c r="M54" s="60">
        <f t="shared" ca="1" si="19"/>
        <v>14499893.873109439</v>
      </c>
      <c r="N54" s="60">
        <f t="shared" ca="1" si="20"/>
        <v>1449989.387310944</v>
      </c>
    </row>
    <row r="55" spans="1:14" ht="13.5" thickBot="1"/>
    <row r="56" spans="1:14" ht="13.5" thickBot="1">
      <c r="A56" s="110" t="s">
        <v>137</v>
      </c>
      <c r="B56" s="67" t="s">
        <v>140</v>
      </c>
      <c r="C56" s="68">
        <f ca="1">C51/$B$14</f>
        <v>1.1703067511960246</v>
      </c>
      <c r="D56" s="69">
        <f t="shared" ref="D56:L56" ca="1" si="22">D51/$B$14</f>
        <v>0.22501939470245105</v>
      </c>
      <c r="E56" s="69">
        <f t="shared" ca="1" si="22"/>
        <v>0.24827001907251522</v>
      </c>
      <c r="F56" s="69">
        <f t="shared" ca="1" si="22"/>
        <v>0.26950039187758135</v>
      </c>
      <c r="G56" s="69">
        <f t="shared" ca="1" si="22"/>
        <v>0.28828541812434005</v>
      </c>
      <c r="H56" s="69">
        <f t="shared" ca="1" si="22"/>
        <v>0.30442569704243855</v>
      </c>
      <c r="I56" s="69">
        <f t="shared" ca="1" si="22"/>
        <v>0.32008466223610277</v>
      </c>
      <c r="J56" s="69">
        <f t="shared" ca="1" si="22"/>
        <v>0.33607043052366026</v>
      </c>
      <c r="K56" s="69">
        <f t="shared" ca="1" si="22"/>
        <v>0.35231223655470689</v>
      </c>
      <c r="L56" s="69">
        <f t="shared" ca="1" si="22"/>
        <v>0.3699318183306034</v>
      </c>
      <c r="M56" s="70">
        <f ca="1">SUM(C56:L56)</f>
        <v>3.8842068196604242</v>
      </c>
      <c r="N56" s="71">
        <f ca="1">AVERAGE(C56:L56)</f>
        <v>0.3884206819660424</v>
      </c>
    </row>
  </sheetData>
  <mergeCells count="6">
    <mergeCell ref="B51:B54"/>
    <mergeCell ref="B22:B24"/>
    <mergeCell ref="B26:B28"/>
    <mergeCell ref="B30:B31"/>
    <mergeCell ref="B34:B36"/>
    <mergeCell ref="B48:B4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OFFSET(Раб.лист_калк!$A$1,1,0,Раб.лист_калк!$B$1,1)</xm:f>
          </x14:formula1>
          <xm:sqref>B1</xm:sqref>
        </x14:dataValidation>
      </x14:dataValidation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topLeftCell="A190" zoomScale="110" zoomScaleNormal="110" workbookViewId="0">
      <selection activeCell="H210" sqref="A210:H210"/>
    </sheetView>
  </sheetViews>
  <sheetFormatPr defaultColWidth="10.875" defaultRowHeight="12.75"/>
  <cols>
    <col min="1" max="4" width="10.875" style="45"/>
    <col min="5" max="5" width="28.5" style="45" customWidth="1"/>
    <col min="6" max="7" width="17" style="72" customWidth="1"/>
    <col min="8" max="8" width="16.625" style="72" customWidth="1"/>
    <col min="9" max="9" width="25.875" style="45" bestFit="1" customWidth="1"/>
    <col min="10" max="11" width="10.875" style="45"/>
    <col min="12" max="12" width="14" style="73" customWidth="1"/>
    <col min="13" max="13" width="19.875" style="73" customWidth="1"/>
    <col min="14" max="16" width="19.875" style="45" customWidth="1"/>
    <col min="17" max="16384" width="10.875" style="45"/>
  </cols>
  <sheetData>
    <row r="1" spans="1:16" s="51" customFormat="1" ht="25.5">
      <c r="A1" s="61" t="s">
        <v>0</v>
      </c>
      <c r="B1" s="61" t="s">
        <v>3</v>
      </c>
      <c r="C1" s="61" t="s">
        <v>1</v>
      </c>
      <c r="D1" s="61" t="s">
        <v>2</v>
      </c>
      <c r="E1" s="61" t="s">
        <v>4</v>
      </c>
      <c r="F1" s="74" t="s">
        <v>5</v>
      </c>
      <c r="G1" s="74" t="s">
        <v>6</v>
      </c>
      <c r="H1" s="74" t="s">
        <v>7</v>
      </c>
      <c r="I1" s="61" t="s">
        <v>8</v>
      </c>
      <c r="J1" s="61" t="s">
        <v>9</v>
      </c>
      <c r="K1" s="61" t="s">
        <v>89</v>
      </c>
      <c r="L1" s="75" t="s">
        <v>93</v>
      </c>
      <c r="M1" s="75" t="s">
        <v>94</v>
      </c>
      <c r="N1" s="75" t="s">
        <v>97</v>
      </c>
      <c r="O1" s="75" t="s">
        <v>98</v>
      </c>
      <c r="P1" s="75" t="s">
        <v>99</v>
      </c>
    </row>
    <row r="2" spans="1:16">
      <c r="A2" s="59">
        <v>1</v>
      </c>
      <c r="B2" s="59">
        <v>301</v>
      </c>
      <c r="C2" s="59">
        <v>3</v>
      </c>
      <c r="D2" s="59">
        <v>1</v>
      </c>
      <c r="E2" s="59" t="s">
        <v>10</v>
      </c>
      <c r="F2" s="76">
        <f>H2-G2</f>
        <v>41.67</v>
      </c>
      <c r="G2" s="76">
        <v>5.96</v>
      </c>
      <c r="H2" s="77">
        <f>L2</f>
        <v>47.63</v>
      </c>
      <c r="I2" s="59" t="s">
        <v>11</v>
      </c>
      <c r="J2" s="59" t="s">
        <v>12</v>
      </c>
      <c r="K2" s="59" t="s">
        <v>151</v>
      </c>
      <c r="L2" s="78">
        <f>VLOOKUP(D2,Worksheet!$A$2:$I$245,4,FALSE)</f>
        <v>47.63</v>
      </c>
      <c r="M2" s="79">
        <v>214151</v>
      </c>
      <c r="N2" s="80"/>
      <c r="O2" s="80"/>
      <c r="P2" s="81">
        <f>SUM(M2:O2)*L2</f>
        <v>10200012.130000001</v>
      </c>
    </row>
    <row r="3" spans="1:16">
      <c r="A3" s="59">
        <v>2</v>
      </c>
      <c r="B3" s="59">
        <v>302</v>
      </c>
      <c r="C3" s="59">
        <v>3</v>
      </c>
      <c r="D3" s="59">
        <v>2</v>
      </c>
      <c r="E3" s="59" t="s">
        <v>13</v>
      </c>
      <c r="F3" s="76">
        <f>H3-G3</f>
        <v>16.02</v>
      </c>
      <c r="G3" s="76">
        <v>2.75</v>
      </c>
      <c r="H3" s="77">
        <f t="shared" ref="H3:H66" si="0">L3</f>
        <v>18.77</v>
      </c>
      <c r="I3" s="59" t="s">
        <v>11</v>
      </c>
      <c r="J3" s="59" t="s">
        <v>12</v>
      </c>
      <c r="K3" s="59" t="s">
        <v>95</v>
      </c>
      <c r="L3" s="78">
        <f>VLOOKUP(D3,Worksheet!$A$2:$I$245,4,FALSE)</f>
        <v>18.77</v>
      </c>
      <c r="M3" s="79">
        <v>282365</v>
      </c>
      <c r="N3" s="80"/>
      <c r="O3" s="80"/>
      <c r="P3" s="81">
        <f t="shared" ref="P3:P66" si="1">SUM(M3:O3)*L3</f>
        <v>5299991.05</v>
      </c>
    </row>
    <row r="4" spans="1:16">
      <c r="A4" s="59">
        <v>3</v>
      </c>
      <c r="B4" s="59">
        <v>303</v>
      </c>
      <c r="C4" s="59">
        <v>3</v>
      </c>
      <c r="D4" s="59">
        <v>3</v>
      </c>
      <c r="E4" s="59" t="s">
        <v>13</v>
      </c>
      <c r="F4" s="76">
        <f>H4-G4</f>
        <v>16.03</v>
      </c>
      <c r="G4" s="76">
        <v>2.82</v>
      </c>
      <c r="H4" s="77">
        <f t="shared" si="0"/>
        <v>18.850000000000001</v>
      </c>
      <c r="I4" s="59" t="s">
        <v>11</v>
      </c>
      <c r="J4" s="59" t="s">
        <v>12</v>
      </c>
      <c r="K4" s="59" t="s">
        <v>92</v>
      </c>
      <c r="L4" s="78">
        <f>VLOOKUP(D4,Worksheet!$A$2:$I$245,4,FALSE)</f>
        <v>18.850000000000001</v>
      </c>
      <c r="M4" s="79">
        <v>251353</v>
      </c>
      <c r="N4" s="80"/>
      <c r="O4" s="80"/>
      <c r="P4" s="81">
        <f t="shared" si="1"/>
        <v>4738004.0500000007</v>
      </c>
    </row>
    <row r="5" spans="1:16">
      <c r="A5" s="59">
        <v>4</v>
      </c>
      <c r="B5" s="59">
        <v>304</v>
      </c>
      <c r="C5" s="59">
        <v>3</v>
      </c>
      <c r="D5" s="59">
        <v>4</v>
      </c>
      <c r="E5" s="59" t="s">
        <v>13</v>
      </c>
      <c r="F5" s="76">
        <f t="shared" ref="F5:F68" si="2">H5-G5</f>
        <v>16.060000000000002</v>
      </c>
      <c r="G5" s="76">
        <v>2.74</v>
      </c>
      <c r="H5" s="77">
        <f t="shared" si="0"/>
        <v>18.8</v>
      </c>
      <c r="I5" s="59" t="s">
        <v>11</v>
      </c>
      <c r="J5" s="59" t="s">
        <v>12</v>
      </c>
      <c r="K5" s="59" t="s">
        <v>95</v>
      </c>
      <c r="L5" s="78">
        <f>VLOOKUP(D5,Worksheet!$A$2:$I$245,4,FALSE)</f>
        <v>18.8</v>
      </c>
      <c r="M5" s="79">
        <v>281915</v>
      </c>
      <c r="N5" s="80"/>
      <c r="O5" s="80"/>
      <c r="P5" s="81">
        <f t="shared" si="1"/>
        <v>5300002</v>
      </c>
    </row>
    <row r="6" spans="1:16">
      <c r="A6" s="59">
        <v>5</v>
      </c>
      <c r="B6" s="59">
        <v>305</v>
      </c>
      <c r="C6" s="59">
        <v>3</v>
      </c>
      <c r="D6" s="59">
        <v>5</v>
      </c>
      <c r="E6" s="59" t="s">
        <v>13</v>
      </c>
      <c r="F6" s="76">
        <f t="shared" si="2"/>
        <v>16.05</v>
      </c>
      <c r="G6" s="76">
        <v>2.82</v>
      </c>
      <c r="H6" s="77">
        <f t="shared" si="0"/>
        <v>18.87</v>
      </c>
      <c r="I6" s="59" t="s">
        <v>11</v>
      </c>
      <c r="J6" s="59" t="s">
        <v>12</v>
      </c>
      <c r="K6" s="59" t="s">
        <v>95</v>
      </c>
      <c r="L6" s="78">
        <f>VLOOKUP(D6,Worksheet!$A$2:$I$245,4,FALSE)</f>
        <v>18.87</v>
      </c>
      <c r="M6" s="79">
        <v>286169</v>
      </c>
      <c r="N6" s="80"/>
      <c r="O6" s="80"/>
      <c r="P6" s="81">
        <f t="shared" si="1"/>
        <v>5400009.0300000003</v>
      </c>
    </row>
    <row r="7" spans="1:16">
      <c r="A7" s="59">
        <v>6</v>
      </c>
      <c r="B7" s="59">
        <v>306</v>
      </c>
      <c r="C7" s="59">
        <v>3</v>
      </c>
      <c r="D7" s="59">
        <v>6</v>
      </c>
      <c r="E7" s="59" t="s">
        <v>13</v>
      </c>
      <c r="F7" s="76">
        <f t="shared" si="2"/>
        <v>16.05</v>
      </c>
      <c r="G7" s="76">
        <v>2.82</v>
      </c>
      <c r="H7" s="77">
        <f t="shared" si="0"/>
        <v>18.87</v>
      </c>
      <c r="I7" s="59" t="s">
        <v>11</v>
      </c>
      <c r="J7" s="59" t="s">
        <v>12</v>
      </c>
      <c r="K7" s="59" t="s">
        <v>95</v>
      </c>
      <c r="L7" s="78">
        <f>VLOOKUP(D7,Worksheet!$A$2:$I$245,4,FALSE)</f>
        <v>18.87</v>
      </c>
      <c r="M7" s="79">
        <v>286169</v>
      </c>
      <c r="N7" s="80"/>
      <c r="O7" s="80"/>
      <c r="P7" s="81">
        <f t="shared" si="1"/>
        <v>5400009.0300000003</v>
      </c>
    </row>
    <row r="8" spans="1:16">
      <c r="A8" s="59">
        <v>7</v>
      </c>
      <c r="B8" s="59">
        <v>307</v>
      </c>
      <c r="C8" s="59">
        <v>3</v>
      </c>
      <c r="D8" s="59">
        <v>7</v>
      </c>
      <c r="E8" s="59" t="s">
        <v>13</v>
      </c>
      <c r="F8" s="76">
        <f t="shared" si="2"/>
        <v>16.059999999999999</v>
      </c>
      <c r="G8" s="76">
        <v>2.96</v>
      </c>
      <c r="H8" s="77">
        <f t="shared" si="0"/>
        <v>19.02</v>
      </c>
      <c r="I8" s="59" t="s">
        <v>11</v>
      </c>
      <c r="J8" s="59" t="s">
        <v>12</v>
      </c>
      <c r="K8" s="59" t="s">
        <v>92</v>
      </c>
      <c r="L8" s="78">
        <f>VLOOKUP(D8,Worksheet!$A$2:$I$245,4,FALSE)</f>
        <v>19.02</v>
      </c>
      <c r="M8" s="79">
        <v>268139</v>
      </c>
      <c r="N8" s="80"/>
      <c r="O8" s="80"/>
      <c r="P8" s="81">
        <f t="shared" si="1"/>
        <v>5100003.78</v>
      </c>
    </row>
    <row r="9" spans="1:16">
      <c r="A9" s="59">
        <v>8</v>
      </c>
      <c r="B9" s="59">
        <v>308</v>
      </c>
      <c r="C9" s="59">
        <v>3</v>
      </c>
      <c r="D9" s="59">
        <v>8</v>
      </c>
      <c r="E9" s="59" t="s">
        <v>10</v>
      </c>
      <c r="F9" s="76">
        <f t="shared" si="2"/>
        <v>24.63</v>
      </c>
      <c r="G9" s="76">
        <v>6.07</v>
      </c>
      <c r="H9" s="77">
        <f t="shared" si="0"/>
        <v>30.7</v>
      </c>
      <c r="I9" s="59" t="s">
        <v>11</v>
      </c>
      <c r="J9" s="59" t="s">
        <v>12</v>
      </c>
      <c r="K9" s="59" t="s">
        <v>92</v>
      </c>
      <c r="L9" s="78">
        <f>VLOOKUP(D9,Worksheet!$A$2:$I$245,4,FALSE)</f>
        <v>30.7</v>
      </c>
      <c r="M9" s="79">
        <v>231270</v>
      </c>
      <c r="N9" s="80"/>
      <c r="O9" s="80"/>
      <c r="P9" s="81">
        <f t="shared" si="1"/>
        <v>7099989</v>
      </c>
    </row>
    <row r="10" spans="1:16">
      <c r="A10" s="59">
        <v>9</v>
      </c>
      <c r="B10" s="59">
        <v>309</v>
      </c>
      <c r="C10" s="59">
        <v>3</v>
      </c>
      <c r="D10" s="59">
        <v>9</v>
      </c>
      <c r="E10" s="59" t="s">
        <v>13</v>
      </c>
      <c r="F10" s="76">
        <f t="shared" si="2"/>
        <v>16.02</v>
      </c>
      <c r="G10" s="76">
        <v>2.89</v>
      </c>
      <c r="H10" s="77">
        <f t="shared" si="0"/>
        <v>18.91</v>
      </c>
      <c r="I10" s="59" t="s">
        <v>11</v>
      </c>
      <c r="J10" s="59" t="s">
        <v>12</v>
      </c>
      <c r="K10" s="59" t="s">
        <v>92</v>
      </c>
      <c r="L10" s="78">
        <f>VLOOKUP(D10,Worksheet!$A$2:$I$245,4,FALSE)</f>
        <v>18.91</v>
      </c>
      <c r="M10" s="79">
        <v>274987</v>
      </c>
      <c r="N10" s="80"/>
      <c r="O10" s="80"/>
      <c r="P10" s="81">
        <f t="shared" si="1"/>
        <v>5200004.17</v>
      </c>
    </row>
    <row r="11" spans="1:16">
      <c r="A11" s="59">
        <v>10</v>
      </c>
      <c r="B11" s="59">
        <v>310</v>
      </c>
      <c r="C11" s="59">
        <v>3</v>
      </c>
      <c r="D11" s="59">
        <v>10</v>
      </c>
      <c r="E11" s="59" t="s">
        <v>13</v>
      </c>
      <c r="F11" s="76">
        <f t="shared" si="2"/>
        <v>16.02</v>
      </c>
      <c r="G11" s="76">
        <v>2.97</v>
      </c>
      <c r="H11" s="77">
        <f t="shared" si="0"/>
        <v>18.989999999999998</v>
      </c>
      <c r="I11" s="59" t="s">
        <v>11</v>
      </c>
      <c r="J11" s="59" t="s">
        <v>12</v>
      </c>
      <c r="K11" s="59" t="s">
        <v>92</v>
      </c>
      <c r="L11" s="78">
        <f>VLOOKUP(D11,Worksheet!$A$2:$I$245,4,FALSE)</f>
        <v>18.989999999999998</v>
      </c>
      <c r="M11" s="79">
        <v>273828</v>
      </c>
      <c r="N11" s="80"/>
      <c r="O11" s="80"/>
      <c r="P11" s="81">
        <f t="shared" si="1"/>
        <v>5199993.72</v>
      </c>
    </row>
    <row r="12" spans="1:16">
      <c r="A12" s="59">
        <v>11</v>
      </c>
      <c r="B12" s="59">
        <v>311</v>
      </c>
      <c r="C12" s="59">
        <v>3</v>
      </c>
      <c r="D12" s="59">
        <v>11</v>
      </c>
      <c r="E12" s="59" t="s">
        <v>13</v>
      </c>
      <c r="F12" s="76">
        <f t="shared" si="2"/>
        <v>16.029999999999998</v>
      </c>
      <c r="G12" s="76">
        <v>2.96</v>
      </c>
      <c r="H12" s="77">
        <f t="shared" si="0"/>
        <v>18.989999999999998</v>
      </c>
      <c r="I12" s="59" t="s">
        <v>11</v>
      </c>
      <c r="J12" s="59" t="s">
        <v>12</v>
      </c>
      <c r="K12" s="59" t="s">
        <v>92</v>
      </c>
      <c r="L12" s="78">
        <f>VLOOKUP(D12,Worksheet!$A$2:$I$245,4,FALSE)</f>
        <v>18.989999999999998</v>
      </c>
      <c r="M12" s="79">
        <v>273828</v>
      </c>
      <c r="N12" s="80"/>
      <c r="O12" s="80"/>
      <c r="P12" s="81">
        <f t="shared" si="1"/>
        <v>5199993.72</v>
      </c>
    </row>
    <row r="13" spans="1:16">
      <c r="A13" s="59">
        <v>12</v>
      </c>
      <c r="B13" s="59">
        <v>312</v>
      </c>
      <c r="C13" s="59">
        <v>3</v>
      </c>
      <c r="D13" s="59">
        <v>12</v>
      </c>
      <c r="E13" s="59" t="s">
        <v>13</v>
      </c>
      <c r="F13" s="76">
        <f t="shared" si="2"/>
        <v>16.029999999999998</v>
      </c>
      <c r="G13" s="76">
        <v>2.96</v>
      </c>
      <c r="H13" s="77">
        <f t="shared" si="0"/>
        <v>18.989999999999998</v>
      </c>
      <c r="I13" s="59" t="s">
        <v>11</v>
      </c>
      <c r="J13" s="59" t="s">
        <v>12</v>
      </c>
      <c r="K13" s="59" t="s">
        <v>92</v>
      </c>
      <c r="L13" s="78">
        <f>VLOOKUP(D13,Worksheet!$A$2:$I$245,4,FALSE)</f>
        <v>18.989999999999998</v>
      </c>
      <c r="M13" s="79">
        <v>273828</v>
      </c>
      <c r="N13" s="80"/>
      <c r="O13" s="80"/>
      <c r="P13" s="81">
        <f t="shared" si="1"/>
        <v>5199993.72</v>
      </c>
    </row>
    <row r="14" spans="1:16">
      <c r="A14" s="59">
        <v>13</v>
      </c>
      <c r="B14" s="59">
        <v>313</v>
      </c>
      <c r="C14" s="59">
        <v>3</v>
      </c>
      <c r="D14" s="59">
        <v>13</v>
      </c>
      <c r="E14" s="59" t="s">
        <v>13</v>
      </c>
      <c r="F14" s="76">
        <f t="shared" si="2"/>
        <v>16.02</v>
      </c>
      <c r="G14" s="76">
        <v>2.89</v>
      </c>
      <c r="H14" s="77">
        <f t="shared" si="0"/>
        <v>18.91</v>
      </c>
      <c r="I14" s="59" t="s">
        <v>11</v>
      </c>
      <c r="J14" s="59" t="s">
        <v>12</v>
      </c>
      <c r="K14" s="59" t="s">
        <v>92</v>
      </c>
      <c r="L14" s="78">
        <f>VLOOKUP(D14,Worksheet!$A$2:$I$245,4,FALSE)</f>
        <v>18.91</v>
      </c>
      <c r="M14" s="79">
        <v>280275</v>
      </c>
      <c r="N14" s="80"/>
      <c r="O14" s="80"/>
      <c r="P14" s="81">
        <f t="shared" si="1"/>
        <v>5300000.25</v>
      </c>
    </row>
    <row r="15" spans="1:16">
      <c r="A15" s="59">
        <v>14</v>
      </c>
      <c r="B15" s="59">
        <v>314</v>
      </c>
      <c r="C15" s="59">
        <v>3</v>
      </c>
      <c r="D15" s="59">
        <v>14</v>
      </c>
      <c r="E15" s="59" t="s">
        <v>10</v>
      </c>
      <c r="F15" s="76">
        <f t="shared" si="2"/>
        <v>32.58</v>
      </c>
      <c r="G15" s="76">
        <v>6.17</v>
      </c>
      <c r="H15" s="77">
        <f t="shared" si="0"/>
        <v>38.75</v>
      </c>
      <c r="I15" s="59" t="s">
        <v>11</v>
      </c>
      <c r="J15" s="59" t="s">
        <v>12</v>
      </c>
      <c r="K15" s="59" t="s">
        <v>95</v>
      </c>
      <c r="L15" s="78">
        <f>VLOOKUP(D15,Worksheet!$A$2:$I$245,4,FALSE)</f>
        <v>38.75</v>
      </c>
      <c r="M15" s="79">
        <v>247742</v>
      </c>
      <c r="N15" s="80"/>
      <c r="O15" s="80"/>
      <c r="P15" s="81">
        <f t="shared" si="1"/>
        <v>9600002.5</v>
      </c>
    </row>
    <row r="16" spans="1:16">
      <c r="A16" s="59">
        <v>15</v>
      </c>
      <c r="B16" s="59">
        <v>315</v>
      </c>
      <c r="C16" s="59">
        <v>3</v>
      </c>
      <c r="D16" s="59">
        <v>15</v>
      </c>
      <c r="E16" s="59" t="s">
        <v>14</v>
      </c>
      <c r="F16" s="76">
        <f t="shared" si="2"/>
        <v>40.96</v>
      </c>
      <c r="G16" s="76">
        <v>9.1300000000000008</v>
      </c>
      <c r="H16" s="77">
        <f t="shared" si="0"/>
        <v>50.09</v>
      </c>
      <c r="I16" s="59" t="s">
        <v>11</v>
      </c>
      <c r="J16" s="59" t="s">
        <v>12</v>
      </c>
      <c r="K16" s="59" t="s">
        <v>95</v>
      </c>
      <c r="L16" s="78">
        <f>VLOOKUP(D16,Worksheet!$A$2:$I$245,4,FALSE)</f>
        <v>50.09</v>
      </c>
      <c r="M16" s="79">
        <v>265522</v>
      </c>
      <c r="N16" s="80"/>
      <c r="O16" s="80"/>
      <c r="P16" s="81">
        <f t="shared" si="1"/>
        <v>13299996.98</v>
      </c>
    </row>
    <row r="17" spans="1:16">
      <c r="A17" s="59">
        <v>16</v>
      </c>
      <c r="B17" s="59">
        <v>316</v>
      </c>
      <c r="C17" s="59">
        <v>3</v>
      </c>
      <c r="D17" s="59">
        <v>16</v>
      </c>
      <c r="E17" s="59" t="s">
        <v>14</v>
      </c>
      <c r="F17" s="76">
        <f t="shared" si="2"/>
        <v>41</v>
      </c>
      <c r="G17" s="76">
        <v>9.1300000000000008</v>
      </c>
      <c r="H17" s="77">
        <f t="shared" si="0"/>
        <v>50.13</v>
      </c>
      <c r="I17" s="59" t="s">
        <v>11</v>
      </c>
      <c r="J17" s="59" t="s">
        <v>12</v>
      </c>
      <c r="K17" s="59" t="s">
        <v>95</v>
      </c>
      <c r="L17" s="78">
        <f>VLOOKUP(D17,Worksheet!$A$2:$I$245,4,FALSE)</f>
        <v>50.13</v>
      </c>
      <c r="M17" s="79">
        <v>265310</v>
      </c>
      <c r="N17" s="80"/>
      <c r="O17" s="80"/>
      <c r="P17" s="81">
        <f t="shared" si="1"/>
        <v>13299990.300000001</v>
      </c>
    </row>
    <row r="18" spans="1:16">
      <c r="A18" s="59">
        <v>17</v>
      </c>
      <c r="B18" s="59">
        <v>317</v>
      </c>
      <c r="C18" s="59">
        <v>3</v>
      </c>
      <c r="D18" s="59">
        <v>17</v>
      </c>
      <c r="E18" s="59" t="s">
        <v>13</v>
      </c>
      <c r="F18" s="76">
        <f t="shared" si="2"/>
        <v>15.75</v>
      </c>
      <c r="G18" s="76">
        <v>2.96</v>
      </c>
      <c r="H18" s="77">
        <f t="shared" si="0"/>
        <v>18.71</v>
      </c>
      <c r="I18" s="59" t="s">
        <v>11</v>
      </c>
      <c r="J18" s="59" t="s">
        <v>12</v>
      </c>
      <c r="K18" s="59" t="s">
        <v>92</v>
      </c>
      <c r="L18" s="78">
        <f>VLOOKUP(D18,Worksheet!$A$2:$I$245,4,FALSE)</f>
        <v>18.71</v>
      </c>
      <c r="M18" s="79">
        <v>269909</v>
      </c>
      <c r="N18" s="80"/>
      <c r="O18" s="80"/>
      <c r="P18" s="81">
        <f t="shared" si="1"/>
        <v>5049997.3900000006</v>
      </c>
    </row>
    <row r="19" spans="1:16">
      <c r="A19" s="59">
        <v>18</v>
      </c>
      <c r="B19" s="59">
        <v>318</v>
      </c>
      <c r="C19" s="59">
        <v>3</v>
      </c>
      <c r="D19" s="59">
        <v>18</v>
      </c>
      <c r="E19" s="59" t="s">
        <v>13</v>
      </c>
      <c r="F19" s="76">
        <f t="shared" si="2"/>
        <v>15.969999999999999</v>
      </c>
      <c r="G19" s="76">
        <v>2.96</v>
      </c>
      <c r="H19" s="77">
        <f t="shared" si="0"/>
        <v>18.93</v>
      </c>
      <c r="I19" s="59" t="s">
        <v>11</v>
      </c>
      <c r="J19" s="59" t="s">
        <v>12</v>
      </c>
      <c r="K19" s="59" t="s">
        <v>92</v>
      </c>
      <c r="L19" s="78">
        <f>VLOOKUP(D19,Worksheet!$A$2:$I$245,4,FALSE)</f>
        <v>18.93</v>
      </c>
      <c r="M19" s="79">
        <v>266772</v>
      </c>
      <c r="N19" s="80"/>
      <c r="O19" s="80"/>
      <c r="P19" s="81">
        <f t="shared" si="1"/>
        <v>5049993.96</v>
      </c>
    </row>
    <row r="20" spans="1:16">
      <c r="A20" s="59">
        <v>19</v>
      </c>
      <c r="B20" s="59">
        <v>319</v>
      </c>
      <c r="C20" s="59">
        <v>3</v>
      </c>
      <c r="D20" s="59">
        <v>19</v>
      </c>
      <c r="E20" s="59" t="s">
        <v>13</v>
      </c>
      <c r="F20" s="76">
        <f t="shared" si="2"/>
        <v>16.03</v>
      </c>
      <c r="G20" s="76">
        <v>2.88</v>
      </c>
      <c r="H20" s="77">
        <f t="shared" si="0"/>
        <v>18.91</v>
      </c>
      <c r="I20" s="59" t="s">
        <v>11</v>
      </c>
      <c r="J20" s="59" t="s">
        <v>12</v>
      </c>
      <c r="K20" s="59" t="s">
        <v>92</v>
      </c>
      <c r="L20" s="78">
        <f>VLOOKUP(D20,Worksheet!$A$2:$I$245,4,FALSE)</f>
        <v>18.91</v>
      </c>
      <c r="M20" s="79">
        <v>259122</v>
      </c>
      <c r="N20" s="80"/>
      <c r="O20" s="80"/>
      <c r="P20" s="81">
        <f t="shared" si="1"/>
        <v>4899997.0200000005</v>
      </c>
    </row>
    <row r="21" spans="1:16">
      <c r="A21" s="59">
        <v>20</v>
      </c>
      <c r="B21" s="59">
        <v>320</v>
      </c>
      <c r="C21" s="59">
        <v>3</v>
      </c>
      <c r="D21" s="59">
        <v>20</v>
      </c>
      <c r="E21" s="59" t="s">
        <v>13</v>
      </c>
      <c r="F21" s="76">
        <f t="shared" si="2"/>
        <v>16.029999999999998</v>
      </c>
      <c r="G21" s="76">
        <v>2.96</v>
      </c>
      <c r="H21" s="77">
        <f t="shared" si="0"/>
        <v>18.989999999999998</v>
      </c>
      <c r="I21" s="59" t="s">
        <v>11</v>
      </c>
      <c r="J21" s="59" t="s">
        <v>12</v>
      </c>
      <c r="K21" s="59" t="s">
        <v>92</v>
      </c>
      <c r="L21" s="78">
        <f>VLOOKUP(D21,Worksheet!$A$2:$I$245,4,FALSE)</f>
        <v>18.989999999999998</v>
      </c>
      <c r="M21" s="79">
        <v>260348</v>
      </c>
      <c r="N21" s="80"/>
      <c r="O21" s="80"/>
      <c r="P21" s="81">
        <f t="shared" si="1"/>
        <v>4944008.5199999996</v>
      </c>
    </row>
    <row r="22" spans="1:16">
      <c r="A22" s="59">
        <v>21</v>
      </c>
      <c r="B22" s="59">
        <v>321</v>
      </c>
      <c r="C22" s="59">
        <v>3</v>
      </c>
      <c r="D22" s="59">
        <v>21</v>
      </c>
      <c r="E22" s="59" t="s">
        <v>13</v>
      </c>
      <c r="F22" s="76">
        <f t="shared" si="2"/>
        <v>16.029999999999998</v>
      </c>
      <c r="G22" s="76">
        <v>2.96</v>
      </c>
      <c r="H22" s="77">
        <f t="shared" si="0"/>
        <v>18.989999999999998</v>
      </c>
      <c r="I22" s="59" t="s">
        <v>11</v>
      </c>
      <c r="J22" s="59" t="s">
        <v>12</v>
      </c>
      <c r="K22" s="59" t="s">
        <v>92</v>
      </c>
      <c r="L22" s="78">
        <f>VLOOKUP(D22,Worksheet!$A$2:$I$245,4,FALSE)</f>
        <v>18.989999999999998</v>
      </c>
      <c r="M22" s="79">
        <v>252765</v>
      </c>
      <c r="N22" s="80"/>
      <c r="O22" s="80"/>
      <c r="P22" s="81">
        <f t="shared" si="1"/>
        <v>4800007.3499999996</v>
      </c>
    </row>
    <row r="23" spans="1:16">
      <c r="A23" s="59">
        <v>22</v>
      </c>
      <c r="B23" s="59">
        <v>322</v>
      </c>
      <c r="C23" s="59">
        <v>3</v>
      </c>
      <c r="D23" s="59">
        <v>22</v>
      </c>
      <c r="E23" s="59" t="s">
        <v>13</v>
      </c>
      <c r="F23" s="76">
        <f t="shared" si="2"/>
        <v>16.029999999999998</v>
      </c>
      <c r="G23" s="76">
        <v>2.96</v>
      </c>
      <c r="H23" s="77">
        <f t="shared" si="0"/>
        <v>18.989999999999998</v>
      </c>
      <c r="I23" s="59" t="s">
        <v>11</v>
      </c>
      <c r="J23" s="59" t="s">
        <v>12</v>
      </c>
      <c r="K23" s="59" t="s">
        <v>92</v>
      </c>
      <c r="L23" s="78">
        <f>VLOOKUP(D23,Worksheet!$A$2:$I$245,4,FALSE)</f>
        <v>18.989999999999998</v>
      </c>
      <c r="M23" s="79">
        <v>252765</v>
      </c>
      <c r="N23" s="80"/>
      <c r="O23" s="80"/>
      <c r="P23" s="81">
        <f t="shared" si="1"/>
        <v>4800007.3499999996</v>
      </c>
    </row>
    <row r="24" spans="1:16">
      <c r="A24" s="59">
        <v>23</v>
      </c>
      <c r="B24" s="59">
        <v>323</v>
      </c>
      <c r="C24" s="59">
        <v>3</v>
      </c>
      <c r="D24" s="59">
        <v>23</v>
      </c>
      <c r="E24" s="59" t="s">
        <v>13</v>
      </c>
      <c r="F24" s="76">
        <f t="shared" si="2"/>
        <v>16.03</v>
      </c>
      <c r="G24" s="76">
        <v>2.88</v>
      </c>
      <c r="H24" s="77">
        <f t="shared" si="0"/>
        <v>18.91</v>
      </c>
      <c r="I24" s="59" t="s">
        <v>11</v>
      </c>
      <c r="J24" s="59" t="s">
        <v>12</v>
      </c>
      <c r="K24" s="59" t="s">
        <v>92</v>
      </c>
      <c r="L24" s="78">
        <f>VLOOKUP(D24,Worksheet!$A$2:$I$245,4,FALSE)</f>
        <v>18.91</v>
      </c>
      <c r="M24" s="79">
        <v>253834</v>
      </c>
      <c r="N24" s="80"/>
      <c r="O24" s="80"/>
      <c r="P24" s="81">
        <f t="shared" si="1"/>
        <v>4800000.9400000004</v>
      </c>
    </row>
    <row r="25" spans="1:16">
      <c r="A25" s="59">
        <v>24</v>
      </c>
      <c r="B25" s="59">
        <v>324</v>
      </c>
      <c r="C25" s="59">
        <v>3</v>
      </c>
      <c r="D25" s="59">
        <v>24</v>
      </c>
      <c r="E25" s="59" t="s">
        <v>13</v>
      </c>
      <c r="F25" s="76">
        <f t="shared" si="2"/>
        <v>16.029999999999998</v>
      </c>
      <c r="G25" s="76">
        <v>2.96</v>
      </c>
      <c r="H25" s="77">
        <f t="shared" si="0"/>
        <v>18.989999999999998</v>
      </c>
      <c r="I25" s="59" t="s">
        <v>11</v>
      </c>
      <c r="J25" s="59" t="s">
        <v>12</v>
      </c>
      <c r="K25" s="59" t="s">
        <v>92</v>
      </c>
      <c r="L25" s="78">
        <f>VLOOKUP(D25,Worksheet!$A$2:$I$245,4,FALSE)</f>
        <v>18.989999999999998</v>
      </c>
      <c r="M25" s="79">
        <v>260348</v>
      </c>
      <c r="N25" s="80"/>
      <c r="O25" s="80"/>
      <c r="P25" s="81">
        <f t="shared" si="1"/>
        <v>4944008.5199999996</v>
      </c>
    </row>
    <row r="26" spans="1:16">
      <c r="A26" s="59">
        <v>25</v>
      </c>
      <c r="B26" s="59">
        <v>325</v>
      </c>
      <c r="C26" s="59">
        <v>3</v>
      </c>
      <c r="D26" s="59">
        <v>25</v>
      </c>
      <c r="E26" s="59" t="s">
        <v>10</v>
      </c>
      <c r="F26" s="76">
        <f t="shared" si="2"/>
        <v>32.58</v>
      </c>
      <c r="G26" s="76">
        <v>5.96</v>
      </c>
      <c r="H26" s="77">
        <f t="shared" si="0"/>
        <v>38.54</v>
      </c>
      <c r="I26" s="59" t="s">
        <v>11</v>
      </c>
      <c r="J26" s="59" t="s">
        <v>12</v>
      </c>
      <c r="K26" s="59" t="s">
        <v>95</v>
      </c>
      <c r="L26" s="78">
        <f>VLOOKUP(D26,Worksheet!$A$2:$I$245,4,FALSE)</f>
        <v>38.54</v>
      </c>
      <c r="M26" s="79">
        <v>249092</v>
      </c>
      <c r="N26" s="80"/>
      <c r="O26" s="80"/>
      <c r="P26" s="81">
        <f t="shared" si="1"/>
        <v>9600005.6799999997</v>
      </c>
    </row>
    <row r="27" spans="1:16">
      <c r="A27" s="59">
        <v>26</v>
      </c>
      <c r="B27" s="59">
        <v>326</v>
      </c>
      <c r="C27" s="59">
        <v>3</v>
      </c>
      <c r="D27" s="59">
        <v>26</v>
      </c>
      <c r="E27" s="59" t="s">
        <v>13</v>
      </c>
      <c r="F27" s="76">
        <f t="shared" si="2"/>
        <v>16.05</v>
      </c>
      <c r="G27" s="76">
        <v>2.82</v>
      </c>
      <c r="H27" s="77">
        <f t="shared" si="0"/>
        <v>18.87</v>
      </c>
      <c r="I27" s="59" t="s">
        <v>11</v>
      </c>
      <c r="J27" s="59" t="s">
        <v>12</v>
      </c>
      <c r="K27" s="59" t="s">
        <v>92</v>
      </c>
      <c r="L27" s="78">
        <f>VLOOKUP(D27,Worksheet!$A$2:$I$245,4,FALSE)</f>
        <v>18.87</v>
      </c>
      <c r="M27" s="79">
        <v>245628</v>
      </c>
      <c r="N27" s="80"/>
      <c r="O27" s="80"/>
      <c r="P27" s="81">
        <f t="shared" si="1"/>
        <v>4635000.3600000003</v>
      </c>
    </row>
    <row r="28" spans="1:16">
      <c r="A28" s="59">
        <v>27</v>
      </c>
      <c r="B28" s="59">
        <v>327</v>
      </c>
      <c r="C28" s="59">
        <v>3</v>
      </c>
      <c r="D28" s="59">
        <v>27</v>
      </c>
      <c r="E28" s="59" t="s">
        <v>13</v>
      </c>
      <c r="F28" s="76">
        <f t="shared" si="2"/>
        <v>16.04</v>
      </c>
      <c r="G28" s="76">
        <v>2.75</v>
      </c>
      <c r="H28" s="77">
        <f t="shared" si="0"/>
        <v>18.79</v>
      </c>
      <c r="I28" s="59" t="s">
        <v>11</v>
      </c>
      <c r="J28" s="59" t="s">
        <v>12</v>
      </c>
      <c r="K28" s="59" t="s">
        <v>92</v>
      </c>
      <c r="L28" s="78">
        <f>VLOOKUP(D28,Worksheet!$A$2:$I$245,4,FALSE)</f>
        <v>18.79</v>
      </c>
      <c r="M28" s="79">
        <v>246674</v>
      </c>
      <c r="N28" s="80"/>
      <c r="O28" s="80"/>
      <c r="P28" s="81">
        <f t="shared" si="1"/>
        <v>4635004.46</v>
      </c>
    </row>
    <row r="29" spans="1:16">
      <c r="A29" s="59">
        <v>28</v>
      </c>
      <c r="B29" s="59">
        <v>328</v>
      </c>
      <c r="C29" s="59">
        <v>3</v>
      </c>
      <c r="D29" s="59">
        <v>28</v>
      </c>
      <c r="E29" s="59" t="s">
        <v>13</v>
      </c>
      <c r="F29" s="76">
        <f t="shared" si="2"/>
        <v>16.059999999999999</v>
      </c>
      <c r="G29" s="76">
        <v>2.82</v>
      </c>
      <c r="H29" s="77">
        <f t="shared" si="0"/>
        <v>18.88</v>
      </c>
      <c r="I29" s="59" t="s">
        <v>11</v>
      </c>
      <c r="J29" s="59" t="s">
        <v>12</v>
      </c>
      <c r="K29" s="59" t="s">
        <v>92</v>
      </c>
      <c r="L29" s="78">
        <f>VLOOKUP(D29,Worksheet!$A$2:$I$245,4,FALSE)</f>
        <v>18.88</v>
      </c>
      <c r="M29" s="79">
        <v>263506</v>
      </c>
      <c r="N29" s="80"/>
      <c r="O29" s="80"/>
      <c r="P29" s="81">
        <f t="shared" si="1"/>
        <v>4974993.2799999993</v>
      </c>
    </row>
    <row r="30" spans="1:16">
      <c r="A30" s="59">
        <v>29</v>
      </c>
      <c r="B30" s="59">
        <v>329</v>
      </c>
      <c r="C30" s="59">
        <v>3</v>
      </c>
      <c r="D30" s="59">
        <v>29</v>
      </c>
      <c r="E30" s="59" t="s">
        <v>13</v>
      </c>
      <c r="F30" s="76">
        <f t="shared" si="2"/>
        <v>16.020000000000003</v>
      </c>
      <c r="G30" s="76">
        <v>2.74</v>
      </c>
      <c r="H30" s="77">
        <f t="shared" si="0"/>
        <v>18.760000000000002</v>
      </c>
      <c r="I30" s="59" t="s">
        <v>11</v>
      </c>
      <c r="J30" s="59" t="s">
        <v>12</v>
      </c>
      <c r="K30" s="59" t="s">
        <v>92</v>
      </c>
      <c r="L30" s="78">
        <f>VLOOKUP(D30,Worksheet!$A$2:$I$245,4,FALSE)</f>
        <v>18.760000000000002</v>
      </c>
      <c r="M30" s="79">
        <v>252559</v>
      </c>
      <c r="N30" s="80"/>
      <c r="O30" s="80"/>
      <c r="P30" s="81">
        <f t="shared" si="1"/>
        <v>4738006.8400000008</v>
      </c>
    </row>
    <row r="31" spans="1:16">
      <c r="A31" s="59">
        <v>30</v>
      </c>
      <c r="B31" s="59">
        <v>330</v>
      </c>
      <c r="C31" s="59">
        <v>3</v>
      </c>
      <c r="D31" s="59">
        <v>30</v>
      </c>
      <c r="E31" s="59" t="s">
        <v>14</v>
      </c>
      <c r="F31" s="76">
        <f t="shared" si="2"/>
        <v>41.65</v>
      </c>
      <c r="G31" s="76">
        <v>5.96</v>
      </c>
      <c r="H31" s="77">
        <f t="shared" si="0"/>
        <v>47.61</v>
      </c>
      <c r="I31" s="59" t="s">
        <v>11</v>
      </c>
      <c r="J31" s="59" t="s">
        <v>12</v>
      </c>
      <c r="K31" s="59" t="s">
        <v>95</v>
      </c>
      <c r="L31" s="78">
        <f>VLOOKUP(D31,Worksheet!$A$2:$I$245,4,FALSE)</f>
        <v>47.61</v>
      </c>
      <c r="M31" s="79">
        <v>262550</v>
      </c>
      <c r="N31" s="80"/>
      <c r="O31" s="80"/>
      <c r="P31" s="81">
        <f t="shared" si="1"/>
        <v>12500005.5</v>
      </c>
    </row>
    <row r="32" spans="1:16">
      <c r="A32" s="59">
        <v>31</v>
      </c>
      <c r="B32" s="59">
        <v>401</v>
      </c>
      <c r="C32" s="59">
        <v>4</v>
      </c>
      <c r="D32" s="59">
        <v>31</v>
      </c>
      <c r="E32" s="59" t="s">
        <v>14</v>
      </c>
      <c r="F32" s="76">
        <f t="shared" si="2"/>
        <v>40.96</v>
      </c>
      <c r="G32" s="76">
        <v>9.4</v>
      </c>
      <c r="H32" s="77">
        <f t="shared" si="0"/>
        <v>50.36</v>
      </c>
      <c r="I32" s="59" t="s">
        <v>11</v>
      </c>
      <c r="J32" s="59" t="s">
        <v>12</v>
      </c>
      <c r="K32" s="59" t="s">
        <v>151</v>
      </c>
      <c r="L32" s="78">
        <f>VLOOKUP(D32,Worksheet!$A$2:$I$245,4,FALSE)</f>
        <v>50.36</v>
      </c>
      <c r="M32" s="79">
        <v>208499</v>
      </c>
      <c r="N32" s="80"/>
      <c r="O32" s="80"/>
      <c r="P32" s="81">
        <f t="shared" si="1"/>
        <v>10500009.640000001</v>
      </c>
    </row>
    <row r="33" spans="1:16">
      <c r="A33" s="59">
        <v>32</v>
      </c>
      <c r="B33" s="59">
        <v>402</v>
      </c>
      <c r="C33" s="59">
        <v>4</v>
      </c>
      <c r="D33" s="59">
        <v>32</v>
      </c>
      <c r="E33" s="59" t="s">
        <v>13</v>
      </c>
      <c r="F33" s="76">
        <f t="shared" si="2"/>
        <v>15.670000000000002</v>
      </c>
      <c r="G33" s="76">
        <v>3.25</v>
      </c>
      <c r="H33" s="77">
        <f t="shared" si="0"/>
        <v>18.920000000000002</v>
      </c>
      <c r="I33" s="59" t="s">
        <v>11</v>
      </c>
      <c r="J33" s="59" t="s">
        <v>12</v>
      </c>
      <c r="K33" s="59" t="s">
        <v>92</v>
      </c>
      <c r="L33" s="78">
        <f>VLOOKUP(D33,Worksheet!$A$2:$I$245,4,FALSE)</f>
        <v>18.920000000000002</v>
      </c>
      <c r="M33" s="79">
        <v>269556</v>
      </c>
      <c r="N33" s="80"/>
      <c r="O33" s="80"/>
      <c r="P33" s="81">
        <f t="shared" si="1"/>
        <v>5099999.5200000005</v>
      </c>
    </row>
    <row r="34" spans="1:16">
      <c r="A34" s="59">
        <v>33</v>
      </c>
      <c r="B34" s="59">
        <v>403</v>
      </c>
      <c r="C34" s="59">
        <v>4</v>
      </c>
      <c r="D34" s="59">
        <v>33</v>
      </c>
      <c r="E34" s="59" t="s">
        <v>13</v>
      </c>
      <c r="F34" s="76">
        <f t="shared" si="2"/>
        <v>15.780000000000001</v>
      </c>
      <c r="G34" s="76">
        <v>3.25</v>
      </c>
      <c r="H34" s="77">
        <f t="shared" si="0"/>
        <v>19.03</v>
      </c>
      <c r="I34" s="59" t="s">
        <v>11</v>
      </c>
      <c r="J34" s="59" t="s">
        <v>12</v>
      </c>
      <c r="K34" s="59" t="s">
        <v>92</v>
      </c>
      <c r="L34" s="78">
        <f>VLOOKUP(D34,Worksheet!$A$2:$I$245,4,FALSE)</f>
        <v>19.03</v>
      </c>
      <c r="M34" s="79">
        <v>254388</v>
      </c>
      <c r="N34" s="80"/>
      <c r="O34" s="80"/>
      <c r="P34" s="81">
        <f t="shared" si="1"/>
        <v>4841003.6400000006</v>
      </c>
    </row>
    <row r="35" spans="1:16">
      <c r="A35" s="59">
        <v>34</v>
      </c>
      <c r="B35" s="59">
        <v>404</v>
      </c>
      <c r="C35" s="59">
        <v>4</v>
      </c>
      <c r="D35" s="59">
        <v>34</v>
      </c>
      <c r="E35" s="59" t="s">
        <v>13</v>
      </c>
      <c r="F35" s="76">
        <f t="shared" si="2"/>
        <v>15.690000000000001</v>
      </c>
      <c r="G35" s="76">
        <v>3.25</v>
      </c>
      <c r="H35" s="77">
        <f t="shared" si="0"/>
        <v>18.940000000000001</v>
      </c>
      <c r="I35" s="59" t="s">
        <v>11</v>
      </c>
      <c r="J35" s="59" t="s">
        <v>12</v>
      </c>
      <c r="K35" s="59" t="s">
        <v>92</v>
      </c>
      <c r="L35" s="78">
        <f>VLOOKUP(D35,Worksheet!$A$2:$I$245,4,FALSE)</f>
        <v>18.940000000000001</v>
      </c>
      <c r="M35" s="79">
        <v>255597</v>
      </c>
      <c r="N35" s="80"/>
      <c r="O35" s="80"/>
      <c r="P35" s="81">
        <f t="shared" si="1"/>
        <v>4841007.1800000006</v>
      </c>
    </row>
    <row r="36" spans="1:16">
      <c r="A36" s="59">
        <v>35</v>
      </c>
      <c r="B36" s="59">
        <v>405</v>
      </c>
      <c r="C36" s="59">
        <v>4</v>
      </c>
      <c r="D36" s="59">
        <v>35</v>
      </c>
      <c r="E36" s="59" t="s">
        <v>13</v>
      </c>
      <c r="F36" s="76">
        <f t="shared" si="2"/>
        <v>15.77</v>
      </c>
      <c r="G36" s="76">
        <v>3.25</v>
      </c>
      <c r="H36" s="77">
        <f t="shared" si="0"/>
        <v>19.02</v>
      </c>
      <c r="I36" s="59" t="s">
        <v>11</v>
      </c>
      <c r="J36" s="59" t="s">
        <v>12</v>
      </c>
      <c r="K36" s="59" t="s">
        <v>152</v>
      </c>
      <c r="L36" s="78">
        <f>VLOOKUP(D36,Worksheet!$A$2:$I$245,4,FALSE)</f>
        <v>19.02</v>
      </c>
      <c r="M36" s="79">
        <v>289169</v>
      </c>
      <c r="N36" s="80"/>
      <c r="O36" s="80"/>
      <c r="P36" s="81">
        <f t="shared" si="1"/>
        <v>5499994.3799999999</v>
      </c>
    </row>
    <row r="37" spans="1:16">
      <c r="A37" s="59">
        <v>36</v>
      </c>
      <c r="B37" s="59">
        <v>406</v>
      </c>
      <c r="C37" s="59">
        <v>4</v>
      </c>
      <c r="D37" s="59">
        <v>36</v>
      </c>
      <c r="E37" s="59" t="s">
        <v>13</v>
      </c>
      <c r="F37" s="76">
        <f t="shared" si="2"/>
        <v>15.77</v>
      </c>
      <c r="G37" s="76">
        <v>3.25</v>
      </c>
      <c r="H37" s="77">
        <f t="shared" si="0"/>
        <v>19.02</v>
      </c>
      <c r="I37" s="59" t="s">
        <v>11</v>
      </c>
      <c r="J37" s="59" t="s">
        <v>12</v>
      </c>
      <c r="K37" s="59" t="s">
        <v>152</v>
      </c>
      <c r="L37" s="78">
        <f>VLOOKUP(D37,Worksheet!$A$2:$I$245,4,FALSE)</f>
        <v>19.02</v>
      </c>
      <c r="M37" s="79">
        <v>273396</v>
      </c>
      <c r="N37" s="80"/>
      <c r="O37" s="80"/>
      <c r="P37" s="81">
        <f t="shared" si="1"/>
        <v>5199991.92</v>
      </c>
    </row>
    <row r="38" spans="1:16">
      <c r="A38" s="59">
        <v>37</v>
      </c>
      <c r="B38" s="59">
        <v>407</v>
      </c>
      <c r="C38" s="59">
        <v>4</v>
      </c>
      <c r="D38" s="59">
        <v>37</v>
      </c>
      <c r="E38" s="59" t="s">
        <v>15</v>
      </c>
      <c r="F38" s="76">
        <f t="shared" si="2"/>
        <v>21</v>
      </c>
      <c r="G38" s="76">
        <v>8.77</v>
      </c>
      <c r="H38" s="77">
        <f t="shared" si="0"/>
        <v>29.77</v>
      </c>
      <c r="I38" s="59" t="s">
        <v>11</v>
      </c>
      <c r="J38" s="59" t="s">
        <v>12</v>
      </c>
      <c r="K38" s="59" t="s">
        <v>92</v>
      </c>
      <c r="L38" s="78">
        <f>VLOOKUP(D38,Worksheet!$A$2:$I$245,4,FALSE)</f>
        <v>29.77</v>
      </c>
      <c r="M38" s="79">
        <v>218341</v>
      </c>
      <c r="N38" s="80"/>
      <c r="O38" s="80"/>
      <c r="P38" s="81">
        <f t="shared" si="1"/>
        <v>6500011.5700000003</v>
      </c>
    </row>
    <row r="39" spans="1:16">
      <c r="A39" s="59">
        <v>38</v>
      </c>
      <c r="B39" s="59">
        <v>408</v>
      </c>
      <c r="C39" s="59">
        <v>4</v>
      </c>
      <c r="D39" s="59">
        <v>38</v>
      </c>
      <c r="E39" s="59" t="s">
        <v>10</v>
      </c>
      <c r="F39" s="76">
        <f t="shared" si="2"/>
        <v>24.110000000000003</v>
      </c>
      <c r="G39" s="76">
        <v>3.31</v>
      </c>
      <c r="H39" s="77">
        <f t="shared" si="0"/>
        <v>27.42</v>
      </c>
      <c r="I39" s="59" t="s">
        <v>11</v>
      </c>
      <c r="J39" s="59" t="s">
        <v>12</v>
      </c>
      <c r="K39" s="59" t="s">
        <v>92</v>
      </c>
      <c r="L39" s="78">
        <f>VLOOKUP(D39,Worksheet!$A$2:$I$245,4,FALSE)</f>
        <v>27.42</v>
      </c>
      <c r="M39" s="79">
        <v>237053</v>
      </c>
      <c r="N39" s="80"/>
      <c r="O39" s="80"/>
      <c r="P39" s="81">
        <f t="shared" si="1"/>
        <v>6499993.2600000007</v>
      </c>
    </row>
    <row r="40" spans="1:16">
      <c r="A40" s="59">
        <v>39</v>
      </c>
      <c r="B40" s="59">
        <v>409</v>
      </c>
      <c r="C40" s="59">
        <v>4</v>
      </c>
      <c r="D40" s="59">
        <v>39</v>
      </c>
      <c r="E40" s="59" t="s">
        <v>13</v>
      </c>
      <c r="F40" s="76">
        <f t="shared" si="2"/>
        <v>15.68</v>
      </c>
      <c r="G40" s="76">
        <v>3.25</v>
      </c>
      <c r="H40" s="77">
        <f t="shared" si="0"/>
        <v>18.93</v>
      </c>
      <c r="I40" s="59" t="s">
        <v>11</v>
      </c>
      <c r="J40" s="59" t="s">
        <v>12</v>
      </c>
      <c r="K40" s="59" t="s">
        <v>92</v>
      </c>
      <c r="L40" s="78">
        <f>VLOOKUP(D40,Worksheet!$A$2:$I$245,4,FALSE)</f>
        <v>18.93</v>
      </c>
      <c r="M40" s="79">
        <v>266772</v>
      </c>
      <c r="N40" s="80"/>
      <c r="O40" s="80"/>
      <c r="P40" s="81">
        <f t="shared" si="1"/>
        <v>5049993.96</v>
      </c>
    </row>
    <row r="41" spans="1:16">
      <c r="A41" s="59">
        <v>40</v>
      </c>
      <c r="B41" s="59">
        <v>410</v>
      </c>
      <c r="C41" s="59">
        <v>4</v>
      </c>
      <c r="D41" s="59">
        <v>40</v>
      </c>
      <c r="E41" s="59" t="s">
        <v>13</v>
      </c>
      <c r="F41" s="76">
        <f t="shared" si="2"/>
        <v>15.75</v>
      </c>
      <c r="G41" s="76">
        <v>3.25</v>
      </c>
      <c r="H41" s="77">
        <f t="shared" si="0"/>
        <v>19</v>
      </c>
      <c r="I41" s="59" t="s">
        <v>11</v>
      </c>
      <c r="J41" s="59" t="s">
        <v>12</v>
      </c>
      <c r="K41" s="59" t="s">
        <v>92</v>
      </c>
      <c r="L41" s="78">
        <f>VLOOKUP(D41,Worksheet!$A$2:$I$245,4,FALSE)</f>
        <v>19</v>
      </c>
      <c r="M41" s="79">
        <v>278947</v>
      </c>
      <c r="N41" s="80"/>
      <c r="O41" s="80"/>
      <c r="P41" s="81">
        <f t="shared" si="1"/>
        <v>5299993</v>
      </c>
    </row>
    <row r="42" spans="1:16">
      <c r="A42" s="59">
        <v>41</v>
      </c>
      <c r="B42" s="59">
        <v>411</v>
      </c>
      <c r="C42" s="59">
        <v>4</v>
      </c>
      <c r="D42" s="59">
        <v>41</v>
      </c>
      <c r="E42" s="59" t="s">
        <v>13</v>
      </c>
      <c r="F42" s="76">
        <f t="shared" si="2"/>
        <v>15.75</v>
      </c>
      <c r="G42" s="76">
        <v>3.25</v>
      </c>
      <c r="H42" s="77">
        <f t="shared" si="0"/>
        <v>19</v>
      </c>
      <c r="I42" s="59" t="s">
        <v>11</v>
      </c>
      <c r="J42" s="59" t="s">
        <v>12</v>
      </c>
      <c r="K42" s="59" t="s">
        <v>92</v>
      </c>
      <c r="L42" s="78">
        <f>VLOOKUP(D42,Worksheet!$A$2:$I$245,4,FALSE)</f>
        <v>19</v>
      </c>
      <c r="M42" s="79">
        <v>278947</v>
      </c>
      <c r="N42" s="80"/>
      <c r="O42" s="80"/>
      <c r="P42" s="81">
        <f t="shared" si="1"/>
        <v>5299993</v>
      </c>
    </row>
    <row r="43" spans="1:16">
      <c r="A43" s="59">
        <v>42</v>
      </c>
      <c r="B43" s="59">
        <v>412</v>
      </c>
      <c r="C43" s="59">
        <v>4</v>
      </c>
      <c r="D43" s="59">
        <v>42</v>
      </c>
      <c r="E43" s="59" t="s">
        <v>13</v>
      </c>
      <c r="F43" s="76">
        <f t="shared" si="2"/>
        <v>15.75</v>
      </c>
      <c r="G43" s="76">
        <v>3.25</v>
      </c>
      <c r="H43" s="77">
        <f t="shared" si="0"/>
        <v>19</v>
      </c>
      <c r="I43" s="59" t="s">
        <v>11</v>
      </c>
      <c r="J43" s="59" t="s">
        <v>12</v>
      </c>
      <c r="K43" s="59" t="s">
        <v>92</v>
      </c>
      <c r="L43" s="78">
        <f>VLOOKUP(D43,Worksheet!$A$2:$I$245,4,FALSE)</f>
        <v>19</v>
      </c>
      <c r="M43" s="79">
        <v>230263</v>
      </c>
      <c r="N43" s="80"/>
      <c r="O43" s="80"/>
      <c r="P43" s="81">
        <f t="shared" si="1"/>
        <v>4374997</v>
      </c>
    </row>
    <row r="44" spans="1:16">
      <c r="A44" s="59">
        <v>43</v>
      </c>
      <c r="B44" s="59">
        <v>413</v>
      </c>
      <c r="C44" s="59">
        <v>4</v>
      </c>
      <c r="D44" s="59">
        <v>43</v>
      </c>
      <c r="E44" s="59" t="s">
        <v>13</v>
      </c>
      <c r="F44" s="76">
        <f t="shared" si="2"/>
        <v>15.670000000000002</v>
      </c>
      <c r="G44" s="76">
        <v>3.25</v>
      </c>
      <c r="H44" s="77">
        <f t="shared" si="0"/>
        <v>18.920000000000002</v>
      </c>
      <c r="I44" s="59" t="s">
        <v>11</v>
      </c>
      <c r="J44" s="59" t="s">
        <v>12</v>
      </c>
      <c r="K44" s="59" t="s">
        <v>92</v>
      </c>
      <c r="L44" s="78">
        <f>VLOOKUP(D44,Worksheet!$A$2:$I$245,4,FALSE)</f>
        <v>18.920000000000002</v>
      </c>
      <c r="M44" s="79">
        <v>285412</v>
      </c>
      <c r="N44" s="80"/>
      <c r="O44" s="80"/>
      <c r="P44" s="81">
        <f t="shared" si="1"/>
        <v>5399995.04</v>
      </c>
    </row>
    <row r="45" spans="1:16">
      <c r="A45" s="59">
        <v>44</v>
      </c>
      <c r="B45" s="59">
        <v>414</v>
      </c>
      <c r="C45" s="59">
        <v>4</v>
      </c>
      <c r="D45" s="59">
        <v>44</v>
      </c>
      <c r="E45" s="59" t="s">
        <v>10</v>
      </c>
      <c r="F45" s="76">
        <f t="shared" si="2"/>
        <v>31.790000000000003</v>
      </c>
      <c r="G45" s="76">
        <v>6.7</v>
      </c>
      <c r="H45" s="77">
        <f t="shared" si="0"/>
        <v>38.49</v>
      </c>
      <c r="I45" s="59" t="s">
        <v>11</v>
      </c>
      <c r="J45" s="59" t="s">
        <v>12</v>
      </c>
      <c r="K45" s="59" t="s">
        <v>92</v>
      </c>
      <c r="L45" s="78">
        <f>VLOOKUP(D45,Worksheet!$A$2:$I$245,4,FALSE)</f>
        <v>38.49</v>
      </c>
      <c r="M45" s="79">
        <v>213042</v>
      </c>
      <c r="N45" s="80"/>
      <c r="O45" s="80"/>
      <c r="P45" s="81">
        <f t="shared" si="1"/>
        <v>8199986.5800000001</v>
      </c>
    </row>
    <row r="46" spans="1:16">
      <c r="A46" s="59">
        <v>45</v>
      </c>
      <c r="B46" s="59">
        <v>415</v>
      </c>
      <c r="C46" s="59">
        <v>4</v>
      </c>
      <c r="D46" s="59">
        <v>45</v>
      </c>
      <c r="E46" s="59" t="s">
        <v>14</v>
      </c>
      <c r="F46" s="76">
        <f t="shared" si="2"/>
        <v>39.650000000000006</v>
      </c>
      <c r="G46" s="76">
        <v>12.12</v>
      </c>
      <c r="H46" s="77">
        <f t="shared" si="0"/>
        <v>51.77</v>
      </c>
      <c r="I46" s="59" t="s">
        <v>11</v>
      </c>
      <c r="J46" s="59" t="s">
        <v>12</v>
      </c>
      <c r="K46" s="59" t="s">
        <v>95</v>
      </c>
      <c r="L46" s="78">
        <f>VLOOKUP(D46,Worksheet!$A$2:$I$245,4,FALSE)</f>
        <v>51.77</v>
      </c>
      <c r="M46" s="79">
        <v>258837</v>
      </c>
      <c r="N46" s="80"/>
      <c r="O46" s="80"/>
      <c r="P46" s="81">
        <f t="shared" si="1"/>
        <v>13399991.49</v>
      </c>
    </row>
    <row r="47" spans="1:16">
      <c r="A47" s="59">
        <v>46</v>
      </c>
      <c r="B47" s="59">
        <v>416</v>
      </c>
      <c r="C47" s="59">
        <v>4</v>
      </c>
      <c r="D47" s="59">
        <v>46</v>
      </c>
      <c r="E47" s="59" t="s">
        <v>14</v>
      </c>
      <c r="F47" s="76">
        <f t="shared" si="2"/>
        <v>39.65</v>
      </c>
      <c r="G47" s="76">
        <v>12.13</v>
      </c>
      <c r="H47" s="77">
        <f t="shared" si="0"/>
        <v>51.78</v>
      </c>
      <c r="I47" s="59" t="s">
        <v>11</v>
      </c>
      <c r="J47" s="59" t="s">
        <v>12</v>
      </c>
      <c r="K47" s="59" t="s">
        <v>95</v>
      </c>
      <c r="L47" s="78">
        <f>VLOOKUP(D47,Worksheet!$A$2:$I$245,4,FALSE)</f>
        <v>51.78</v>
      </c>
      <c r="M47" s="79">
        <v>258787</v>
      </c>
      <c r="N47" s="80"/>
      <c r="O47" s="80"/>
      <c r="P47" s="81">
        <f t="shared" si="1"/>
        <v>13399990.859999999</v>
      </c>
    </row>
    <row r="48" spans="1:16">
      <c r="A48" s="59">
        <v>47</v>
      </c>
      <c r="B48" s="59">
        <v>417</v>
      </c>
      <c r="C48" s="59">
        <v>4</v>
      </c>
      <c r="D48" s="59">
        <v>47</v>
      </c>
      <c r="E48" s="59" t="s">
        <v>13</v>
      </c>
      <c r="F48" s="76">
        <f t="shared" si="2"/>
        <v>15.360000000000001</v>
      </c>
      <c r="G48" s="76">
        <v>3.31</v>
      </c>
      <c r="H48" s="77">
        <f t="shared" si="0"/>
        <v>18.670000000000002</v>
      </c>
      <c r="I48" s="59" t="s">
        <v>11</v>
      </c>
      <c r="J48" s="59" t="s">
        <v>12</v>
      </c>
      <c r="K48" s="59" t="s">
        <v>92</v>
      </c>
      <c r="L48" s="78">
        <f>VLOOKUP(D48,Worksheet!$A$2:$I$245,4,FALSE)</f>
        <v>18.670000000000002</v>
      </c>
      <c r="M48" s="79">
        <v>267809</v>
      </c>
      <c r="N48" s="80"/>
      <c r="O48" s="80"/>
      <c r="P48" s="81">
        <f t="shared" si="1"/>
        <v>4999994.03</v>
      </c>
    </row>
    <row r="49" spans="1:16">
      <c r="A49" s="59">
        <v>48</v>
      </c>
      <c r="B49" s="59">
        <v>418</v>
      </c>
      <c r="C49" s="59">
        <v>4</v>
      </c>
      <c r="D49" s="59">
        <v>48</v>
      </c>
      <c r="E49" s="59" t="s">
        <v>13</v>
      </c>
      <c r="F49" s="76">
        <f t="shared" si="2"/>
        <v>15.670000000000002</v>
      </c>
      <c r="G49" s="76">
        <v>3.25</v>
      </c>
      <c r="H49" s="77">
        <f t="shared" si="0"/>
        <v>18.920000000000002</v>
      </c>
      <c r="I49" s="59" t="s">
        <v>11</v>
      </c>
      <c r="J49" s="59" t="s">
        <v>12</v>
      </c>
      <c r="K49" s="59" t="s">
        <v>92</v>
      </c>
      <c r="L49" s="78">
        <f>VLOOKUP(D49,Worksheet!$A$2:$I$245,4,FALSE)</f>
        <v>18.920000000000002</v>
      </c>
      <c r="M49" s="79">
        <v>231237</v>
      </c>
      <c r="N49" s="80"/>
      <c r="O49" s="80"/>
      <c r="P49" s="81">
        <f t="shared" si="1"/>
        <v>4375004.04</v>
      </c>
    </row>
    <row r="50" spans="1:16">
      <c r="A50" s="59">
        <v>49</v>
      </c>
      <c r="B50" s="59">
        <v>419</v>
      </c>
      <c r="C50" s="59">
        <v>4</v>
      </c>
      <c r="D50" s="59">
        <v>49</v>
      </c>
      <c r="E50" s="59" t="s">
        <v>13</v>
      </c>
      <c r="F50" s="76">
        <f t="shared" si="2"/>
        <v>15.670000000000002</v>
      </c>
      <c r="G50" s="76">
        <v>3.25</v>
      </c>
      <c r="H50" s="77">
        <f t="shared" si="0"/>
        <v>18.920000000000002</v>
      </c>
      <c r="I50" s="59" t="s">
        <v>11</v>
      </c>
      <c r="J50" s="59" t="s">
        <v>12</v>
      </c>
      <c r="K50" s="59" t="s">
        <v>92</v>
      </c>
      <c r="L50" s="78">
        <f>VLOOKUP(D50,Worksheet!$A$2:$I$245,4,FALSE)</f>
        <v>18.920000000000002</v>
      </c>
      <c r="M50" s="79">
        <v>272199</v>
      </c>
      <c r="N50" s="80"/>
      <c r="O50" s="80"/>
      <c r="P50" s="81">
        <f t="shared" si="1"/>
        <v>5150005.08</v>
      </c>
    </row>
    <row r="51" spans="1:16">
      <c r="A51" s="59">
        <v>50</v>
      </c>
      <c r="B51" s="59">
        <v>420</v>
      </c>
      <c r="C51" s="59">
        <v>4</v>
      </c>
      <c r="D51" s="59">
        <v>50</v>
      </c>
      <c r="E51" s="59" t="s">
        <v>13</v>
      </c>
      <c r="F51" s="76">
        <f t="shared" si="2"/>
        <v>15.75</v>
      </c>
      <c r="G51" s="76">
        <v>3.25</v>
      </c>
      <c r="H51" s="77">
        <f t="shared" si="0"/>
        <v>19</v>
      </c>
      <c r="I51" s="59" t="s">
        <v>11</v>
      </c>
      <c r="J51" s="59" t="s">
        <v>12</v>
      </c>
      <c r="K51" s="59" t="s">
        <v>92</v>
      </c>
      <c r="L51" s="78">
        <f>VLOOKUP(D51,Worksheet!$A$2:$I$245,4,FALSE)</f>
        <v>19</v>
      </c>
      <c r="M51" s="79">
        <v>265789</v>
      </c>
      <c r="N51" s="80"/>
      <c r="O51" s="80"/>
      <c r="P51" s="81">
        <f t="shared" si="1"/>
        <v>5049991</v>
      </c>
    </row>
    <row r="52" spans="1:16">
      <c r="A52" s="59">
        <v>51</v>
      </c>
      <c r="B52" s="59">
        <v>421</v>
      </c>
      <c r="C52" s="59">
        <v>4</v>
      </c>
      <c r="D52" s="59">
        <v>51</v>
      </c>
      <c r="E52" s="59" t="s">
        <v>13</v>
      </c>
      <c r="F52" s="76">
        <f t="shared" si="2"/>
        <v>15.75</v>
      </c>
      <c r="G52" s="76">
        <v>3.25</v>
      </c>
      <c r="H52" s="77">
        <f t="shared" si="0"/>
        <v>19</v>
      </c>
      <c r="I52" s="59" t="s">
        <v>11</v>
      </c>
      <c r="J52" s="59" t="s">
        <v>12</v>
      </c>
      <c r="K52" s="59" t="s">
        <v>92</v>
      </c>
      <c r="L52" s="78">
        <f>VLOOKUP(D52,Worksheet!$A$2:$I$245,4,FALSE)</f>
        <v>19</v>
      </c>
      <c r="M52" s="79">
        <v>265789</v>
      </c>
      <c r="N52" s="80"/>
      <c r="O52" s="80"/>
      <c r="P52" s="81">
        <f t="shared" si="1"/>
        <v>5049991</v>
      </c>
    </row>
    <row r="53" spans="1:16">
      <c r="A53" s="59">
        <v>52</v>
      </c>
      <c r="B53" s="59">
        <v>422</v>
      </c>
      <c r="C53" s="59">
        <v>4</v>
      </c>
      <c r="D53" s="59">
        <v>52</v>
      </c>
      <c r="E53" s="59" t="s">
        <v>13</v>
      </c>
      <c r="F53" s="76">
        <f t="shared" si="2"/>
        <v>15.75</v>
      </c>
      <c r="G53" s="76">
        <v>3.25</v>
      </c>
      <c r="H53" s="77">
        <f t="shared" si="0"/>
        <v>19</v>
      </c>
      <c r="I53" s="59" t="s">
        <v>11</v>
      </c>
      <c r="J53" s="59" t="s">
        <v>12</v>
      </c>
      <c r="K53" s="59" t="s">
        <v>92</v>
      </c>
      <c r="L53" s="78">
        <f>VLOOKUP(D53,Worksheet!$A$2:$I$245,4,FALSE)</f>
        <v>19</v>
      </c>
      <c r="M53" s="79">
        <v>257895</v>
      </c>
      <c r="N53" s="80"/>
      <c r="O53" s="80"/>
      <c r="P53" s="81">
        <f t="shared" si="1"/>
        <v>4900005</v>
      </c>
    </row>
    <row r="54" spans="1:16">
      <c r="A54" s="59">
        <v>53</v>
      </c>
      <c r="B54" s="59">
        <v>423</v>
      </c>
      <c r="C54" s="59">
        <v>4</v>
      </c>
      <c r="D54" s="59">
        <v>53</v>
      </c>
      <c r="E54" s="59" t="s">
        <v>13</v>
      </c>
      <c r="F54" s="76">
        <f t="shared" si="2"/>
        <v>15.670000000000002</v>
      </c>
      <c r="G54" s="76">
        <v>3.25</v>
      </c>
      <c r="H54" s="77">
        <f t="shared" si="0"/>
        <v>18.920000000000002</v>
      </c>
      <c r="I54" s="59" t="s">
        <v>11</v>
      </c>
      <c r="J54" s="59" t="s">
        <v>12</v>
      </c>
      <c r="K54" s="59" t="s">
        <v>92</v>
      </c>
      <c r="L54" s="78">
        <f>VLOOKUP(D54,Worksheet!$A$2:$I$245,4,FALSE)</f>
        <v>18.920000000000002</v>
      </c>
      <c r="M54" s="79">
        <v>266913</v>
      </c>
      <c r="N54" s="80"/>
      <c r="O54" s="80"/>
      <c r="P54" s="81">
        <f t="shared" si="1"/>
        <v>5049993.9600000009</v>
      </c>
    </row>
    <row r="55" spans="1:16">
      <c r="A55" s="59">
        <v>54</v>
      </c>
      <c r="B55" s="59">
        <v>424</v>
      </c>
      <c r="C55" s="59">
        <v>4</v>
      </c>
      <c r="D55" s="59">
        <v>54</v>
      </c>
      <c r="E55" s="59" t="s">
        <v>13</v>
      </c>
      <c r="F55" s="76">
        <f t="shared" si="2"/>
        <v>15.829999999999998</v>
      </c>
      <c r="G55" s="76">
        <v>3.3</v>
      </c>
      <c r="H55" s="77">
        <f t="shared" si="0"/>
        <v>19.13</v>
      </c>
      <c r="I55" s="59" t="s">
        <v>11</v>
      </c>
      <c r="J55" s="59" t="s">
        <v>12</v>
      </c>
      <c r="K55" s="59" t="s">
        <v>92</v>
      </c>
      <c r="L55" s="78">
        <f>VLOOKUP(D55,Worksheet!$A$2:$I$245,4,FALSE)</f>
        <v>19.13</v>
      </c>
      <c r="M55" s="79">
        <v>256142</v>
      </c>
      <c r="N55" s="80"/>
      <c r="O55" s="80"/>
      <c r="P55" s="81">
        <f t="shared" si="1"/>
        <v>4899996.46</v>
      </c>
    </row>
    <row r="56" spans="1:16">
      <c r="A56" s="59">
        <v>55</v>
      </c>
      <c r="B56" s="59">
        <v>425</v>
      </c>
      <c r="C56" s="59">
        <v>4</v>
      </c>
      <c r="D56" s="59">
        <v>55</v>
      </c>
      <c r="E56" s="59" t="s">
        <v>16</v>
      </c>
      <c r="F56" s="76">
        <f t="shared" si="2"/>
        <v>32.369999999999997</v>
      </c>
      <c r="G56" s="76">
        <v>18.11</v>
      </c>
      <c r="H56" s="77">
        <f t="shared" si="0"/>
        <v>50.48</v>
      </c>
      <c r="I56" s="59" t="s">
        <v>11</v>
      </c>
      <c r="J56" s="59" t="s">
        <v>12</v>
      </c>
      <c r="K56" s="59" t="s">
        <v>92</v>
      </c>
      <c r="L56" s="78">
        <f>VLOOKUP(D56,Worksheet!$A$2:$I$245,4,FALSE)</f>
        <v>50.48</v>
      </c>
      <c r="M56" s="79">
        <v>199089</v>
      </c>
      <c r="N56" s="80"/>
      <c r="O56" s="80"/>
      <c r="P56" s="81">
        <f t="shared" si="1"/>
        <v>10050012.719999999</v>
      </c>
    </row>
    <row r="57" spans="1:16">
      <c r="A57" s="59">
        <v>56</v>
      </c>
      <c r="B57" s="59">
        <v>426</v>
      </c>
      <c r="C57" s="59">
        <v>4</v>
      </c>
      <c r="D57" s="59">
        <v>56</v>
      </c>
      <c r="E57" s="59" t="s">
        <v>13</v>
      </c>
      <c r="F57" s="76">
        <f t="shared" si="2"/>
        <v>15.77</v>
      </c>
      <c r="G57" s="76">
        <v>3.25</v>
      </c>
      <c r="H57" s="77">
        <f t="shared" si="0"/>
        <v>19.02</v>
      </c>
      <c r="I57" s="59" t="s">
        <v>11</v>
      </c>
      <c r="J57" s="59" t="s">
        <v>12</v>
      </c>
      <c r="K57" s="59" t="s">
        <v>92</v>
      </c>
      <c r="L57" s="78">
        <f>VLOOKUP(D57,Worksheet!$A$2:$I$245,4,FALSE)</f>
        <v>19.02</v>
      </c>
      <c r="M57" s="79">
        <v>261567</v>
      </c>
      <c r="N57" s="80"/>
      <c r="O57" s="80"/>
      <c r="P57" s="81">
        <f t="shared" si="1"/>
        <v>4975004.34</v>
      </c>
    </row>
    <row r="58" spans="1:16">
      <c r="A58" s="59">
        <v>57</v>
      </c>
      <c r="B58" s="59">
        <v>427</v>
      </c>
      <c r="C58" s="59">
        <v>4</v>
      </c>
      <c r="D58" s="59">
        <v>57</v>
      </c>
      <c r="E58" s="59" t="s">
        <v>13</v>
      </c>
      <c r="F58" s="76">
        <f t="shared" si="2"/>
        <v>15.670000000000002</v>
      </c>
      <c r="G58" s="76">
        <v>3.25</v>
      </c>
      <c r="H58" s="77">
        <f t="shared" si="0"/>
        <v>18.920000000000002</v>
      </c>
      <c r="I58" s="59" t="s">
        <v>11</v>
      </c>
      <c r="J58" s="59" t="s">
        <v>12</v>
      </c>
      <c r="K58" s="59" t="s">
        <v>92</v>
      </c>
      <c r="L58" s="78">
        <f>VLOOKUP(D58,Worksheet!$A$2:$I$245,4,FALSE)</f>
        <v>18.920000000000002</v>
      </c>
      <c r="M58" s="79">
        <v>250423</v>
      </c>
      <c r="N58" s="80"/>
      <c r="O58" s="80"/>
      <c r="P58" s="81">
        <f t="shared" si="1"/>
        <v>4738003.16</v>
      </c>
    </row>
    <row r="59" spans="1:16">
      <c r="A59" s="59">
        <v>58</v>
      </c>
      <c r="B59" s="59">
        <v>428</v>
      </c>
      <c r="C59" s="59">
        <v>4</v>
      </c>
      <c r="D59" s="59">
        <v>58</v>
      </c>
      <c r="E59" s="59" t="s">
        <v>13</v>
      </c>
      <c r="F59" s="76">
        <f t="shared" si="2"/>
        <v>15.780000000000001</v>
      </c>
      <c r="G59" s="76">
        <v>3.25</v>
      </c>
      <c r="H59" s="77">
        <f t="shared" si="0"/>
        <v>19.03</v>
      </c>
      <c r="I59" s="59" t="s">
        <v>11</v>
      </c>
      <c r="J59" s="59" t="s">
        <v>12</v>
      </c>
      <c r="K59" s="59" t="s">
        <v>92</v>
      </c>
      <c r="L59" s="78">
        <f>VLOOKUP(D59,Worksheet!$A$2:$I$245,4,FALSE)</f>
        <v>19.03</v>
      </c>
      <c r="M59" s="79">
        <v>241724</v>
      </c>
      <c r="N59" s="80"/>
      <c r="O59" s="80"/>
      <c r="P59" s="81">
        <f t="shared" si="1"/>
        <v>4600007.7200000007</v>
      </c>
    </row>
    <row r="60" spans="1:16">
      <c r="A60" s="59">
        <v>59</v>
      </c>
      <c r="B60" s="59">
        <v>429</v>
      </c>
      <c r="C60" s="59">
        <v>4</v>
      </c>
      <c r="D60" s="59">
        <v>59</v>
      </c>
      <c r="E60" s="59" t="s">
        <v>13</v>
      </c>
      <c r="F60" s="76">
        <f t="shared" si="2"/>
        <v>15.670000000000002</v>
      </c>
      <c r="G60" s="76">
        <v>3.25</v>
      </c>
      <c r="H60" s="77">
        <f t="shared" si="0"/>
        <v>18.920000000000002</v>
      </c>
      <c r="I60" s="59" t="s">
        <v>11</v>
      </c>
      <c r="J60" s="59" t="s">
        <v>12</v>
      </c>
      <c r="K60" s="59" t="s">
        <v>92</v>
      </c>
      <c r="L60" s="78">
        <f>VLOOKUP(D60,Worksheet!$A$2:$I$245,4,FALSE)</f>
        <v>18.920000000000002</v>
      </c>
      <c r="M60" s="79">
        <v>250423</v>
      </c>
      <c r="N60" s="80"/>
      <c r="O60" s="80"/>
      <c r="P60" s="81">
        <f t="shared" si="1"/>
        <v>4738003.16</v>
      </c>
    </row>
    <row r="61" spans="1:16">
      <c r="A61" s="59">
        <v>60</v>
      </c>
      <c r="B61" s="59">
        <v>430</v>
      </c>
      <c r="C61" s="59">
        <v>4</v>
      </c>
      <c r="D61" s="59">
        <v>60</v>
      </c>
      <c r="E61" s="59" t="s">
        <v>14</v>
      </c>
      <c r="F61" s="76">
        <f t="shared" si="2"/>
        <v>40.99</v>
      </c>
      <c r="G61" s="76">
        <v>9.39</v>
      </c>
      <c r="H61" s="77">
        <f t="shared" si="0"/>
        <v>50.38</v>
      </c>
      <c r="I61" s="59" t="s">
        <v>11</v>
      </c>
      <c r="J61" s="59" t="s">
        <v>12</v>
      </c>
      <c r="K61" s="59" t="s">
        <v>95</v>
      </c>
      <c r="L61" s="78">
        <f>VLOOKUP(D61,Worksheet!$A$2:$I$245,4,FALSE)</f>
        <v>50.38</v>
      </c>
      <c r="M61" s="79">
        <v>250099</v>
      </c>
      <c r="N61" s="80"/>
      <c r="O61" s="80"/>
      <c r="P61" s="81">
        <f t="shared" si="1"/>
        <v>12599987.620000001</v>
      </c>
    </row>
    <row r="62" spans="1:16">
      <c r="A62" s="59">
        <v>61</v>
      </c>
      <c r="B62" s="59">
        <v>501</v>
      </c>
      <c r="C62" s="59">
        <v>5</v>
      </c>
      <c r="D62" s="59">
        <v>61</v>
      </c>
      <c r="E62" s="59" t="s">
        <v>14</v>
      </c>
      <c r="F62" s="76">
        <f t="shared" si="2"/>
        <v>40.910000000000004</v>
      </c>
      <c r="G62" s="76">
        <v>9.4</v>
      </c>
      <c r="H62" s="77">
        <f t="shared" si="0"/>
        <v>50.31</v>
      </c>
      <c r="I62" s="59" t="s">
        <v>17</v>
      </c>
      <c r="J62" s="59" t="s">
        <v>18</v>
      </c>
      <c r="K62" s="59" t="s">
        <v>153</v>
      </c>
      <c r="L62" s="78">
        <f>VLOOKUP(D62,Worksheet!$A$2:$I$245,4,FALSE)</f>
        <v>50.31</v>
      </c>
      <c r="M62" s="79">
        <v>254423</v>
      </c>
      <c r="N62" s="79">
        <v>50000</v>
      </c>
      <c r="O62" s="79">
        <v>50000</v>
      </c>
      <c r="P62" s="81">
        <f t="shared" si="1"/>
        <v>17831021.129999999</v>
      </c>
    </row>
    <row r="63" spans="1:16">
      <c r="A63" s="59">
        <v>62</v>
      </c>
      <c r="B63" s="59">
        <v>502</v>
      </c>
      <c r="C63" s="59">
        <v>5</v>
      </c>
      <c r="D63" s="59">
        <v>62</v>
      </c>
      <c r="E63" s="59" t="s">
        <v>13</v>
      </c>
      <c r="F63" s="76">
        <f t="shared" si="2"/>
        <v>15.66</v>
      </c>
      <c r="G63" s="76">
        <v>3.25</v>
      </c>
      <c r="H63" s="77">
        <f t="shared" si="0"/>
        <v>18.91</v>
      </c>
      <c r="I63" s="59" t="s">
        <v>17</v>
      </c>
      <c r="J63" s="59" t="s">
        <v>18</v>
      </c>
      <c r="K63" s="59" t="s">
        <v>154</v>
      </c>
      <c r="L63" s="78">
        <f>VLOOKUP(D63,Worksheet!$A$2:$I$245,4,FALSE)</f>
        <v>18.91</v>
      </c>
      <c r="M63" s="79">
        <v>269699</v>
      </c>
      <c r="N63" s="79">
        <v>50000</v>
      </c>
      <c r="O63" s="79">
        <v>50000</v>
      </c>
      <c r="P63" s="81">
        <f t="shared" si="1"/>
        <v>6991008.0899999999</v>
      </c>
    </row>
    <row r="64" spans="1:16">
      <c r="A64" s="59">
        <v>63</v>
      </c>
      <c r="B64" s="59">
        <v>503</v>
      </c>
      <c r="C64" s="59">
        <v>5</v>
      </c>
      <c r="D64" s="59">
        <v>63</v>
      </c>
      <c r="E64" s="59" t="s">
        <v>13</v>
      </c>
      <c r="F64" s="76">
        <f t="shared" si="2"/>
        <v>15.690000000000001</v>
      </c>
      <c r="G64" s="76">
        <v>3.25</v>
      </c>
      <c r="H64" s="77">
        <f t="shared" si="0"/>
        <v>18.940000000000001</v>
      </c>
      <c r="I64" s="59" t="s">
        <v>17</v>
      </c>
      <c r="J64" s="59" t="s">
        <v>18</v>
      </c>
      <c r="K64" s="59" t="s">
        <v>154</v>
      </c>
      <c r="L64" s="78">
        <f>VLOOKUP(D64,Worksheet!$A$2:$I$245,4,FALSE)</f>
        <v>18.940000000000001</v>
      </c>
      <c r="M64" s="79">
        <v>269271</v>
      </c>
      <c r="N64" s="79">
        <v>50000</v>
      </c>
      <c r="O64" s="79">
        <v>50000</v>
      </c>
      <c r="P64" s="81">
        <f t="shared" si="1"/>
        <v>6993992.7400000002</v>
      </c>
    </row>
    <row r="65" spans="1:16">
      <c r="A65" s="59">
        <v>64</v>
      </c>
      <c r="B65" s="59">
        <v>504</v>
      </c>
      <c r="C65" s="59">
        <v>5</v>
      </c>
      <c r="D65" s="59">
        <v>64</v>
      </c>
      <c r="E65" s="59" t="s">
        <v>13</v>
      </c>
      <c r="F65" s="76">
        <f t="shared" si="2"/>
        <v>15.64</v>
      </c>
      <c r="G65" s="76">
        <v>3.25</v>
      </c>
      <c r="H65" s="77">
        <f t="shared" si="0"/>
        <v>18.89</v>
      </c>
      <c r="I65" s="59" t="s">
        <v>17</v>
      </c>
      <c r="J65" s="59" t="s">
        <v>18</v>
      </c>
      <c r="K65" s="59" t="s">
        <v>153</v>
      </c>
      <c r="L65" s="78">
        <f>VLOOKUP(D65,Worksheet!$A$2:$I$245,4,FALSE)</f>
        <v>18.89</v>
      </c>
      <c r="M65" s="79">
        <v>291159</v>
      </c>
      <c r="N65" s="79">
        <v>50000</v>
      </c>
      <c r="O65" s="79">
        <v>50000</v>
      </c>
      <c r="P65" s="81">
        <f t="shared" si="1"/>
        <v>7388993.5099999998</v>
      </c>
    </row>
    <row r="66" spans="1:16">
      <c r="A66" s="59">
        <v>65</v>
      </c>
      <c r="B66" s="59">
        <v>505</v>
      </c>
      <c r="C66" s="59">
        <v>5</v>
      </c>
      <c r="D66" s="59">
        <v>65</v>
      </c>
      <c r="E66" s="59" t="s">
        <v>13</v>
      </c>
      <c r="F66" s="76">
        <f t="shared" si="2"/>
        <v>15.7</v>
      </c>
      <c r="G66" s="76">
        <v>3.25</v>
      </c>
      <c r="H66" s="77">
        <f t="shared" si="0"/>
        <v>18.95</v>
      </c>
      <c r="I66" s="59" t="s">
        <v>17</v>
      </c>
      <c r="J66" s="59" t="s">
        <v>18</v>
      </c>
      <c r="K66" s="59" t="s">
        <v>153</v>
      </c>
      <c r="L66" s="78">
        <f>VLOOKUP(D66,Worksheet!$A$2:$I$245,4,FALSE)</f>
        <v>18.95</v>
      </c>
      <c r="M66" s="79">
        <v>290237</v>
      </c>
      <c r="N66" s="79">
        <v>50000</v>
      </c>
      <c r="O66" s="79">
        <v>50000</v>
      </c>
      <c r="P66" s="81">
        <f t="shared" si="1"/>
        <v>7394991.1499999994</v>
      </c>
    </row>
    <row r="67" spans="1:16">
      <c r="A67" s="59">
        <v>66</v>
      </c>
      <c r="B67" s="59">
        <v>506</v>
      </c>
      <c r="C67" s="59">
        <v>5</v>
      </c>
      <c r="D67" s="59">
        <v>66</v>
      </c>
      <c r="E67" s="59" t="s">
        <v>13</v>
      </c>
      <c r="F67" s="76">
        <f t="shared" si="2"/>
        <v>15.68</v>
      </c>
      <c r="G67" s="76">
        <v>3.25</v>
      </c>
      <c r="H67" s="77">
        <f t="shared" ref="H67:H130" si="3">L67</f>
        <v>18.93</v>
      </c>
      <c r="I67" s="59" t="s">
        <v>17</v>
      </c>
      <c r="J67" s="59" t="s">
        <v>18</v>
      </c>
      <c r="K67" s="59" t="s">
        <v>153</v>
      </c>
      <c r="L67" s="78">
        <f>VLOOKUP(D67,Worksheet!$A$2:$I$245,4,FALSE)</f>
        <v>18.93</v>
      </c>
      <c r="M67" s="79">
        <v>293185</v>
      </c>
      <c r="N67" s="79">
        <v>50000</v>
      </c>
      <c r="O67" s="79">
        <v>50000</v>
      </c>
      <c r="P67" s="81">
        <f t="shared" ref="P67:P130" si="4">SUM(M67:O67)*L67</f>
        <v>7442992.0499999998</v>
      </c>
    </row>
    <row r="68" spans="1:16">
      <c r="A68" s="59">
        <v>67</v>
      </c>
      <c r="B68" s="59">
        <v>507</v>
      </c>
      <c r="C68" s="59">
        <v>5</v>
      </c>
      <c r="D68" s="59">
        <v>67</v>
      </c>
      <c r="E68" s="59" t="s">
        <v>15</v>
      </c>
      <c r="F68" s="76">
        <f t="shared" si="2"/>
        <v>20.92</v>
      </c>
      <c r="G68" s="76">
        <v>8.77</v>
      </c>
      <c r="H68" s="77">
        <f t="shared" si="3"/>
        <v>29.69</v>
      </c>
      <c r="I68" s="59" t="s">
        <v>17</v>
      </c>
      <c r="J68" s="59" t="s">
        <v>18</v>
      </c>
      <c r="K68" s="59" t="s">
        <v>154</v>
      </c>
      <c r="L68" s="78">
        <f>VLOOKUP(D68,Worksheet!$A$2:$I$245,4,FALSE)</f>
        <v>29.69</v>
      </c>
      <c r="M68" s="79">
        <v>252610</v>
      </c>
      <c r="N68" s="79">
        <v>50000</v>
      </c>
      <c r="O68" s="79">
        <v>50000</v>
      </c>
      <c r="P68" s="81">
        <f t="shared" si="4"/>
        <v>10468990.9</v>
      </c>
    </row>
    <row r="69" spans="1:16">
      <c r="A69" s="59">
        <v>68</v>
      </c>
      <c r="B69" s="59">
        <v>508</v>
      </c>
      <c r="C69" s="59">
        <v>5</v>
      </c>
      <c r="D69" s="59">
        <v>68</v>
      </c>
      <c r="E69" s="59" t="s">
        <v>10</v>
      </c>
      <c r="F69" s="76">
        <f t="shared" ref="F69:F132" si="5">H69-G69</f>
        <v>24.110000000000003</v>
      </c>
      <c r="G69" s="76">
        <v>3.31</v>
      </c>
      <c r="H69" s="77">
        <f t="shared" si="3"/>
        <v>27.42</v>
      </c>
      <c r="I69" s="59" t="s">
        <v>17</v>
      </c>
      <c r="J69" s="59" t="s">
        <v>18</v>
      </c>
      <c r="K69" s="59" t="s">
        <v>153</v>
      </c>
      <c r="L69" s="78">
        <f>VLOOKUP(D69,Worksheet!$A$2:$I$245,4,FALSE)</f>
        <v>27.42</v>
      </c>
      <c r="M69" s="79">
        <v>277170</v>
      </c>
      <c r="N69" s="79">
        <v>50000</v>
      </c>
      <c r="O69" s="79">
        <v>50000</v>
      </c>
      <c r="P69" s="81">
        <f t="shared" si="4"/>
        <v>10342001.4</v>
      </c>
    </row>
    <row r="70" spans="1:16">
      <c r="A70" s="59">
        <v>69</v>
      </c>
      <c r="B70" s="59">
        <v>509</v>
      </c>
      <c r="C70" s="59">
        <v>5</v>
      </c>
      <c r="D70" s="59">
        <v>69</v>
      </c>
      <c r="E70" s="59" t="s">
        <v>13</v>
      </c>
      <c r="F70" s="76">
        <f t="shared" si="5"/>
        <v>15.670000000000002</v>
      </c>
      <c r="G70" s="76">
        <v>3.25</v>
      </c>
      <c r="H70" s="77">
        <f t="shared" si="3"/>
        <v>18.920000000000002</v>
      </c>
      <c r="I70" s="59" t="s">
        <v>17</v>
      </c>
      <c r="J70" s="59" t="s">
        <v>18</v>
      </c>
      <c r="K70" s="59" t="s">
        <v>153</v>
      </c>
      <c r="L70" s="78">
        <f>VLOOKUP(D70,Worksheet!$A$2:$I$245,4,FALSE)</f>
        <v>18.920000000000002</v>
      </c>
      <c r="M70" s="79">
        <v>298626</v>
      </c>
      <c r="N70" s="79">
        <v>50000</v>
      </c>
      <c r="O70" s="79">
        <v>50000</v>
      </c>
      <c r="P70" s="81">
        <f t="shared" si="4"/>
        <v>7542003.9200000009</v>
      </c>
    </row>
    <row r="71" spans="1:16">
      <c r="A71" s="59">
        <v>70</v>
      </c>
      <c r="B71" s="59">
        <v>510</v>
      </c>
      <c r="C71" s="59">
        <v>5</v>
      </c>
      <c r="D71" s="59">
        <v>70</v>
      </c>
      <c r="E71" s="59" t="s">
        <v>13</v>
      </c>
      <c r="F71" s="76">
        <f t="shared" si="5"/>
        <v>15.75</v>
      </c>
      <c r="G71" s="76">
        <v>3.25</v>
      </c>
      <c r="H71" s="77">
        <f t="shared" si="3"/>
        <v>19</v>
      </c>
      <c r="I71" s="59" t="s">
        <v>17</v>
      </c>
      <c r="J71" s="59" t="s">
        <v>18</v>
      </c>
      <c r="K71" s="59" t="s">
        <v>153</v>
      </c>
      <c r="L71" s="78">
        <f>VLOOKUP(D71,Worksheet!$A$2:$I$245,4,FALSE)</f>
        <v>19</v>
      </c>
      <c r="M71" s="79">
        <v>297368</v>
      </c>
      <c r="N71" s="79">
        <v>50000</v>
      </c>
      <c r="O71" s="79">
        <v>50000</v>
      </c>
      <c r="P71" s="81">
        <f t="shared" si="4"/>
        <v>7549992</v>
      </c>
    </row>
    <row r="72" spans="1:16">
      <c r="A72" s="59">
        <v>71</v>
      </c>
      <c r="B72" s="59">
        <v>511</v>
      </c>
      <c r="C72" s="59">
        <v>5</v>
      </c>
      <c r="D72" s="59">
        <v>71</v>
      </c>
      <c r="E72" s="59" t="s">
        <v>13</v>
      </c>
      <c r="F72" s="76">
        <f t="shared" si="5"/>
        <v>15.75</v>
      </c>
      <c r="G72" s="76">
        <v>3.25</v>
      </c>
      <c r="H72" s="77">
        <f t="shared" si="3"/>
        <v>19</v>
      </c>
      <c r="I72" s="59" t="s">
        <v>17</v>
      </c>
      <c r="J72" s="59" t="s">
        <v>18</v>
      </c>
      <c r="K72" s="59" t="s">
        <v>154</v>
      </c>
      <c r="L72" s="78">
        <f>VLOOKUP(D72,Worksheet!$A$2:$I$245,4,FALSE)</f>
        <v>19</v>
      </c>
      <c r="M72" s="79">
        <v>239474</v>
      </c>
      <c r="N72" s="79">
        <v>50000</v>
      </c>
      <c r="O72" s="79">
        <v>50000</v>
      </c>
      <c r="P72" s="81">
        <f t="shared" si="4"/>
        <v>6450006</v>
      </c>
    </row>
    <row r="73" spans="1:16">
      <c r="A73" s="59">
        <v>72</v>
      </c>
      <c r="B73" s="59">
        <v>512</v>
      </c>
      <c r="C73" s="59">
        <v>5</v>
      </c>
      <c r="D73" s="59">
        <v>72</v>
      </c>
      <c r="E73" s="59" t="s">
        <v>13</v>
      </c>
      <c r="F73" s="76">
        <f t="shared" si="5"/>
        <v>15.75</v>
      </c>
      <c r="G73" s="76">
        <v>3.25</v>
      </c>
      <c r="H73" s="77">
        <f t="shared" si="3"/>
        <v>19</v>
      </c>
      <c r="I73" s="59" t="s">
        <v>17</v>
      </c>
      <c r="J73" s="59" t="s">
        <v>18</v>
      </c>
      <c r="K73" s="59" t="s">
        <v>154</v>
      </c>
      <c r="L73" s="78">
        <f>VLOOKUP(D73,Worksheet!$A$2:$I$245,4,FALSE)</f>
        <v>19</v>
      </c>
      <c r="M73" s="79">
        <v>273684</v>
      </c>
      <c r="N73" s="79">
        <v>50000</v>
      </c>
      <c r="O73" s="79">
        <v>50000</v>
      </c>
      <c r="P73" s="81">
        <f t="shared" si="4"/>
        <v>7099996</v>
      </c>
    </row>
    <row r="74" spans="1:16">
      <c r="A74" s="59">
        <v>73</v>
      </c>
      <c r="B74" s="59">
        <v>513</v>
      </c>
      <c r="C74" s="59">
        <v>5</v>
      </c>
      <c r="D74" s="59">
        <v>73</v>
      </c>
      <c r="E74" s="59" t="s">
        <v>13</v>
      </c>
      <c r="F74" s="76">
        <f t="shared" si="5"/>
        <v>15.670000000000002</v>
      </c>
      <c r="G74" s="76">
        <v>3.25</v>
      </c>
      <c r="H74" s="77">
        <f t="shared" si="3"/>
        <v>18.920000000000002</v>
      </c>
      <c r="I74" s="59" t="s">
        <v>17</v>
      </c>
      <c r="J74" s="59" t="s">
        <v>18</v>
      </c>
      <c r="K74" s="59" t="s">
        <v>154</v>
      </c>
      <c r="L74" s="78">
        <f>VLOOKUP(D74,Worksheet!$A$2:$I$245,4,FALSE)</f>
        <v>18.920000000000002</v>
      </c>
      <c r="M74" s="79">
        <v>274841</v>
      </c>
      <c r="N74" s="79">
        <v>50000</v>
      </c>
      <c r="O74" s="79">
        <v>50000</v>
      </c>
      <c r="P74" s="81">
        <f t="shared" si="4"/>
        <v>7091991.7200000007</v>
      </c>
    </row>
    <row r="75" spans="1:16">
      <c r="A75" s="59">
        <v>74</v>
      </c>
      <c r="B75" s="59">
        <v>514</v>
      </c>
      <c r="C75" s="59">
        <v>5</v>
      </c>
      <c r="D75" s="59">
        <v>74</v>
      </c>
      <c r="E75" s="59" t="s">
        <v>10</v>
      </c>
      <c r="F75" s="76">
        <f t="shared" si="5"/>
        <v>31.76</v>
      </c>
      <c r="G75" s="76">
        <v>6.7</v>
      </c>
      <c r="H75" s="77">
        <f t="shared" si="3"/>
        <v>38.46</v>
      </c>
      <c r="I75" s="59" t="s">
        <v>17</v>
      </c>
      <c r="J75" s="59" t="s">
        <v>18</v>
      </c>
      <c r="K75" s="59" t="s">
        <v>154</v>
      </c>
      <c r="L75" s="78">
        <f>VLOOKUP(D75,Worksheet!$A$2:$I$245,4,FALSE)</f>
        <v>38.46</v>
      </c>
      <c r="M75" s="79">
        <v>252210</v>
      </c>
      <c r="N75" s="79">
        <v>50000</v>
      </c>
      <c r="O75" s="79">
        <v>50000</v>
      </c>
      <c r="P75" s="81">
        <f t="shared" si="4"/>
        <v>13545996.6</v>
      </c>
    </row>
    <row r="76" spans="1:16">
      <c r="A76" s="59">
        <v>75</v>
      </c>
      <c r="B76" s="59">
        <v>515</v>
      </c>
      <c r="C76" s="59">
        <v>5</v>
      </c>
      <c r="D76" s="59">
        <v>75</v>
      </c>
      <c r="E76" s="59" t="s">
        <v>14</v>
      </c>
      <c r="F76" s="76">
        <f t="shared" si="5"/>
        <v>39.690000000000005</v>
      </c>
      <c r="G76" s="76">
        <v>12.12</v>
      </c>
      <c r="H76" s="77">
        <f t="shared" si="3"/>
        <v>51.81</v>
      </c>
      <c r="I76" s="59" t="s">
        <v>17</v>
      </c>
      <c r="J76" s="59" t="s">
        <v>18</v>
      </c>
      <c r="K76" s="59" t="s">
        <v>153</v>
      </c>
      <c r="L76" s="78">
        <f>VLOOKUP(D76,Worksheet!$A$2:$I$245,4,FALSE)</f>
        <v>51.81</v>
      </c>
      <c r="M76" s="79">
        <v>270218</v>
      </c>
      <c r="N76" s="79">
        <v>50000</v>
      </c>
      <c r="O76" s="79">
        <v>50000</v>
      </c>
      <c r="P76" s="81">
        <f t="shared" si="4"/>
        <v>19180994.580000002</v>
      </c>
    </row>
    <row r="77" spans="1:16">
      <c r="A77" s="59">
        <v>76</v>
      </c>
      <c r="B77" s="59">
        <v>516</v>
      </c>
      <c r="C77" s="59">
        <v>5</v>
      </c>
      <c r="D77" s="59">
        <v>76</v>
      </c>
      <c r="E77" s="59" t="s">
        <v>14</v>
      </c>
      <c r="F77" s="76">
        <f t="shared" si="5"/>
        <v>39.65</v>
      </c>
      <c r="G77" s="76">
        <v>12.13</v>
      </c>
      <c r="H77" s="77">
        <f t="shared" si="3"/>
        <v>51.78</v>
      </c>
      <c r="I77" s="59" t="s">
        <v>17</v>
      </c>
      <c r="J77" s="59" t="s">
        <v>18</v>
      </c>
      <c r="K77" s="59" t="s">
        <v>154</v>
      </c>
      <c r="L77" s="78">
        <f>VLOOKUP(D77,Worksheet!$A$2:$I$245,4,FALSE)</f>
        <v>51.78</v>
      </c>
      <c r="M77" s="79">
        <v>270375</v>
      </c>
      <c r="N77" s="79">
        <v>50000</v>
      </c>
      <c r="O77" s="79">
        <v>50000</v>
      </c>
      <c r="P77" s="81">
        <f t="shared" si="4"/>
        <v>19178017.5</v>
      </c>
    </row>
    <row r="78" spans="1:16">
      <c r="A78" s="59">
        <v>77</v>
      </c>
      <c r="B78" s="59">
        <v>517</v>
      </c>
      <c r="C78" s="59">
        <v>5</v>
      </c>
      <c r="D78" s="59">
        <v>77</v>
      </c>
      <c r="E78" s="59" t="s">
        <v>13</v>
      </c>
      <c r="F78" s="76">
        <f t="shared" si="5"/>
        <v>15.37</v>
      </c>
      <c r="G78" s="76">
        <v>3.31</v>
      </c>
      <c r="H78" s="77">
        <f t="shared" si="3"/>
        <v>18.68</v>
      </c>
      <c r="I78" s="59" t="s">
        <v>17</v>
      </c>
      <c r="J78" s="59" t="s">
        <v>18</v>
      </c>
      <c r="K78" s="59" t="s">
        <v>154</v>
      </c>
      <c r="L78" s="78">
        <f>VLOOKUP(D78,Worksheet!$A$2:$I$245,4,FALSE)</f>
        <v>18.68</v>
      </c>
      <c r="M78" s="79">
        <v>283726</v>
      </c>
      <c r="N78" s="79">
        <v>50000</v>
      </c>
      <c r="O78" s="79">
        <v>50000</v>
      </c>
      <c r="P78" s="81">
        <f t="shared" si="4"/>
        <v>7168001.6799999997</v>
      </c>
    </row>
    <row r="79" spans="1:16">
      <c r="A79" s="59">
        <v>78</v>
      </c>
      <c r="B79" s="59">
        <v>518</v>
      </c>
      <c r="C79" s="59">
        <v>5</v>
      </c>
      <c r="D79" s="59">
        <v>78</v>
      </c>
      <c r="E79" s="59" t="s">
        <v>13</v>
      </c>
      <c r="F79" s="76">
        <f t="shared" si="5"/>
        <v>15.719999999999999</v>
      </c>
      <c r="G79" s="76">
        <v>3.25</v>
      </c>
      <c r="H79" s="77">
        <f t="shared" si="3"/>
        <v>18.97</v>
      </c>
      <c r="I79" s="59" t="s">
        <v>17</v>
      </c>
      <c r="J79" s="59" t="s">
        <v>18</v>
      </c>
      <c r="K79" s="59" t="s">
        <v>154</v>
      </c>
      <c r="L79" s="78">
        <f>VLOOKUP(D79,Worksheet!$A$2:$I$245,4,FALSE)</f>
        <v>18.97</v>
      </c>
      <c r="M79" s="79">
        <v>279389</v>
      </c>
      <c r="N79" s="79">
        <v>50000</v>
      </c>
      <c r="O79" s="79">
        <v>50000</v>
      </c>
      <c r="P79" s="81">
        <f t="shared" si="4"/>
        <v>7197009.3299999991</v>
      </c>
    </row>
    <row r="80" spans="1:16">
      <c r="A80" s="59">
        <v>79</v>
      </c>
      <c r="B80" s="59">
        <v>519</v>
      </c>
      <c r="C80" s="59">
        <v>5</v>
      </c>
      <c r="D80" s="59">
        <v>79</v>
      </c>
      <c r="E80" s="59" t="s">
        <v>13</v>
      </c>
      <c r="F80" s="76">
        <f t="shared" si="5"/>
        <v>15.670000000000002</v>
      </c>
      <c r="G80" s="76">
        <v>3.25</v>
      </c>
      <c r="H80" s="77">
        <f t="shared" si="3"/>
        <v>18.920000000000002</v>
      </c>
      <c r="I80" s="59" t="s">
        <v>17</v>
      </c>
      <c r="J80" s="59" t="s">
        <v>18</v>
      </c>
      <c r="K80" s="59" t="s">
        <v>154</v>
      </c>
      <c r="L80" s="78">
        <f>VLOOKUP(D80,Worksheet!$A$2:$I$245,4,FALSE)</f>
        <v>18.920000000000002</v>
      </c>
      <c r="M80" s="79">
        <v>274841</v>
      </c>
      <c r="N80" s="79">
        <v>50000</v>
      </c>
      <c r="O80" s="79">
        <v>50000</v>
      </c>
      <c r="P80" s="81">
        <f t="shared" si="4"/>
        <v>7091991.7200000007</v>
      </c>
    </row>
    <row r="81" spans="1:16">
      <c r="A81" s="59">
        <v>80</v>
      </c>
      <c r="B81" s="59">
        <v>520</v>
      </c>
      <c r="C81" s="59">
        <v>5</v>
      </c>
      <c r="D81" s="59">
        <v>80</v>
      </c>
      <c r="E81" s="59" t="s">
        <v>13</v>
      </c>
      <c r="F81" s="76">
        <f t="shared" si="5"/>
        <v>15.75</v>
      </c>
      <c r="G81" s="76">
        <v>3.25</v>
      </c>
      <c r="H81" s="77">
        <f t="shared" si="3"/>
        <v>19</v>
      </c>
      <c r="I81" s="59" t="s">
        <v>17</v>
      </c>
      <c r="J81" s="59" t="s">
        <v>18</v>
      </c>
      <c r="K81" s="59" t="s">
        <v>154</v>
      </c>
      <c r="L81" s="78">
        <f>VLOOKUP(D81,Worksheet!$A$2:$I$245,4,FALSE)</f>
        <v>19</v>
      </c>
      <c r="M81" s="79">
        <v>239474</v>
      </c>
      <c r="N81" s="79">
        <v>50000</v>
      </c>
      <c r="O81" s="79">
        <v>50000</v>
      </c>
      <c r="P81" s="81">
        <f t="shared" si="4"/>
        <v>6450006</v>
      </c>
    </row>
    <row r="82" spans="1:16">
      <c r="A82" s="59">
        <v>81</v>
      </c>
      <c r="B82" s="59">
        <v>521</v>
      </c>
      <c r="C82" s="59">
        <v>5</v>
      </c>
      <c r="D82" s="59">
        <v>81</v>
      </c>
      <c r="E82" s="59" t="s">
        <v>13</v>
      </c>
      <c r="F82" s="76">
        <f t="shared" si="5"/>
        <v>15.75</v>
      </c>
      <c r="G82" s="76">
        <v>3.25</v>
      </c>
      <c r="H82" s="77">
        <f t="shared" si="3"/>
        <v>19</v>
      </c>
      <c r="I82" s="59" t="s">
        <v>17</v>
      </c>
      <c r="J82" s="59" t="s">
        <v>18</v>
      </c>
      <c r="K82" s="59" t="s">
        <v>154</v>
      </c>
      <c r="L82" s="78">
        <f>VLOOKUP(D82,Worksheet!$A$2:$I$245,4,FALSE)</f>
        <v>19</v>
      </c>
      <c r="M82" s="79">
        <v>278947</v>
      </c>
      <c r="N82" s="79">
        <v>50000</v>
      </c>
      <c r="O82" s="79">
        <v>50000</v>
      </c>
      <c r="P82" s="81">
        <f t="shared" si="4"/>
        <v>7199993</v>
      </c>
    </row>
    <row r="83" spans="1:16">
      <c r="A83" s="59">
        <v>82</v>
      </c>
      <c r="B83" s="59">
        <v>522</v>
      </c>
      <c r="C83" s="59">
        <v>5</v>
      </c>
      <c r="D83" s="59">
        <v>82</v>
      </c>
      <c r="E83" s="59" t="s">
        <v>13</v>
      </c>
      <c r="F83" s="76">
        <f t="shared" si="5"/>
        <v>15.75</v>
      </c>
      <c r="G83" s="76">
        <v>3.25</v>
      </c>
      <c r="H83" s="77">
        <f t="shared" si="3"/>
        <v>19</v>
      </c>
      <c r="I83" s="59" t="s">
        <v>17</v>
      </c>
      <c r="J83" s="59" t="s">
        <v>18</v>
      </c>
      <c r="K83" s="59" t="s">
        <v>154</v>
      </c>
      <c r="L83" s="78">
        <f>VLOOKUP(D83,Worksheet!$A$2:$I$245,4,FALSE)</f>
        <v>19</v>
      </c>
      <c r="M83" s="79">
        <v>273684</v>
      </c>
      <c r="N83" s="79">
        <v>50000</v>
      </c>
      <c r="O83" s="79">
        <v>50000</v>
      </c>
      <c r="P83" s="81">
        <f t="shared" si="4"/>
        <v>7099996</v>
      </c>
    </row>
    <row r="84" spans="1:16">
      <c r="A84" s="59">
        <v>83</v>
      </c>
      <c r="B84" s="59">
        <v>523</v>
      </c>
      <c r="C84" s="59">
        <v>5</v>
      </c>
      <c r="D84" s="59">
        <v>83</v>
      </c>
      <c r="E84" s="59" t="s">
        <v>13</v>
      </c>
      <c r="F84" s="76">
        <f t="shared" si="5"/>
        <v>15.670000000000002</v>
      </c>
      <c r="G84" s="76">
        <v>3.25</v>
      </c>
      <c r="H84" s="77">
        <f t="shared" si="3"/>
        <v>18.920000000000002</v>
      </c>
      <c r="I84" s="59" t="s">
        <v>17</v>
      </c>
      <c r="J84" s="59" t="s">
        <v>18</v>
      </c>
      <c r="K84" s="59" t="s">
        <v>154</v>
      </c>
      <c r="L84" s="78">
        <f>VLOOKUP(D84,Worksheet!$A$2:$I$245,4,FALSE)</f>
        <v>18.920000000000002</v>
      </c>
      <c r="M84" s="79">
        <v>303911</v>
      </c>
      <c r="N84" s="79">
        <v>50000</v>
      </c>
      <c r="O84" s="79">
        <v>50000</v>
      </c>
      <c r="P84" s="81">
        <f t="shared" si="4"/>
        <v>7641996.120000001</v>
      </c>
    </row>
    <row r="85" spans="1:16">
      <c r="A85" s="59">
        <v>84</v>
      </c>
      <c r="B85" s="59">
        <v>524</v>
      </c>
      <c r="C85" s="59">
        <v>5</v>
      </c>
      <c r="D85" s="59">
        <v>84</v>
      </c>
      <c r="E85" s="59" t="s">
        <v>13</v>
      </c>
      <c r="F85" s="76">
        <f t="shared" si="5"/>
        <v>15.82</v>
      </c>
      <c r="G85" s="76">
        <v>3.3</v>
      </c>
      <c r="H85" s="77">
        <f t="shared" si="3"/>
        <v>19.12</v>
      </c>
      <c r="I85" s="59" t="s">
        <v>17</v>
      </c>
      <c r="J85" s="59" t="s">
        <v>18</v>
      </c>
      <c r="K85" s="59" t="s">
        <v>154</v>
      </c>
      <c r="L85" s="78">
        <f>VLOOKUP(D85,Worksheet!$A$2:$I$245,4,FALSE)</f>
        <v>19.12</v>
      </c>
      <c r="M85" s="79">
        <v>300732</v>
      </c>
      <c r="N85" s="79">
        <v>50000</v>
      </c>
      <c r="O85" s="79">
        <v>50000</v>
      </c>
      <c r="P85" s="81">
        <f t="shared" si="4"/>
        <v>7661995.8400000008</v>
      </c>
    </row>
    <row r="86" spans="1:16">
      <c r="A86" s="59">
        <v>85</v>
      </c>
      <c r="B86" s="59">
        <v>525</v>
      </c>
      <c r="C86" s="59">
        <v>5</v>
      </c>
      <c r="D86" s="59">
        <v>85</v>
      </c>
      <c r="E86" s="59" t="s">
        <v>16</v>
      </c>
      <c r="F86" s="76">
        <f t="shared" si="5"/>
        <v>32.31</v>
      </c>
      <c r="G86" s="76">
        <v>18.11</v>
      </c>
      <c r="H86" s="77">
        <f t="shared" si="3"/>
        <v>50.42</v>
      </c>
      <c r="I86" s="59" t="s">
        <v>17</v>
      </c>
      <c r="J86" s="59" t="s">
        <v>18</v>
      </c>
      <c r="K86" s="59" t="s">
        <v>153</v>
      </c>
      <c r="L86" s="78">
        <f>VLOOKUP(D86,Worksheet!$A$2:$I$245,4,FALSE)</f>
        <v>50.42</v>
      </c>
      <c r="M86" s="79">
        <v>230067</v>
      </c>
      <c r="N86" s="79">
        <v>50000</v>
      </c>
      <c r="O86" s="79">
        <v>50000</v>
      </c>
      <c r="P86" s="81">
        <f t="shared" si="4"/>
        <v>16641978.140000001</v>
      </c>
    </row>
    <row r="87" spans="1:16">
      <c r="A87" s="59">
        <v>86</v>
      </c>
      <c r="B87" s="59">
        <v>526</v>
      </c>
      <c r="C87" s="59">
        <v>5</v>
      </c>
      <c r="D87" s="59">
        <v>86</v>
      </c>
      <c r="E87" s="59" t="s">
        <v>13</v>
      </c>
      <c r="F87" s="76">
        <f t="shared" si="5"/>
        <v>15.77</v>
      </c>
      <c r="G87" s="76">
        <v>3.25</v>
      </c>
      <c r="H87" s="77">
        <f t="shared" si="3"/>
        <v>19.02</v>
      </c>
      <c r="I87" s="59" t="s">
        <v>17</v>
      </c>
      <c r="J87" s="59" t="s">
        <v>18</v>
      </c>
      <c r="K87" s="59" t="s">
        <v>154</v>
      </c>
      <c r="L87" s="78">
        <f>VLOOKUP(D87,Worksheet!$A$2:$I$245,4,FALSE)</f>
        <v>19.02</v>
      </c>
      <c r="M87" s="79">
        <v>294427</v>
      </c>
      <c r="N87" s="79">
        <v>50000</v>
      </c>
      <c r="O87" s="79">
        <v>50000</v>
      </c>
      <c r="P87" s="81">
        <f t="shared" si="4"/>
        <v>7502001.54</v>
      </c>
    </row>
    <row r="88" spans="1:16">
      <c r="A88" s="59">
        <v>87</v>
      </c>
      <c r="B88" s="59">
        <v>527</v>
      </c>
      <c r="C88" s="59">
        <v>5</v>
      </c>
      <c r="D88" s="59">
        <v>87</v>
      </c>
      <c r="E88" s="59" t="s">
        <v>13</v>
      </c>
      <c r="F88" s="76">
        <f t="shared" si="5"/>
        <v>15.690000000000001</v>
      </c>
      <c r="G88" s="76">
        <v>3.25</v>
      </c>
      <c r="H88" s="77">
        <f t="shared" si="3"/>
        <v>18.940000000000001</v>
      </c>
      <c r="I88" s="59" t="s">
        <v>17</v>
      </c>
      <c r="J88" s="59" t="s">
        <v>18</v>
      </c>
      <c r="K88" s="59" t="s">
        <v>153</v>
      </c>
      <c r="L88" s="78">
        <f>VLOOKUP(D88,Worksheet!$A$2:$I$245,4,FALSE)</f>
        <v>18.940000000000001</v>
      </c>
      <c r="M88" s="79">
        <v>295671</v>
      </c>
      <c r="N88" s="79">
        <v>50000</v>
      </c>
      <c r="O88" s="79">
        <v>50000</v>
      </c>
      <c r="P88" s="81">
        <f t="shared" si="4"/>
        <v>7494008.7400000002</v>
      </c>
    </row>
    <row r="89" spans="1:16">
      <c r="A89" s="59">
        <v>88</v>
      </c>
      <c r="B89" s="59">
        <v>528</v>
      </c>
      <c r="C89" s="59">
        <v>5</v>
      </c>
      <c r="D89" s="59">
        <v>88</v>
      </c>
      <c r="E89" s="59" t="s">
        <v>13</v>
      </c>
      <c r="F89" s="76">
        <f t="shared" si="5"/>
        <v>15.760000000000002</v>
      </c>
      <c r="G89" s="76">
        <v>3.25</v>
      </c>
      <c r="H89" s="77">
        <f t="shared" si="3"/>
        <v>19.010000000000002</v>
      </c>
      <c r="I89" s="59" t="s">
        <v>17</v>
      </c>
      <c r="J89" s="59" t="s">
        <v>18</v>
      </c>
      <c r="K89" s="59" t="s">
        <v>154</v>
      </c>
      <c r="L89" s="78">
        <f>VLOOKUP(D89,Worksheet!$A$2:$I$245,4,FALSE)</f>
        <v>19.010000000000002</v>
      </c>
      <c r="M89" s="79">
        <v>294582</v>
      </c>
      <c r="N89" s="79">
        <v>50000</v>
      </c>
      <c r="O89" s="79">
        <v>50000</v>
      </c>
      <c r="P89" s="81">
        <f t="shared" si="4"/>
        <v>7501003.8200000003</v>
      </c>
    </row>
    <row r="90" spans="1:16">
      <c r="A90" s="59">
        <v>89</v>
      </c>
      <c r="B90" s="59">
        <v>529</v>
      </c>
      <c r="C90" s="59">
        <v>5</v>
      </c>
      <c r="D90" s="59">
        <v>89</v>
      </c>
      <c r="E90" s="59" t="s">
        <v>13</v>
      </c>
      <c r="F90" s="76">
        <f t="shared" si="5"/>
        <v>15.66</v>
      </c>
      <c r="G90" s="76">
        <v>3.25</v>
      </c>
      <c r="H90" s="77">
        <f t="shared" si="3"/>
        <v>18.91</v>
      </c>
      <c r="I90" s="59" t="s">
        <v>17</v>
      </c>
      <c r="J90" s="59" t="s">
        <v>18</v>
      </c>
      <c r="K90" s="59" t="s">
        <v>153</v>
      </c>
      <c r="L90" s="78">
        <f>VLOOKUP(D90,Worksheet!$A$2:$I$245,4,FALSE)</f>
        <v>18.91</v>
      </c>
      <c r="M90" s="79">
        <v>293496</v>
      </c>
      <c r="N90" s="79">
        <v>50000</v>
      </c>
      <c r="O90" s="79">
        <v>50000</v>
      </c>
      <c r="P90" s="81">
        <f t="shared" si="4"/>
        <v>7441009.3600000003</v>
      </c>
    </row>
    <row r="91" spans="1:16">
      <c r="A91" s="59">
        <v>90</v>
      </c>
      <c r="B91" s="59">
        <v>530</v>
      </c>
      <c r="C91" s="59">
        <v>5</v>
      </c>
      <c r="D91" s="59">
        <v>90</v>
      </c>
      <c r="E91" s="59" t="s">
        <v>14</v>
      </c>
      <c r="F91" s="76">
        <f t="shared" si="5"/>
        <v>40.97</v>
      </c>
      <c r="G91" s="76">
        <v>9.39</v>
      </c>
      <c r="H91" s="77">
        <f t="shared" si="3"/>
        <v>50.36</v>
      </c>
      <c r="I91" s="59" t="s">
        <v>17</v>
      </c>
      <c r="J91" s="59" t="s">
        <v>18</v>
      </c>
      <c r="K91" s="59" t="s">
        <v>153</v>
      </c>
      <c r="L91" s="78">
        <f>VLOOKUP(D91,Worksheet!$A$2:$I$245,4,FALSE)</f>
        <v>50.36</v>
      </c>
      <c r="M91" s="79">
        <v>254170</v>
      </c>
      <c r="N91" s="79">
        <v>50000</v>
      </c>
      <c r="O91" s="79">
        <v>50000</v>
      </c>
      <c r="P91" s="81">
        <f t="shared" si="4"/>
        <v>17836001.199999999</v>
      </c>
    </row>
    <row r="92" spans="1:16">
      <c r="A92" s="59">
        <v>91</v>
      </c>
      <c r="B92" s="59">
        <v>601</v>
      </c>
      <c r="C92" s="59">
        <v>6</v>
      </c>
      <c r="D92" s="59">
        <v>91</v>
      </c>
      <c r="E92" s="59" t="s">
        <v>14</v>
      </c>
      <c r="F92" s="76">
        <f t="shared" si="5"/>
        <v>41.32</v>
      </c>
      <c r="G92" s="76">
        <v>9.0399999999999991</v>
      </c>
      <c r="H92" s="77">
        <f t="shared" si="3"/>
        <v>50.36</v>
      </c>
      <c r="I92" s="59" t="s">
        <v>17</v>
      </c>
      <c r="J92" s="59" t="s">
        <v>18</v>
      </c>
      <c r="K92" s="59" t="s">
        <v>153</v>
      </c>
      <c r="L92" s="78">
        <f>VLOOKUP(D92,Worksheet!$A$2:$I$245,4,FALSE)</f>
        <v>50.36</v>
      </c>
      <c r="M92" s="79">
        <v>258141</v>
      </c>
      <c r="N92" s="79">
        <v>50000</v>
      </c>
      <c r="O92" s="79">
        <v>50000</v>
      </c>
      <c r="P92" s="81">
        <f t="shared" si="4"/>
        <v>18035980.760000002</v>
      </c>
    </row>
    <row r="93" spans="1:16">
      <c r="A93" s="59">
        <v>92</v>
      </c>
      <c r="B93" s="59">
        <v>602</v>
      </c>
      <c r="C93" s="59">
        <v>6</v>
      </c>
      <c r="D93" s="59">
        <v>92</v>
      </c>
      <c r="E93" s="59" t="s">
        <v>13</v>
      </c>
      <c r="F93" s="76">
        <f t="shared" si="5"/>
        <v>15.970000000000002</v>
      </c>
      <c r="G93" s="76">
        <v>2.95</v>
      </c>
      <c r="H93" s="77">
        <f t="shared" si="3"/>
        <v>18.920000000000002</v>
      </c>
      <c r="I93" s="59" t="s">
        <v>17</v>
      </c>
      <c r="J93" s="59" t="s">
        <v>18</v>
      </c>
      <c r="K93" s="59" t="s">
        <v>153</v>
      </c>
      <c r="L93" s="78">
        <f>VLOOKUP(D93,Worksheet!$A$2:$I$245,4,FALSE)</f>
        <v>18.920000000000002</v>
      </c>
      <c r="M93" s="79">
        <v>293340</v>
      </c>
      <c r="N93" s="79">
        <v>50000</v>
      </c>
      <c r="O93" s="79">
        <v>50000</v>
      </c>
      <c r="P93" s="81">
        <f t="shared" si="4"/>
        <v>7441992.8000000007</v>
      </c>
    </row>
    <row r="94" spans="1:16">
      <c r="A94" s="59">
        <v>93</v>
      </c>
      <c r="B94" s="59">
        <v>603</v>
      </c>
      <c r="C94" s="59">
        <v>6</v>
      </c>
      <c r="D94" s="59">
        <v>93</v>
      </c>
      <c r="E94" s="59" t="s">
        <v>13</v>
      </c>
      <c r="F94" s="76">
        <f t="shared" si="5"/>
        <v>16</v>
      </c>
      <c r="G94" s="76">
        <v>3.03</v>
      </c>
      <c r="H94" s="77">
        <f t="shared" si="3"/>
        <v>19.03</v>
      </c>
      <c r="I94" s="59" t="s">
        <v>17</v>
      </c>
      <c r="J94" s="59" t="s">
        <v>18</v>
      </c>
      <c r="K94" s="59" t="s">
        <v>153</v>
      </c>
      <c r="L94" s="78">
        <f>VLOOKUP(D94,Worksheet!$A$2:$I$245,4,FALSE)</f>
        <v>19.03</v>
      </c>
      <c r="M94" s="79">
        <v>291645</v>
      </c>
      <c r="N94" s="79">
        <v>50000</v>
      </c>
      <c r="O94" s="79">
        <v>50000</v>
      </c>
      <c r="P94" s="81">
        <f t="shared" si="4"/>
        <v>7453004.3500000006</v>
      </c>
    </row>
    <row r="95" spans="1:16">
      <c r="A95" s="59">
        <v>94</v>
      </c>
      <c r="B95" s="59">
        <v>604</v>
      </c>
      <c r="C95" s="59">
        <v>6</v>
      </c>
      <c r="D95" s="59">
        <v>94</v>
      </c>
      <c r="E95" s="59" t="s">
        <v>13</v>
      </c>
      <c r="F95" s="76">
        <f t="shared" si="5"/>
        <v>15.98</v>
      </c>
      <c r="G95" s="76">
        <v>2.95</v>
      </c>
      <c r="H95" s="77">
        <f t="shared" si="3"/>
        <v>18.93</v>
      </c>
      <c r="I95" s="59" t="s">
        <v>17</v>
      </c>
      <c r="J95" s="59" t="s">
        <v>18</v>
      </c>
      <c r="K95" s="59" t="s">
        <v>153</v>
      </c>
      <c r="L95" s="78">
        <f>VLOOKUP(D95,Worksheet!$A$2:$I$245,4,FALSE)</f>
        <v>18.93</v>
      </c>
      <c r="M95" s="79">
        <v>295827</v>
      </c>
      <c r="N95" s="79">
        <v>50000</v>
      </c>
      <c r="O95" s="79">
        <v>50000</v>
      </c>
      <c r="P95" s="81">
        <f t="shared" si="4"/>
        <v>7493005.1100000003</v>
      </c>
    </row>
    <row r="96" spans="1:16">
      <c r="A96" s="59">
        <v>95</v>
      </c>
      <c r="B96" s="59">
        <v>605</v>
      </c>
      <c r="C96" s="59">
        <v>6</v>
      </c>
      <c r="D96" s="59">
        <v>95</v>
      </c>
      <c r="E96" s="59" t="s">
        <v>13</v>
      </c>
      <c r="F96" s="76">
        <f t="shared" si="5"/>
        <v>16</v>
      </c>
      <c r="G96" s="76">
        <v>3.02</v>
      </c>
      <c r="H96" s="77">
        <f t="shared" si="3"/>
        <v>19.02</v>
      </c>
      <c r="I96" s="59" t="s">
        <v>17</v>
      </c>
      <c r="J96" s="59" t="s">
        <v>18</v>
      </c>
      <c r="K96" s="59" t="s">
        <v>154</v>
      </c>
      <c r="L96" s="78">
        <f>VLOOKUP(D96,Worksheet!$A$2:$I$245,4,FALSE)</f>
        <v>19.02</v>
      </c>
      <c r="M96" s="79">
        <v>294427</v>
      </c>
      <c r="N96" s="79">
        <v>50000</v>
      </c>
      <c r="O96" s="79">
        <v>50000</v>
      </c>
      <c r="P96" s="81">
        <f t="shared" si="4"/>
        <v>7502001.54</v>
      </c>
    </row>
    <row r="97" spans="1:16">
      <c r="A97" s="59">
        <v>96</v>
      </c>
      <c r="B97" s="59">
        <v>606</v>
      </c>
      <c r="C97" s="59">
        <v>6</v>
      </c>
      <c r="D97" s="59">
        <v>96</v>
      </c>
      <c r="E97" s="59" t="s">
        <v>13</v>
      </c>
      <c r="F97" s="76">
        <f t="shared" si="5"/>
        <v>16</v>
      </c>
      <c r="G97" s="76">
        <v>3.02</v>
      </c>
      <c r="H97" s="77">
        <f t="shared" si="3"/>
        <v>19.02</v>
      </c>
      <c r="I97" s="59" t="s">
        <v>17</v>
      </c>
      <c r="J97" s="59" t="s">
        <v>18</v>
      </c>
      <c r="K97" s="59" t="s">
        <v>153</v>
      </c>
      <c r="L97" s="78">
        <f>VLOOKUP(D97,Worksheet!$A$2:$I$245,4,FALSE)</f>
        <v>19.02</v>
      </c>
      <c r="M97" s="79">
        <v>297056</v>
      </c>
      <c r="N97" s="79">
        <v>50000</v>
      </c>
      <c r="O97" s="79">
        <v>50000</v>
      </c>
      <c r="P97" s="81">
        <f t="shared" si="4"/>
        <v>7552005.1200000001</v>
      </c>
    </row>
    <row r="98" spans="1:16">
      <c r="A98" s="59">
        <v>97</v>
      </c>
      <c r="B98" s="59">
        <v>607</v>
      </c>
      <c r="C98" s="59">
        <v>6</v>
      </c>
      <c r="D98" s="59">
        <v>97</v>
      </c>
      <c r="E98" s="59" t="s">
        <v>15</v>
      </c>
      <c r="F98" s="76">
        <f t="shared" si="5"/>
        <v>21.159999999999997</v>
      </c>
      <c r="G98" s="76">
        <v>8.67</v>
      </c>
      <c r="H98" s="77">
        <f t="shared" si="3"/>
        <v>29.83</v>
      </c>
      <c r="I98" s="59" t="s">
        <v>17</v>
      </c>
      <c r="J98" s="59" t="s">
        <v>18</v>
      </c>
      <c r="K98" s="59" t="s">
        <v>154</v>
      </c>
      <c r="L98" s="78">
        <f>VLOOKUP(D98,Worksheet!$A$2:$I$245,4,FALSE)</f>
        <v>29.83</v>
      </c>
      <c r="M98" s="79">
        <v>254777</v>
      </c>
      <c r="N98" s="79">
        <v>50000</v>
      </c>
      <c r="O98" s="79">
        <v>50000</v>
      </c>
      <c r="P98" s="81">
        <f t="shared" si="4"/>
        <v>10582997.91</v>
      </c>
    </row>
    <row r="99" spans="1:16">
      <c r="A99" s="59">
        <v>98</v>
      </c>
      <c r="B99" s="59">
        <v>608</v>
      </c>
      <c r="C99" s="59">
        <v>6</v>
      </c>
      <c r="D99" s="59">
        <v>98</v>
      </c>
      <c r="E99" s="59" t="s">
        <v>10</v>
      </c>
      <c r="F99" s="76">
        <f t="shared" si="5"/>
        <v>24.1</v>
      </c>
      <c r="G99" s="76">
        <v>6.31</v>
      </c>
      <c r="H99" s="77">
        <f t="shared" si="3"/>
        <v>30.41</v>
      </c>
      <c r="I99" s="59" t="s">
        <v>17</v>
      </c>
      <c r="J99" s="59" t="s">
        <v>18</v>
      </c>
      <c r="K99" s="59" t="s">
        <v>153</v>
      </c>
      <c r="L99" s="78">
        <f>VLOOKUP(D99,Worksheet!$A$2:$I$245,4,FALSE)</f>
        <v>30.41</v>
      </c>
      <c r="M99" s="79">
        <v>256495</v>
      </c>
      <c r="N99" s="79">
        <v>50000</v>
      </c>
      <c r="O99" s="79">
        <v>50000</v>
      </c>
      <c r="P99" s="81">
        <f t="shared" si="4"/>
        <v>10841012.949999999</v>
      </c>
    </row>
    <row r="100" spans="1:16">
      <c r="A100" s="59">
        <v>99</v>
      </c>
      <c r="B100" s="59">
        <v>609</v>
      </c>
      <c r="C100" s="59">
        <v>6</v>
      </c>
      <c r="D100" s="59">
        <v>99</v>
      </c>
      <c r="E100" s="59" t="s">
        <v>13</v>
      </c>
      <c r="F100" s="76">
        <f t="shared" si="5"/>
        <v>15.969999999999999</v>
      </c>
      <c r="G100" s="76">
        <v>2.96</v>
      </c>
      <c r="H100" s="77">
        <f t="shared" si="3"/>
        <v>18.93</v>
      </c>
      <c r="I100" s="59" t="s">
        <v>17</v>
      </c>
      <c r="J100" s="59" t="s">
        <v>18</v>
      </c>
      <c r="K100" s="59" t="s">
        <v>153</v>
      </c>
      <c r="L100" s="78">
        <f>VLOOKUP(D100,Worksheet!$A$2:$I$245,4,FALSE)</f>
        <v>18.93</v>
      </c>
      <c r="M100" s="79">
        <v>303751</v>
      </c>
      <c r="N100" s="79">
        <v>50000</v>
      </c>
      <c r="O100" s="79">
        <v>50000</v>
      </c>
      <c r="P100" s="81">
        <f t="shared" si="4"/>
        <v>7643006.4299999997</v>
      </c>
    </row>
    <row r="101" spans="1:16">
      <c r="A101" s="59">
        <v>100</v>
      </c>
      <c r="B101" s="59">
        <v>610</v>
      </c>
      <c r="C101" s="59">
        <v>6</v>
      </c>
      <c r="D101" s="59">
        <v>100</v>
      </c>
      <c r="E101" s="59" t="s">
        <v>13</v>
      </c>
      <c r="F101" s="76">
        <f t="shared" si="5"/>
        <v>15.97</v>
      </c>
      <c r="G101" s="76">
        <v>3.03</v>
      </c>
      <c r="H101" s="77">
        <f t="shared" si="3"/>
        <v>19</v>
      </c>
      <c r="I101" s="59" t="s">
        <v>17</v>
      </c>
      <c r="J101" s="59" t="s">
        <v>18</v>
      </c>
      <c r="K101" s="59" t="s">
        <v>153</v>
      </c>
      <c r="L101" s="78">
        <f>VLOOKUP(D101,Worksheet!$A$2:$I$245,4,FALSE)</f>
        <v>19</v>
      </c>
      <c r="M101" s="79">
        <v>302632</v>
      </c>
      <c r="N101" s="79">
        <v>50000</v>
      </c>
      <c r="O101" s="79">
        <v>50000</v>
      </c>
      <c r="P101" s="81">
        <f t="shared" si="4"/>
        <v>7650008</v>
      </c>
    </row>
    <row r="102" spans="1:16">
      <c r="A102" s="59">
        <v>101</v>
      </c>
      <c r="B102" s="59">
        <v>611</v>
      </c>
      <c r="C102" s="59">
        <v>6</v>
      </c>
      <c r="D102" s="59">
        <v>101</v>
      </c>
      <c r="E102" s="59" t="s">
        <v>13</v>
      </c>
      <c r="F102" s="76">
        <f t="shared" si="5"/>
        <v>15.97</v>
      </c>
      <c r="G102" s="76">
        <v>3.03</v>
      </c>
      <c r="H102" s="77">
        <f t="shared" si="3"/>
        <v>19</v>
      </c>
      <c r="I102" s="59" t="s">
        <v>17</v>
      </c>
      <c r="J102" s="59" t="s">
        <v>18</v>
      </c>
      <c r="K102" s="59" t="s">
        <v>153</v>
      </c>
      <c r="L102" s="78">
        <f>VLOOKUP(D102,Worksheet!$A$2:$I$245,4,FALSE)</f>
        <v>19</v>
      </c>
      <c r="M102" s="79">
        <v>302632</v>
      </c>
      <c r="N102" s="79">
        <v>50000</v>
      </c>
      <c r="O102" s="79">
        <v>50000</v>
      </c>
      <c r="P102" s="81">
        <f t="shared" si="4"/>
        <v>7650008</v>
      </c>
    </row>
    <row r="103" spans="1:16">
      <c r="A103" s="59">
        <v>102</v>
      </c>
      <c r="B103" s="59">
        <v>612</v>
      </c>
      <c r="C103" s="59">
        <v>6</v>
      </c>
      <c r="D103" s="59">
        <v>102</v>
      </c>
      <c r="E103" s="59" t="s">
        <v>13</v>
      </c>
      <c r="F103" s="76">
        <f t="shared" si="5"/>
        <v>15.97</v>
      </c>
      <c r="G103" s="76">
        <v>3.03</v>
      </c>
      <c r="H103" s="77">
        <f t="shared" si="3"/>
        <v>19</v>
      </c>
      <c r="I103" s="59" t="s">
        <v>17</v>
      </c>
      <c r="J103" s="59" t="s">
        <v>18</v>
      </c>
      <c r="K103" s="59" t="s">
        <v>153</v>
      </c>
      <c r="L103" s="78">
        <f>VLOOKUP(D103,Worksheet!$A$2:$I$245,4,FALSE)</f>
        <v>19</v>
      </c>
      <c r="M103" s="79">
        <v>302632</v>
      </c>
      <c r="N103" s="79">
        <v>50000</v>
      </c>
      <c r="O103" s="79">
        <v>50000</v>
      </c>
      <c r="P103" s="81">
        <f t="shared" si="4"/>
        <v>7650008</v>
      </c>
    </row>
    <row r="104" spans="1:16">
      <c r="A104" s="59">
        <v>103</v>
      </c>
      <c r="B104" s="59">
        <v>613</v>
      </c>
      <c r="C104" s="59">
        <v>6</v>
      </c>
      <c r="D104" s="59">
        <v>103</v>
      </c>
      <c r="E104" s="59" t="s">
        <v>13</v>
      </c>
      <c r="F104" s="76">
        <f t="shared" si="5"/>
        <v>15.970000000000002</v>
      </c>
      <c r="G104" s="76">
        <v>2.95</v>
      </c>
      <c r="H104" s="77">
        <f t="shared" si="3"/>
        <v>18.920000000000002</v>
      </c>
      <c r="I104" s="59" t="s">
        <v>17</v>
      </c>
      <c r="J104" s="59" t="s">
        <v>18</v>
      </c>
      <c r="K104" s="59" t="s">
        <v>154</v>
      </c>
      <c r="L104" s="78">
        <f>VLOOKUP(D104,Worksheet!$A$2:$I$245,4,FALSE)</f>
        <v>18.920000000000002</v>
      </c>
      <c r="M104" s="79">
        <v>280127</v>
      </c>
      <c r="N104" s="79">
        <v>50000</v>
      </c>
      <c r="O104" s="79">
        <v>50000</v>
      </c>
      <c r="P104" s="81">
        <f t="shared" si="4"/>
        <v>7192002.8400000008</v>
      </c>
    </row>
    <row r="105" spans="1:16">
      <c r="A105" s="59">
        <v>104</v>
      </c>
      <c r="B105" s="59">
        <v>614</v>
      </c>
      <c r="C105" s="59">
        <v>6</v>
      </c>
      <c r="D105" s="59">
        <v>104</v>
      </c>
      <c r="E105" s="59" t="s">
        <v>19</v>
      </c>
      <c r="F105" s="76">
        <f t="shared" si="5"/>
        <v>32.149999999999991</v>
      </c>
      <c r="G105" s="76">
        <v>63.06</v>
      </c>
      <c r="H105" s="77">
        <f t="shared" si="3"/>
        <v>95.21</v>
      </c>
      <c r="I105" s="59" t="s">
        <v>17</v>
      </c>
      <c r="J105" s="59" t="s">
        <v>18</v>
      </c>
      <c r="K105" s="59" t="s">
        <v>153</v>
      </c>
      <c r="L105" s="78">
        <f>VLOOKUP(D105,Worksheet!$A$2:$I$245,4,FALSE)</f>
        <v>95.21</v>
      </c>
      <c r="M105" s="79">
        <v>210062</v>
      </c>
      <c r="N105" s="79">
        <v>50000</v>
      </c>
      <c r="O105" s="79">
        <v>50000</v>
      </c>
      <c r="P105" s="81">
        <f t="shared" si="4"/>
        <v>29521003.02</v>
      </c>
    </row>
    <row r="106" spans="1:16">
      <c r="A106" s="59">
        <v>105</v>
      </c>
      <c r="B106" s="59">
        <v>615</v>
      </c>
      <c r="C106" s="59">
        <v>6</v>
      </c>
      <c r="D106" s="59">
        <v>105</v>
      </c>
      <c r="E106" s="59" t="s">
        <v>19</v>
      </c>
      <c r="F106" s="76">
        <f t="shared" si="5"/>
        <v>31.869999999999997</v>
      </c>
      <c r="G106" s="76">
        <v>63.07</v>
      </c>
      <c r="H106" s="77">
        <f t="shared" si="3"/>
        <v>94.94</v>
      </c>
      <c r="I106" s="59" t="s">
        <v>17</v>
      </c>
      <c r="J106" s="59" t="s">
        <v>18</v>
      </c>
      <c r="K106" s="59" t="s">
        <v>153</v>
      </c>
      <c r="L106" s="78">
        <f>VLOOKUP(D106,Worksheet!$A$2:$I$245,4,FALSE)</f>
        <v>94.94</v>
      </c>
      <c r="M106" s="79">
        <v>210659</v>
      </c>
      <c r="N106" s="79">
        <v>50000</v>
      </c>
      <c r="O106" s="79">
        <v>50000</v>
      </c>
      <c r="P106" s="81">
        <f t="shared" si="4"/>
        <v>29493965.460000001</v>
      </c>
    </row>
    <row r="107" spans="1:16">
      <c r="A107" s="59">
        <v>106</v>
      </c>
      <c r="B107" s="59">
        <v>616</v>
      </c>
      <c r="C107" s="59">
        <v>6</v>
      </c>
      <c r="D107" s="59">
        <v>106</v>
      </c>
      <c r="E107" s="59" t="s">
        <v>13</v>
      </c>
      <c r="F107" s="76">
        <f t="shared" si="5"/>
        <v>15.96</v>
      </c>
      <c r="G107" s="76">
        <v>2.95</v>
      </c>
      <c r="H107" s="77">
        <f t="shared" si="3"/>
        <v>18.91</v>
      </c>
      <c r="I107" s="59" t="s">
        <v>17</v>
      </c>
      <c r="J107" s="59" t="s">
        <v>18</v>
      </c>
      <c r="K107" s="59" t="s">
        <v>154</v>
      </c>
      <c r="L107" s="78">
        <f>VLOOKUP(D107,Worksheet!$A$2:$I$245,4,FALSE)</f>
        <v>18.91</v>
      </c>
      <c r="M107" s="79">
        <v>280275</v>
      </c>
      <c r="N107" s="79">
        <v>50000</v>
      </c>
      <c r="O107" s="79">
        <v>50000</v>
      </c>
      <c r="P107" s="81">
        <f t="shared" si="4"/>
        <v>7191000.25</v>
      </c>
    </row>
    <row r="108" spans="1:16">
      <c r="A108" s="59">
        <v>107</v>
      </c>
      <c r="B108" s="59">
        <v>617</v>
      </c>
      <c r="C108" s="59">
        <v>6</v>
      </c>
      <c r="D108" s="59">
        <v>107</v>
      </c>
      <c r="E108" s="59" t="s">
        <v>13</v>
      </c>
      <c r="F108" s="76">
        <f t="shared" si="5"/>
        <v>15.97</v>
      </c>
      <c r="G108" s="76">
        <v>3.03</v>
      </c>
      <c r="H108" s="77">
        <f t="shared" si="3"/>
        <v>19</v>
      </c>
      <c r="I108" s="59" t="s">
        <v>17</v>
      </c>
      <c r="J108" s="59" t="s">
        <v>18</v>
      </c>
      <c r="K108" s="59" t="s">
        <v>154</v>
      </c>
      <c r="L108" s="78">
        <f>VLOOKUP(D108,Worksheet!$A$2:$I$245,4,FALSE)</f>
        <v>19</v>
      </c>
      <c r="M108" s="79">
        <v>307895</v>
      </c>
      <c r="N108" s="79">
        <v>50000</v>
      </c>
      <c r="O108" s="79">
        <v>50000</v>
      </c>
      <c r="P108" s="81">
        <f t="shared" si="4"/>
        <v>7750005</v>
      </c>
    </row>
    <row r="109" spans="1:16">
      <c r="A109" s="59">
        <v>108</v>
      </c>
      <c r="B109" s="59">
        <v>618</v>
      </c>
      <c r="C109" s="59">
        <v>6</v>
      </c>
      <c r="D109" s="59">
        <v>108</v>
      </c>
      <c r="E109" s="59" t="s">
        <v>13</v>
      </c>
      <c r="F109" s="76">
        <f t="shared" si="5"/>
        <v>15.969999999999999</v>
      </c>
      <c r="G109" s="76">
        <v>3.02</v>
      </c>
      <c r="H109" s="77">
        <f t="shared" si="3"/>
        <v>18.989999999999998</v>
      </c>
      <c r="I109" s="59" t="s">
        <v>17</v>
      </c>
      <c r="J109" s="59" t="s">
        <v>18</v>
      </c>
      <c r="K109" s="59" t="s">
        <v>154</v>
      </c>
      <c r="L109" s="78">
        <f>VLOOKUP(D109,Worksheet!$A$2:$I$245,4,FALSE)</f>
        <v>18.989999999999998</v>
      </c>
      <c r="M109" s="79">
        <v>284360</v>
      </c>
      <c r="N109" s="79">
        <v>50000</v>
      </c>
      <c r="O109" s="79">
        <v>50000</v>
      </c>
      <c r="P109" s="81">
        <f t="shared" si="4"/>
        <v>7298996.3999999994</v>
      </c>
    </row>
    <row r="110" spans="1:16">
      <c r="A110" s="59">
        <v>109</v>
      </c>
      <c r="B110" s="59">
        <v>619</v>
      </c>
      <c r="C110" s="59">
        <v>6</v>
      </c>
      <c r="D110" s="59">
        <v>109</v>
      </c>
      <c r="E110" s="59" t="s">
        <v>13</v>
      </c>
      <c r="F110" s="76">
        <f t="shared" si="5"/>
        <v>15.97</v>
      </c>
      <c r="G110" s="76">
        <v>3.03</v>
      </c>
      <c r="H110" s="77">
        <f t="shared" si="3"/>
        <v>19</v>
      </c>
      <c r="I110" s="59" t="s">
        <v>17</v>
      </c>
      <c r="J110" s="59" t="s">
        <v>18</v>
      </c>
      <c r="K110" s="59" t="s">
        <v>154</v>
      </c>
      <c r="L110" s="78">
        <f>VLOOKUP(D110,Worksheet!$A$2:$I$245,4,FALSE)</f>
        <v>19</v>
      </c>
      <c r="M110" s="79">
        <v>307895</v>
      </c>
      <c r="N110" s="79">
        <v>50000</v>
      </c>
      <c r="O110" s="79">
        <v>50000</v>
      </c>
      <c r="P110" s="81">
        <f t="shared" si="4"/>
        <v>7750005</v>
      </c>
    </row>
    <row r="111" spans="1:16">
      <c r="A111" s="59">
        <v>110</v>
      </c>
      <c r="B111" s="59">
        <v>620</v>
      </c>
      <c r="C111" s="59">
        <v>6</v>
      </c>
      <c r="D111" s="59">
        <v>110</v>
      </c>
      <c r="E111" s="59" t="s">
        <v>13</v>
      </c>
      <c r="F111" s="76">
        <f t="shared" si="5"/>
        <v>15.970000000000002</v>
      </c>
      <c r="G111" s="76">
        <v>2.95</v>
      </c>
      <c r="H111" s="77">
        <f t="shared" si="3"/>
        <v>18.920000000000002</v>
      </c>
      <c r="I111" s="59" t="s">
        <v>17</v>
      </c>
      <c r="J111" s="59" t="s">
        <v>18</v>
      </c>
      <c r="K111" s="59" t="s">
        <v>154</v>
      </c>
      <c r="L111" s="78">
        <f>VLOOKUP(D111,Worksheet!$A$2:$I$245,4,FALSE)</f>
        <v>18.920000000000002</v>
      </c>
      <c r="M111" s="79">
        <v>309197</v>
      </c>
      <c r="N111" s="79">
        <v>50000</v>
      </c>
      <c r="O111" s="79">
        <v>50000</v>
      </c>
      <c r="P111" s="81">
        <f t="shared" si="4"/>
        <v>7742007.2400000012</v>
      </c>
    </row>
    <row r="112" spans="1:16">
      <c r="A112" s="59">
        <v>111</v>
      </c>
      <c r="B112" s="59">
        <v>621</v>
      </c>
      <c r="C112" s="59">
        <v>6</v>
      </c>
      <c r="D112" s="59">
        <v>111</v>
      </c>
      <c r="E112" s="59" t="s">
        <v>13</v>
      </c>
      <c r="F112" s="76">
        <f t="shared" si="5"/>
        <v>15.97</v>
      </c>
      <c r="G112" s="76">
        <v>3.03</v>
      </c>
      <c r="H112" s="77">
        <f t="shared" si="3"/>
        <v>19</v>
      </c>
      <c r="I112" s="59" t="s">
        <v>17</v>
      </c>
      <c r="J112" s="59" t="s">
        <v>18</v>
      </c>
      <c r="K112" s="59" t="s">
        <v>154</v>
      </c>
      <c r="L112" s="78">
        <f>VLOOKUP(D112,Worksheet!$A$2:$I$245,4,FALSE)</f>
        <v>19</v>
      </c>
      <c r="M112" s="79">
        <v>305263</v>
      </c>
      <c r="N112" s="79">
        <v>50000</v>
      </c>
      <c r="O112" s="79">
        <v>50000</v>
      </c>
      <c r="P112" s="81">
        <f t="shared" si="4"/>
        <v>7699997</v>
      </c>
    </row>
    <row r="113" spans="1:16">
      <c r="A113" s="59">
        <v>112</v>
      </c>
      <c r="B113" s="59">
        <v>622</v>
      </c>
      <c r="C113" s="59">
        <v>6</v>
      </c>
      <c r="D113" s="59">
        <v>112</v>
      </c>
      <c r="E113" s="59" t="s">
        <v>16</v>
      </c>
      <c r="F113" s="76">
        <f t="shared" si="5"/>
        <v>32.24</v>
      </c>
      <c r="G113" s="76">
        <v>18.14</v>
      </c>
      <c r="H113" s="77">
        <f t="shared" si="3"/>
        <v>50.38</v>
      </c>
      <c r="I113" s="59" t="s">
        <v>17</v>
      </c>
      <c r="J113" s="59" t="s">
        <v>18</v>
      </c>
      <c r="K113" s="59" t="s">
        <v>154</v>
      </c>
      <c r="L113" s="78">
        <f>VLOOKUP(D113,Worksheet!$A$2:$I$245,4,FALSE)</f>
        <v>50.38</v>
      </c>
      <c r="M113" s="79">
        <v>240175</v>
      </c>
      <c r="N113" s="79">
        <v>50000</v>
      </c>
      <c r="O113" s="79">
        <v>50000</v>
      </c>
      <c r="P113" s="81">
        <f t="shared" si="4"/>
        <v>17138016.5</v>
      </c>
    </row>
    <row r="114" spans="1:16">
      <c r="A114" s="59">
        <v>113</v>
      </c>
      <c r="B114" s="59">
        <v>623</v>
      </c>
      <c r="C114" s="59">
        <v>6</v>
      </c>
      <c r="D114" s="59">
        <v>113</v>
      </c>
      <c r="E114" s="59" t="s">
        <v>13</v>
      </c>
      <c r="F114" s="76">
        <f t="shared" si="5"/>
        <v>16</v>
      </c>
      <c r="G114" s="76">
        <v>3.02</v>
      </c>
      <c r="H114" s="77">
        <f t="shared" si="3"/>
        <v>19.02</v>
      </c>
      <c r="I114" s="59" t="s">
        <v>17</v>
      </c>
      <c r="J114" s="59" t="s">
        <v>18</v>
      </c>
      <c r="K114" s="59" t="s">
        <v>154</v>
      </c>
      <c r="L114" s="78">
        <f>VLOOKUP(D114,Worksheet!$A$2:$I$245,4,FALSE)</f>
        <v>19.02</v>
      </c>
      <c r="M114" s="79">
        <v>299685</v>
      </c>
      <c r="N114" s="79">
        <v>50000</v>
      </c>
      <c r="O114" s="79">
        <v>50000</v>
      </c>
      <c r="P114" s="81">
        <f t="shared" si="4"/>
        <v>7602008.7000000002</v>
      </c>
    </row>
    <row r="115" spans="1:16">
      <c r="A115" s="59">
        <v>114</v>
      </c>
      <c r="B115" s="59">
        <v>624</v>
      </c>
      <c r="C115" s="59">
        <v>6</v>
      </c>
      <c r="D115" s="59">
        <v>114</v>
      </c>
      <c r="E115" s="59" t="s">
        <v>13</v>
      </c>
      <c r="F115" s="76">
        <f t="shared" si="5"/>
        <v>15.980000000000002</v>
      </c>
      <c r="G115" s="76">
        <v>2.94</v>
      </c>
      <c r="H115" s="77">
        <f t="shared" si="3"/>
        <v>18.920000000000002</v>
      </c>
      <c r="I115" s="59" t="s">
        <v>17</v>
      </c>
      <c r="J115" s="59" t="s">
        <v>18</v>
      </c>
      <c r="K115" s="59" t="s">
        <v>153</v>
      </c>
      <c r="L115" s="78">
        <f>VLOOKUP(D115,Worksheet!$A$2:$I$245,4,FALSE)</f>
        <v>18.920000000000002</v>
      </c>
      <c r="M115" s="79">
        <v>301268</v>
      </c>
      <c r="N115" s="79">
        <v>50000</v>
      </c>
      <c r="O115" s="79">
        <v>50000</v>
      </c>
      <c r="P115" s="81">
        <f t="shared" si="4"/>
        <v>7591990.5600000005</v>
      </c>
    </row>
    <row r="116" spans="1:16">
      <c r="A116" s="59">
        <v>115</v>
      </c>
      <c r="B116" s="59">
        <v>625</v>
      </c>
      <c r="C116" s="59">
        <v>6</v>
      </c>
      <c r="D116" s="59">
        <v>115</v>
      </c>
      <c r="E116" s="59" t="s">
        <v>13</v>
      </c>
      <c r="F116" s="76">
        <f t="shared" si="5"/>
        <v>15.980000000000002</v>
      </c>
      <c r="G116" s="76">
        <v>3.03</v>
      </c>
      <c r="H116" s="77">
        <f t="shared" si="3"/>
        <v>19.010000000000002</v>
      </c>
      <c r="I116" s="59" t="s">
        <v>17</v>
      </c>
      <c r="J116" s="59" t="s">
        <v>18</v>
      </c>
      <c r="K116" s="59" t="s">
        <v>153</v>
      </c>
      <c r="L116" s="78">
        <f>VLOOKUP(D116,Worksheet!$A$2:$I$245,4,FALSE)</f>
        <v>19.010000000000002</v>
      </c>
      <c r="M116" s="79">
        <v>299842</v>
      </c>
      <c r="N116" s="79">
        <v>50000</v>
      </c>
      <c r="O116" s="79">
        <v>50000</v>
      </c>
      <c r="P116" s="81">
        <f t="shared" si="4"/>
        <v>7600996.4200000009</v>
      </c>
    </row>
    <row r="117" spans="1:16">
      <c r="A117" s="59">
        <v>116</v>
      </c>
      <c r="B117" s="59">
        <v>626</v>
      </c>
      <c r="C117" s="59">
        <v>6</v>
      </c>
      <c r="D117" s="59">
        <v>116</v>
      </c>
      <c r="E117" s="59" t="s">
        <v>13</v>
      </c>
      <c r="F117" s="76">
        <f t="shared" si="5"/>
        <v>15.970000000000002</v>
      </c>
      <c r="G117" s="76">
        <v>2.95</v>
      </c>
      <c r="H117" s="77">
        <f t="shared" si="3"/>
        <v>18.920000000000002</v>
      </c>
      <c r="I117" s="59" t="s">
        <v>17</v>
      </c>
      <c r="J117" s="59" t="s">
        <v>18</v>
      </c>
      <c r="K117" s="59" t="s">
        <v>153</v>
      </c>
      <c r="L117" s="78">
        <f>VLOOKUP(D117,Worksheet!$A$2:$I$245,4,FALSE)</f>
        <v>18.920000000000002</v>
      </c>
      <c r="M117" s="79">
        <v>298626</v>
      </c>
      <c r="N117" s="79">
        <v>50000</v>
      </c>
      <c r="O117" s="79">
        <v>50000</v>
      </c>
      <c r="P117" s="81">
        <f t="shared" si="4"/>
        <v>7542003.9200000009</v>
      </c>
    </row>
    <row r="118" spans="1:16">
      <c r="A118" s="59">
        <v>117</v>
      </c>
      <c r="B118" s="59">
        <v>627</v>
      </c>
      <c r="C118" s="59">
        <v>6</v>
      </c>
      <c r="D118" s="59">
        <v>117</v>
      </c>
      <c r="E118" s="59" t="s">
        <v>14</v>
      </c>
      <c r="F118" s="76">
        <f t="shared" si="5"/>
        <v>41.31</v>
      </c>
      <c r="G118" s="76">
        <v>9.0399999999999991</v>
      </c>
      <c r="H118" s="77">
        <f t="shared" si="3"/>
        <v>50.35</v>
      </c>
      <c r="I118" s="59" t="s">
        <v>17</v>
      </c>
      <c r="J118" s="59" t="s">
        <v>18</v>
      </c>
      <c r="K118" s="59" t="s">
        <v>153</v>
      </c>
      <c r="L118" s="78">
        <f>VLOOKUP(D118,Worksheet!$A$2:$I$245,4,FALSE)</f>
        <v>50.35</v>
      </c>
      <c r="M118" s="79">
        <v>258193</v>
      </c>
      <c r="N118" s="79">
        <v>50000</v>
      </c>
      <c r="O118" s="79">
        <v>50000</v>
      </c>
      <c r="P118" s="81">
        <f t="shared" si="4"/>
        <v>18035017.550000001</v>
      </c>
    </row>
    <row r="119" spans="1:16">
      <c r="A119" s="59">
        <v>118</v>
      </c>
      <c r="B119" s="59">
        <v>701</v>
      </c>
      <c r="C119" s="59">
        <v>7</v>
      </c>
      <c r="D119" s="59">
        <v>118</v>
      </c>
      <c r="E119" s="59" t="s">
        <v>20</v>
      </c>
      <c r="F119" s="76">
        <f t="shared" si="5"/>
        <v>41.25</v>
      </c>
      <c r="G119" s="76">
        <v>27.98</v>
      </c>
      <c r="H119" s="77">
        <f t="shared" si="3"/>
        <v>69.23</v>
      </c>
      <c r="I119" s="59" t="s">
        <v>17</v>
      </c>
      <c r="J119" s="59" t="s">
        <v>18</v>
      </c>
      <c r="K119" s="59" t="s">
        <v>153</v>
      </c>
      <c r="L119" s="78">
        <f>VLOOKUP(D119,Worksheet!$A$2:$I$245,4,FALSE)</f>
        <v>69.23</v>
      </c>
      <c r="M119" s="79">
        <v>249892</v>
      </c>
      <c r="N119" s="79">
        <v>50000</v>
      </c>
      <c r="O119" s="79">
        <v>50000</v>
      </c>
      <c r="P119" s="81">
        <f t="shared" si="4"/>
        <v>24223023.16</v>
      </c>
    </row>
    <row r="120" spans="1:16">
      <c r="A120" s="59">
        <v>119</v>
      </c>
      <c r="B120" s="59">
        <v>702</v>
      </c>
      <c r="C120" s="59">
        <v>7</v>
      </c>
      <c r="D120" s="59">
        <v>119</v>
      </c>
      <c r="E120" s="59" t="s">
        <v>13</v>
      </c>
      <c r="F120" s="76">
        <f t="shared" si="5"/>
        <v>16</v>
      </c>
      <c r="G120" s="76">
        <v>3.03</v>
      </c>
      <c r="H120" s="77">
        <f t="shared" si="3"/>
        <v>19.03</v>
      </c>
      <c r="I120" s="59" t="s">
        <v>17</v>
      </c>
      <c r="J120" s="59" t="s">
        <v>18</v>
      </c>
      <c r="K120" s="59" t="s">
        <v>153</v>
      </c>
      <c r="L120" s="78">
        <f>VLOOKUP(D120,Worksheet!$A$2:$I$245,4,FALSE)</f>
        <v>19.03</v>
      </c>
      <c r="M120" s="79">
        <v>296900</v>
      </c>
      <c r="N120" s="79">
        <v>50000</v>
      </c>
      <c r="O120" s="79">
        <v>50000</v>
      </c>
      <c r="P120" s="81">
        <f t="shared" si="4"/>
        <v>7553007</v>
      </c>
    </row>
    <row r="121" spans="1:16">
      <c r="A121" s="59">
        <v>120</v>
      </c>
      <c r="B121" s="59">
        <v>703</v>
      </c>
      <c r="C121" s="59">
        <v>7</v>
      </c>
      <c r="D121" s="59">
        <v>120</v>
      </c>
      <c r="E121" s="59" t="s">
        <v>13</v>
      </c>
      <c r="F121" s="76">
        <f t="shared" si="5"/>
        <v>16</v>
      </c>
      <c r="G121" s="76">
        <v>2.95</v>
      </c>
      <c r="H121" s="77">
        <f t="shared" si="3"/>
        <v>18.95</v>
      </c>
      <c r="I121" s="59" t="s">
        <v>17</v>
      </c>
      <c r="J121" s="59" t="s">
        <v>18</v>
      </c>
      <c r="K121" s="59" t="s">
        <v>153</v>
      </c>
      <c r="L121" s="78">
        <f>VLOOKUP(D121,Worksheet!$A$2:$I$245,4,FALSE)</f>
        <v>18.95</v>
      </c>
      <c r="M121" s="79">
        <v>298153</v>
      </c>
      <c r="N121" s="79">
        <v>50000</v>
      </c>
      <c r="O121" s="79">
        <v>50000</v>
      </c>
      <c r="P121" s="81">
        <f t="shared" si="4"/>
        <v>7544999.3499999996</v>
      </c>
    </row>
    <row r="122" spans="1:16">
      <c r="A122" s="59">
        <v>121</v>
      </c>
      <c r="B122" s="59">
        <v>704</v>
      </c>
      <c r="C122" s="59">
        <v>7</v>
      </c>
      <c r="D122" s="59">
        <v>121</v>
      </c>
      <c r="E122" s="59" t="s">
        <v>13</v>
      </c>
      <c r="F122" s="76">
        <f t="shared" si="5"/>
        <v>16</v>
      </c>
      <c r="G122" s="76">
        <v>2.98</v>
      </c>
      <c r="H122" s="77">
        <f t="shared" si="3"/>
        <v>18.98</v>
      </c>
      <c r="I122" s="59" t="s">
        <v>17</v>
      </c>
      <c r="J122" s="59" t="s">
        <v>18</v>
      </c>
      <c r="K122" s="59" t="s">
        <v>153</v>
      </c>
      <c r="L122" s="78">
        <f>VLOOKUP(D122,Worksheet!$A$2:$I$245,4,FALSE)</f>
        <v>18.98</v>
      </c>
      <c r="M122" s="79">
        <v>300316</v>
      </c>
      <c r="N122" s="79">
        <v>50000</v>
      </c>
      <c r="O122" s="79">
        <v>50000</v>
      </c>
      <c r="P122" s="81">
        <f t="shared" si="4"/>
        <v>7597997.6800000006</v>
      </c>
    </row>
    <row r="123" spans="1:16">
      <c r="A123" s="59">
        <v>122</v>
      </c>
      <c r="B123" s="59">
        <v>705</v>
      </c>
      <c r="C123" s="59">
        <v>7</v>
      </c>
      <c r="D123" s="59">
        <v>122</v>
      </c>
      <c r="E123" s="59" t="s">
        <v>13</v>
      </c>
      <c r="F123" s="76">
        <f t="shared" si="5"/>
        <v>16</v>
      </c>
      <c r="G123" s="76">
        <v>3.02</v>
      </c>
      <c r="H123" s="77">
        <f t="shared" si="3"/>
        <v>19.02</v>
      </c>
      <c r="I123" s="59" t="s">
        <v>17</v>
      </c>
      <c r="J123" s="59" t="s">
        <v>18</v>
      </c>
      <c r="K123" s="59" t="s">
        <v>153</v>
      </c>
      <c r="L123" s="78">
        <f>VLOOKUP(D123,Worksheet!$A$2:$I$245,4,FALSE)</f>
        <v>19.02</v>
      </c>
      <c r="M123" s="79">
        <v>299685</v>
      </c>
      <c r="N123" s="79">
        <v>50000</v>
      </c>
      <c r="O123" s="79">
        <v>50000</v>
      </c>
      <c r="P123" s="81">
        <f t="shared" si="4"/>
        <v>7602008.7000000002</v>
      </c>
    </row>
    <row r="124" spans="1:16">
      <c r="A124" s="59">
        <v>123</v>
      </c>
      <c r="B124" s="59">
        <v>706</v>
      </c>
      <c r="C124" s="59">
        <v>7</v>
      </c>
      <c r="D124" s="59">
        <v>123</v>
      </c>
      <c r="E124" s="59" t="s">
        <v>15</v>
      </c>
      <c r="F124" s="76">
        <f t="shared" si="5"/>
        <v>21.159999999999997</v>
      </c>
      <c r="G124" s="76">
        <v>8.6300000000000008</v>
      </c>
      <c r="H124" s="77">
        <f t="shared" si="3"/>
        <v>29.79</v>
      </c>
      <c r="I124" s="59" t="s">
        <v>17</v>
      </c>
      <c r="J124" s="59" t="s">
        <v>18</v>
      </c>
      <c r="K124" s="59" t="s">
        <v>154</v>
      </c>
      <c r="L124" s="78">
        <f>VLOOKUP(D124,Worksheet!$A$2:$I$245,4,FALSE)</f>
        <v>29.79</v>
      </c>
      <c r="M124" s="79">
        <v>211480</v>
      </c>
      <c r="N124" s="79">
        <v>50000</v>
      </c>
      <c r="O124" s="79">
        <v>50000</v>
      </c>
      <c r="P124" s="81">
        <f t="shared" si="4"/>
        <v>9278989.1999999993</v>
      </c>
    </row>
    <row r="125" spans="1:16">
      <c r="A125" s="59">
        <v>124</v>
      </c>
      <c r="B125" s="59">
        <v>707</v>
      </c>
      <c r="C125" s="59">
        <v>7</v>
      </c>
      <c r="D125" s="59">
        <v>124</v>
      </c>
      <c r="E125" s="59" t="s">
        <v>10</v>
      </c>
      <c r="F125" s="76">
        <f t="shared" si="5"/>
        <v>24.090000000000003</v>
      </c>
      <c r="G125" s="76">
        <v>6.33</v>
      </c>
      <c r="H125" s="77">
        <f t="shared" si="3"/>
        <v>30.42</v>
      </c>
      <c r="I125" s="59" t="s">
        <v>17</v>
      </c>
      <c r="J125" s="59" t="s">
        <v>18</v>
      </c>
      <c r="K125" s="59" t="s">
        <v>154</v>
      </c>
      <c r="L125" s="78">
        <f>VLOOKUP(D125,Worksheet!$A$2:$I$245,4,FALSE)</f>
        <v>30.42</v>
      </c>
      <c r="M125" s="79">
        <v>207101</v>
      </c>
      <c r="N125" s="79">
        <v>50000</v>
      </c>
      <c r="O125" s="79">
        <v>50000</v>
      </c>
      <c r="P125" s="81">
        <f t="shared" si="4"/>
        <v>9342012.4199999999</v>
      </c>
    </row>
    <row r="126" spans="1:16">
      <c r="A126" s="59">
        <v>125</v>
      </c>
      <c r="B126" s="59">
        <v>708</v>
      </c>
      <c r="C126" s="59">
        <v>7</v>
      </c>
      <c r="D126" s="59">
        <v>125</v>
      </c>
      <c r="E126" s="59" t="s">
        <v>13</v>
      </c>
      <c r="F126" s="76">
        <f t="shared" si="5"/>
        <v>15.969999999999999</v>
      </c>
      <c r="G126" s="76">
        <v>2.96</v>
      </c>
      <c r="H126" s="77">
        <f t="shared" si="3"/>
        <v>18.93</v>
      </c>
      <c r="I126" s="59" t="s">
        <v>17</v>
      </c>
      <c r="J126" s="59" t="s">
        <v>18</v>
      </c>
      <c r="K126" s="59" t="s">
        <v>153</v>
      </c>
      <c r="L126" s="78">
        <f>VLOOKUP(D126,Worksheet!$A$2:$I$245,4,FALSE)</f>
        <v>18.93</v>
      </c>
      <c r="M126" s="79">
        <v>309033</v>
      </c>
      <c r="N126" s="79">
        <v>50000</v>
      </c>
      <c r="O126" s="79">
        <v>50000</v>
      </c>
      <c r="P126" s="81">
        <f t="shared" si="4"/>
        <v>7742994.6899999995</v>
      </c>
    </row>
    <row r="127" spans="1:16">
      <c r="A127" s="59">
        <v>126</v>
      </c>
      <c r="B127" s="59">
        <v>709</v>
      </c>
      <c r="C127" s="59">
        <v>7</v>
      </c>
      <c r="D127" s="59">
        <v>126</v>
      </c>
      <c r="E127" s="59" t="s">
        <v>13</v>
      </c>
      <c r="F127" s="76">
        <f t="shared" si="5"/>
        <v>15.97</v>
      </c>
      <c r="G127" s="76">
        <v>3.03</v>
      </c>
      <c r="H127" s="77">
        <f t="shared" si="3"/>
        <v>19</v>
      </c>
      <c r="I127" s="59" t="s">
        <v>17</v>
      </c>
      <c r="J127" s="59" t="s">
        <v>18</v>
      </c>
      <c r="K127" s="59" t="s">
        <v>153</v>
      </c>
      <c r="L127" s="78">
        <f>VLOOKUP(D127,Worksheet!$A$2:$I$245,4,FALSE)</f>
        <v>19</v>
      </c>
      <c r="M127" s="79">
        <v>307895</v>
      </c>
      <c r="N127" s="79">
        <v>50000</v>
      </c>
      <c r="O127" s="79">
        <v>50000</v>
      </c>
      <c r="P127" s="81">
        <f t="shared" si="4"/>
        <v>7750005</v>
      </c>
    </row>
    <row r="128" spans="1:16">
      <c r="A128" s="59">
        <v>127</v>
      </c>
      <c r="B128" s="59">
        <v>710</v>
      </c>
      <c r="C128" s="59">
        <v>7</v>
      </c>
      <c r="D128" s="59">
        <v>127</v>
      </c>
      <c r="E128" s="59" t="s">
        <v>13</v>
      </c>
      <c r="F128" s="76">
        <f t="shared" si="5"/>
        <v>15.97</v>
      </c>
      <c r="G128" s="76">
        <v>3.03</v>
      </c>
      <c r="H128" s="77">
        <f t="shared" si="3"/>
        <v>19</v>
      </c>
      <c r="I128" s="59" t="s">
        <v>17</v>
      </c>
      <c r="J128" s="59" t="s">
        <v>18</v>
      </c>
      <c r="K128" s="59" t="s">
        <v>153</v>
      </c>
      <c r="L128" s="78">
        <f>VLOOKUP(D128,Worksheet!$A$2:$I$245,4,FALSE)</f>
        <v>19</v>
      </c>
      <c r="M128" s="79">
        <v>307895</v>
      </c>
      <c r="N128" s="79">
        <v>50000</v>
      </c>
      <c r="O128" s="79">
        <v>50000</v>
      </c>
      <c r="P128" s="81">
        <f t="shared" si="4"/>
        <v>7750005</v>
      </c>
    </row>
    <row r="129" spans="1:16">
      <c r="A129" s="59">
        <v>128</v>
      </c>
      <c r="B129" s="59">
        <v>711</v>
      </c>
      <c r="C129" s="59">
        <v>7</v>
      </c>
      <c r="D129" s="59">
        <v>128</v>
      </c>
      <c r="E129" s="59" t="s">
        <v>13</v>
      </c>
      <c r="F129" s="76">
        <f t="shared" si="5"/>
        <v>15.97</v>
      </c>
      <c r="G129" s="76">
        <v>3.03</v>
      </c>
      <c r="H129" s="77">
        <f t="shared" si="3"/>
        <v>19</v>
      </c>
      <c r="I129" s="59" t="s">
        <v>17</v>
      </c>
      <c r="J129" s="59" t="s">
        <v>18</v>
      </c>
      <c r="K129" s="59" t="s">
        <v>154</v>
      </c>
      <c r="L129" s="78">
        <f>VLOOKUP(D129,Worksheet!$A$2:$I$245,4,FALSE)</f>
        <v>19</v>
      </c>
      <c r="M129" s="79">
        <v>255263</v>
      </c>
      <c r="N129" s="79">
        <v>50000</v>
      </c>
      <c r="O129" s="79">
        <v>50000</v>
      </c>
      <c r="P129" s="81">
        <f t="shared" si="4"/>
        <v>6749997</v>
      </c>
    </row>
    <row r="130" spans="1:16">
      <c r="A130" s="59">
        <v>129</v>
      </c>
      <c r="B130" s="59">
        <v>712</v>
      </c>
      <c r="C130" s="59">
        <v>7</v>
      </c>
      <c r="D130" s="59">
        <v>129</v>
      </c>
      <c r="E130" s="59" t="s">
        <v>19</v>
      </c>
      <c r="F130" s="76">
        <f t="shared" si="5"/>
        <v>40.010000000000005</v>
      </c>
      <c r="G130" s="76">
        <v>34.5</v>
      </c>
      <c r="H130" s="77">
        <f t="shared" si="3"/>
        <v>74.510000000000005</v>
      </c>
      <c r="I130" s="59" t="s">
        <v>17</v>
      </c>
      <c r="J130" s="59" t="s">
        <v>18</v>
      </c>
      <c r="K130" s="59" t="s">
        <v>153</v>
      </c>
      <c r="L130" s="78">
        <f>VLOOKUP(D130,Worksheet!$A$2:$I$245,4,FALSE)</f>
        <v>74.510000000000005</v>
      </c>
      <c r="M130" s="79">
        <v>234868</v>
      </c>
      <c r="N130" s="79">
        <v>50000</v>
      </c>
      <c r="O130" s="79">
        <v>50000</v>
      </c>
      <c r="P130" s="81">
        <f t="shared" si="4"/>
        <v>24951014.680000003</v>
      </c>
    </row>
    <row r="131" spans="1:16">
      <c r="A131" s="59">
        <v>130</v>
      </c>
      <c r="B131" s="59">
        <v>713</v>
      </c>
      <c r="C131" s="59">
        <v>7</v>
      </c>
      <c r="D131" s="59">
        <v>130</v>
      </c>
      <c r="E131" s="59" t="s">
        <v>19</v>
      </c>
      <c r="F131" s="76">
        <f t="shared" si="5"/>
        <v>49.039999999999992</v>
      </c>
      <c r="G131" s="76">
        <v>50.09</v>
      </c>
      <c r="H131" s="77">
        <f t="shared" ref="H131:H194" si="6">L131</f>
        <v>99.13</v>
      </c>
      <c r="I131" s="59" t="s">
        <v>17</v>
      </c>
      <c r="J131" s="59" t="s">
        <v>18</v>
      </c>
      <c r="K131" s="59" t="s">
        <v>153</v>
      </c>
      <c r="L131" s="78">
        <f>VLOOKUP(D131,Worksheet!$A$2:$I$245,4,FALSE)</f>
        <v>99.13</v>
      </c>
      <c r="M131" s="79">
        <v>232019</v>
      </c>
      <c r="N131" s="79">
        <v>50000</v>
      </c>
      <c r="O131" s="79">
        <v>50000</v>
      </c>
      <c r="P131" s="81">
        <f t="shared" ref="P131:P194" si="7">SUM(M131:O131)*L131</f>
        <v>32913043.469999999</v>
      </c>
    </row>
    <row r="132" spans="1:16">
      <c r="A132" s="59">
        <v>131</v>
      </c>
      <c r="B132" s="59">
        <v>714</v>
      </c>
      <c r="C132" s="59">
        <v>7</v>
      </c>
      <c r="D132" s="59">
        <v>131</v>
      </c>
      <c r="E132" s="59" t="s">
        <v>13</v>
      </c>
      <c r="F132" s="76">
        <f t="shared" si="5"/>
        <v>15.97</v>
      </c>
      <c r="G132" s="76">
        <v>3.03</v>
      </c>
      <c r="H132" s="77">
        <f t="shared" si="6"/>
        <v>19</v>
      </c>
      <c r="I132" s="59" t="s">
        <v>17</v>
      </c>
      <c r="J132" s="59" t="s">
        <v>18</v>
      </c>
      <c r="K132" s="59" t="s">
        <v>154</v>
      </c>
      <c r="L132" s="78">
        <f>VLOOKUP(D132,Worksheet!$A$2:$I$245,4,FALSE)</f>
        <v>19</v>
      </c>
      <c r="M132" s="79">
        <v>255263</v>
      </c>
      <c r="N132" s="79">
        <v>50000</v>
      </c>
      <c r="O132" s="79">
        <v>50000</v>
      </c>
      <c r="P132" s="81">
        <f t="shared" si="7"/>
        <v>6749997</v>
      </c>
    </row>
    <row r="133" spans="1:16">
      <c r="A133" s="59">
        <v>132</v>
      </c>
      <c r="B133" s="59">
        <v>715</v>
      </c>
      <c r="C133" s="59">
        <v>7</v>
      </c>
      <c r="D133" s="59">
        <v>132</v>
      </c>
      <c r="E133" s="59" t="s">
        <v>13</v>
      </c>
      <c r="F133" s="76">
        <f t="shared" ref="F133:F196" si="8">H133-G133</f>
        <v>15.97</v>
      </c>
      <c r="G133" s="76">
        <v>3.03</v>
      </c>
      <c r="H133" s="77">
        <f t="shared" si="6"/>
        <v>19</v>
      </c>
      <c r="I133" s="59" t="s">
        <v>17</v>
      </c>
      <c r="J133" s="59" t="s">
        <v>18</v>
      </c>
      <c r="K133" s="59" t="s">
        <v>154</v>
      </c>
      <c r="L133" s="78">
        <f>VLOOKUP(D133,Worksheet!$A$2:$I$245,4,FALSE)</f>
        <v>19</v>
      </c>
      <c r="M133" s="79">
        <v>284211</v>
      </c>
      <c r="N133" s="79">
        <v>50000</v>
      </c>
      <c r="O133" s="79">
        <v>50000</v>
      </c>
      <c r="P133" s="81">
        <f t="shared" si="7"/>
        <v>7300009</v>
      </c>
    </row>
    <row r="134" spans="1:16">
      <c r="A134" s="59">
        <v>133</v>
      </c>
      <c r="B134" s="59">
        <v>716</v>
      </c>
      <c r="C134" s="59">
        <v>7</v>
      </c>
      <c r="D134" s="59">
        <v>133</v>
      </c>
      <c r="E134" s="59" t="s">
        <v>13</v>
      </c>
      <c r="F134" s="76">
        <f t="shared" si="8"/>
        <v>15.97</v>
      </c>
      <c r="G134" s="76">
        <v>3.03</v>
      </c>
      <c r="H134" s="77">
        <f t="shared" si="6"/>
        <v>19</v>
      </c>
      <c r="I134" s="59" t="s">
        <v>17</v>
      </c>
      <c r="J134" s="59" t="s">
        <v>18</v>
      </c>
      <c r="K134" s="59" t="s">
        <v>154</v>
      </c>
      <c r="L134" s="78">
        <f>VLOOKUP(D134,Worksheet!$A$2:$I$245,4,FALSE)</f>
        <v>19</v>
      </c>
      <c r="M134" s="79">
        <v>284211</v>
      </c>
      <c r="N134" s="79">
        <v>50000</v>
      </c>
      <c r="O134" s="79">
        <v>50000</v>
      </c>
      <c r="P134" s="81">
        <f t="shared" si="7"/>
        <v>7300009</v>
      </c>
    </row>
    <row r="135" spans="1:16">
      <c r="A135" s="59">
        <v>134</v>
      </c>
      <c r="B135" s="59">
        <v>717</v>
      </c>
      <c r="C135" s="59">
        <v>7</v>
      </c>
      <c r="D135" s="59">
        <v>134</v>
      </c>
      <c r="E135" s="59" t="s">
        <v>13</v>
      </c>
      <c r="F135" s="76">
        <f t="shared" si="8"/>
        <v>15.970000000000002</v>
      </c>
      <c r="G135" s="76">
        <v>2.95</v>
      </c>
      <c r="H135" s="77">
        <f t="shared" si="6"/>
        <v>18.920000000000002</v>
      </c>
      <c r="I135" s="59" t="s">
        <v>17</v>
      </c>
      <c r="J135" s="59" t="s">
        <v>18</v>
      </c>
      <c r="K135" s="59" t="s">
        <v>154</v>
      </c>
      <c r="L135" s="78">
        <f>VLOOKUP(D135,Worksheet!$A$2:$I$245,4,FALSE)</f>
        <v>18.920000000000002</v>
      </c>
      <c r="M135" s="79">
        <v>258985</v>
      </c>
      <c r="N135" s="79">
        <v>50000</v>
      </c>
      <c r="O135" s="79">
        <v>50000</v>
      </c>
      <c r="P135" s="81">
        <f t="shared" si="7"/>
        <v>6791996.2000000002</v>
      </c>
    </row>
    <row r="136" spans="1:16">
      <c r="A136" s="59">
        <v>135</v>
      </c>
      <c r="B136" s="59">
        <v>718</v>
      </c>
      <c r="C136" s="59">
        <v>7</v>
      </c>
      <c r="D136" s="59">
        <v>135</v>
      </c>
      <c r="E136" s="59" t="s">
        <v>13</v>
      </c>
      <c r="F136" s="76">
        <f t="shared" si="8"/>
        <v>15.97</v>
      </c>
      <c r="G136" s="76">
        <v>3.03</v>
      </c>
      <c r="H136" s="77">
        <f t="shared" si="6"/>
        <v>19</v>
      </c>
      <c r="I136" s="59" t="s">
        <v>17</v>
      </c>
      <c r="J136" s="59" t="s">
        <v>18</v>
      </c>
      <c r="K136" s="59" t="s">
        <v>154</v>
      </c>
      <c r="L136" s="78">
        <f>VLOOKUP(D136,Worksheet!$A$2:$I$245,4,FALSE)</f>
        <v>19</v>
      </c>
      <c r="M136" s="79">
        <v>284211</v>
      </c>
      <c r="N136" s="79">
        <v>50000</v>
      </c>
      <c r="O136" s="79">
        <v>50000</v>
      </c>
      <c r="P136" s="81">
        <f t="shared" si="7"/>
        <v>7300009</v>
      </c>
    </row>
    <row r="137" spans="1:16">
      <c r="A137" s="59">
        <v>136</v>
      </c>
      <c r="B137" s="59">
        <v>719</v>
      </c>
      <c r="C137" s="59">
        <v>7</v>
      </c>
      <c r="D137" s="59">
        <v>136</v>
      </c>
      <c r="E137" s="59" t="s">
        <v>16</v>
      </c>
      <c r="F137" s="76">
        <f t="shared" si="8"/>
        <v>32.25</v>
      </c>
      <c r="G137" s="76">
        <v>18.14</v>
      </c>
      <c r="H137" s="77">
        <f t="shared" si="6"/>
        <v>50.39</v>
      </c>
      <c r="I137" s="59" t="s">
        <v>17</v>
      </c>
      <c r="J137" s="59" t="s">
        <v>18</v>
      </c>
      <c r="K137" s="59" t="s">
        <v>154</v>
      </c>
      <c r="L137" s="78">
        <f>VLOOKUP(D137,Worksheet!$A$2:$I$245,4,FALSE)</f>
        <v>50.39</v>
      </c>
      <c r="M137" s="79">
        <v>248065</v>
      </c>
      <c r="N137" s="79">
        <v>50000</v>
      </c>
      <c r="O137" s="79">
        <v>50000</v>
      </c>
      <c r="P137" s="81">
        <f t="shared" si="7"/>
        <v>17538995.350000001</v>
      </c>
    </row>
    <row r="138" spans="1:16">
      <c r="A138" s="59">
        <v>137</v>
      </c>
      <c r="B138" s="59">
        <v>720</v>
      </c>
      <c r="C138" s="59">
        <v>7</v>
      </c>
      <c r="D138" s="59">
        <v>137</v>
      </c>
      <c r="E138" s="59" t="s">
        <v>13</v>
      </c>
      <c r="F138" s="76">
        <f t="shared" si="8"/>
        <v>16</v>
      </c>
      <c r="G138" s="76">
        <v>3.02</v>
      </c>
      <c r="H138" s="77">
        <f t="shared" si="6"/>
        <v>19.02</v>
      </c>
      <c r="I138" s="59" t="s">
        <v>17</v>
      </c>
      <c r="J138" s="59" t="s">
        <v>18</v>
      </c>
      <c r="K138" s="59" t="s">
        <v>153</v>
      </c>
      <c r="L138" s="78">
        <f>VLOOKUP(D138,Worksheet!$A$2:$I$245,4,FALSE)</f>
        <v>19.02</v>
      </c>
      <c r="M138" s="79">
        <v>304942</v>
      </c>
      <c r="N138" s="79">
        <v>50000</v>
      </c>
      <c r="O138" s="79">
        <v>50000</v>
      </c>
      <c r="P138" s="81">
        <f t="shared" si="7"/>
        <v>7701996.8399999999</v>
      </c>
    </row>
    <row r="139" spans="1:16">
      <c r="A139" s="59">
        <v>138</v>
      </c>
      <c r="B139" s="59">
        <v>721</v>
      </c>
      <c r="C139" s="59">
        <v>7</v>
      </c>
      <c r="D139" s="59">
        <v>138</v>
      </c>
      <c r="E139" s="59" t="s">
        <v>13</v>
      </c>
      <c r="F139" s="76">
        <f t="shared" si="8"/>
        <v>15.990000000000002</v>
      </c>
      <c r="G139" s="76">
        <v>2.95</v>
      </c>
      <c r="H139" s="77">
        <f t="shared" si="6"/>
        <v>18.940000000000001</v>
      </c>
      <c r="I139" s="59" t="s">
        <v>17</v>
      </c>
      <c r="J139" s="59" t="s">
        <v>18</v>
      </c>
      <c r="K139" s="59" t="s">
        <v>154</v>
      </c>
      <c r="L139" s="78">
        <f>VLOOKUP(D139,Worksheet!$A$2:$I$245,4,FALSE)</f>
        <v>18.940000000000001</v>
      </c>
      <c r="M139" s="79">
        <v>245512</v>
      </c>
      <c r="N139" s="79">
        <v>50000</v>
      </c>
      <c r="O139" s="79">
        <v>50000</v>
      </c>
      <c r="P139" s="81">
        <f t="shared" si="7"/>
        <v>6543997.2800000003</v>
      </c>
    </row>
    <row r="140" spans="1:16">
      <c r="A140" s="59">
        <v>139</v>
      </c>
      <c r="B140" s="59">
        <v>722</v>
      </c>
      <c r="C140" s="59">
        <v>7</v>
      </c>
      <c r="D140" s="59">
        <v>139</v>
      </c>
      <c r="E140" s="59" t="s">
        <v>13</v>
      </c>
      <c r="F140" s="76">
        <f t="shared" si="8"/>
        <v>15.990000000000002</v>
      </c>
      <c r="G140" s="76">
        <v>3.02</v>
      </c>
      <c r="H140" s="77">
        <f t="shared" si="6"/>
        <v>19.010000000000002</v>
      </c>
      <c r="I140" s="59" t="s">
        <v>17</v>
      </c>
      <c r="J140" s="59" t="s">
        <v>18</v>
      </c>
      <c r="K140" s="59" t="s">
        <v>154</v>
      </c>
      <c r="L140" s="78">
        <f>VLOOKUP(D140,Worksheet!$A$2:$I$245,4,FALSE)</f>
        <v>19.010000000000002</v>
      </c>
      <c r="M140" s="79">
        <v>244608</v>
      </c>
      <c r="N140" s="79">
        <v>50000</v>
      </c>
      <c r="O140" s="79">
        <v>50000</v>
      </c>
      <c r="P140" s="81">
        <f t="shared" si="7"/>
        <v>6550998.0800000001</v>
      </c>
    </row>
    <row r="141" spans="1:16">
      <c r="A141" s="59">
        <v>140</v>
      </c>
      <c r="B141" s="59">
        <v>723</v>
      </c>
      <c r="C141" s="59">
        <v>7</v>
      </c>
      <c r="D141" s="59">
        <v>140</v>
      </c>
      <c r="E141" s="59" t="s">
        <v>20</v>
      </c>
      <c r="F141" s="76">
        <f t="shared" si="8"/>
        <v>42.289999999999992</v>
      </c>
      <c r="G141" s="76">
        <v>26.67</v>
      </c>
      <c r="H141" s="77">
        <f t="shared" si="6"/>
        <v>68.959999999999994</v>
      </c>
      <c r="I141" s="59" t="s">
        <v>17</v>
      </c>
      <c r="J141" s="59" t="s">
        <v>18</v>
      </c>
      <c r="K141" s="59" t="s">
        <v>153</v>
      </c>
      <c r="L141" s="78">
        <f>VLOOKUP(D141,Worksheet!$A$2:$I$245,4,FALSE)</f>
        <v>68.959999999999994</v>
      </c>
      <c r="M141" s="79">
        <v>250870</v>
      </c>
      <c r="N141" s="79">
        <v>50000</v>
      </c>
      <c r="O141" s="79">
        <v>50000</v>
      </c>
      <c r="P141" s="81">
        <f t="shared" si="7"/>
        <v>24195995.199999999</v>
      </c>
    </row>
    <row r="142" spans="1:16">
      <c r="A142" s="59">
        <v>141</v>
      </c>
      <c r="B142" s="59">
        <v>801</v>
      </c>
      <c r="C142" s="59">
        <v>8</v>
      </c>
      <c r="D142" s="59">
        <v>141</v>
      </c>
      <c r="E142" s="59" t="s">
        <v>14</v>
      </c>
      <c r="F142" s="76">
        <f t="shared" si="8"/>
        <v>40.93</v>
      </c>
      <c r="G142" s="76">
        <v>8.9600000000000009</v>
      </c>
      <c r="H142" s="77">
        <f t="shared" si="6"/>
        <v>49.89</v>
      </c>
      <c r="I142" s="59" t="s">
        <v>17</v>
      </c>
      <c r="J142" s="59" t="s">
        <v>18</v>
      </c>
      <c r="K142" s="59" t="s">
        <v>153</v>
      </c>
      <c r="L142" s="78">
        <f>VLOOKUP(D142,Worksheet!$A$2:$I$245,4,FALSE)</f>
        <v>49.89</v>
      </c>
      <c r="M142" s="79">
        <v>272600</v>
      </c>
      <c r="N142" s="79">
        <v>50000</v>
      </c>
      <c r="O142" s="79">
        <v>50000</v>
      </c>
      <c r="P142" s="81">
        <f t="shared" si="7"/>
        <v>18589014</v>
      </c>
    </row>
    <row r="143" spans="1:16">
      <c r="A143" s="59">
        <v>142</v>
      </c>
      <c r="B143" s="59">
        <v>802</v>
      </c>
      <c r="C143" s="59">
        <v>8</v>
      </c>
      <c r="D143" s="59">
        <v>142</v>
      </c>
      <c r="E143" s="59" t="s">
        <v>13</v>
      </c>
      <c r="F143" s="76">
        <f t="shared" si="8"/>
        <v>15.980000000000002</v>
      </c>
      <c r="G143" s="76">
        <v>3.03</v>
      </c>
      <c r="H143" s="77">
        <f t="shared" si="6"/>
        <v>19.010000000000002</v>
      </c>
      <c r="I143" s="59" t="s">
        <v>17</v>
      </c>
      <c r="J143" s="59" t="s">
        <v>18</v>
      </c>
      <c r="K143" s="59" t="s">
        <v>153</v>
      </c>
      <c r="L143" s="78">
        <f>VLOOKUP(D143,Worksheet!$A$2:$I$245,4,FALSE)</f>
        <v>19.010000000000002</v>
      </c>
      <c r="M143" s="79">
        <v>302472</v>
      </c>
      <c r="N143" s="79">
        <v>50000</v>
      </c>
      <c r="O143" s="79">
        <v>50000</v>
      </c>
      <c r="P143" s="81">
        <f t="shared" si="7"/>
        <v>7650992.7200000007</v>
      </c>
    </row>
    <row r="144" spans="1:16">
      <c r="A144" s="59">
        <v>143</v>
      </c>
      <c r="B144" s="59">
        <v>803</v>
      </c>
      <c r="C144" s="59">
        <v>8</v>
      </c>
      <c r="D144" s="59">
        <v>143</v>
      </c>
      <c r="E144" s="59" t="s">
        <v>13</v>
      </c>
      <c r="F144" s="76">
        <f t="shared" si="8"/>
        <v>16</v>
      </c>
      <c r="G144" s="76">
        <v>2.95</v>
      </c>
      <c r="H144" s="77">
        <f t="shared" si="6"/>
        <v>18.95</v>
      </c>
      <c r="I144" s="59" t="s">
        <v>17</v>
      </c>
      <c r="J144" s="59" t="s">
        <v>18</v>
      </c>
      <c r="K144" s="59" t="s">
        <v>153</v>
      </c>
      <c r="L144" s="78">
        <f>VLOOKUP(D144,Worksheet!$A$2:$I$245,4,FALSE)</f>
        <v>18.95</v>
      </c>
      <c r="M144" s="79">
        <v>303430</v>
      </c>
      <c r="N144" s="79">
        <v>50000</v>
      </c>
      <c r="O144" s="79">
        <v>50000</v>
      </c>
      <c r="P144" s="81">
        <f t="shared" si="7"/>
        <v>7644998.5</v>
      </c>
    </row>
    <row r="145" spans="1:16">
      <c r="A145" s="59">
        <v>144</v>
      </c>
      <c r="B145" s="59">
        <v>804</v>
      </c>
      <c r="C145" s="59">
        <v>8</v>
      </c>
      <c r="D145" s="59">
        <v>144</v>
      </c>
      <c r="E145" s="59" t="s">
        <v>13</v>
      </c>
      <c r="F145" s="76">
        <f t="shared" si="8"/>
        <v>16</v>
      </c>
      <c r="G145" s="76">
        <v>3.02</v>
      </c>
      <c r="H145" s="77">
        <f t="shared" si="6"/>
        <v>19.02</v>
      </c>
      <c r="I145" s="59" t="s">
        <v>17</v>
      </c>
      <c r="J145" s="59" t="s">
        <v>18</v>
      </c>
      <c r="K145" s="59" t="s">
        <v>153</v>
      </c>
      <c r="L145" s="78">
        <f>VLOOKUP(D145,Worksheet!$A$2:$I$245,4,FALSE)</f>
        <v>19.02</v>
      </c>
      <c r="M145" s="79">
        <v>304942</v>
      </c>
      <c r="N145" s="79">
        <v>50000</v>
      </c>
      <c r="O145" s="79">
        <v>50000</v>
      </c>
      <c r="P145" s="81">
        <f t="shared" si="7"/>
        <v>7701996.8399999999</v>
      </c>
    </row>
    <row r="146" spans="1:16">
      <c r="A146" s="59">
        <v>145</v>
      </c>
      <c r="B146" s="59">
        <v>805</v>
      </c>
      <c r="C146" s="59">
        <v>8</v>
      </c>
      <c r="D146" s="59">
        <v>145</v>
      </c>
      <c r="E146" s="59" t="s">
        <v>13</v>
      </c>
      <c r="F146" s="76">
        <f t="shared" si="8"/>
        <v>16</v>
      </c>
      <c r="G146" s="76">
        <v>3.02</v>
      </c>
      <c r="H146" s="77">
        <f t="shared" si="6"/>
        <v>19.02</v>
      </c>
      <c r="I146" s="59" t="s">
        <v>17</v>
      </c>
      <c r="J146" s="59" t="s">
        <v>18</v>
      </c>
      <c r="K146" s="59" t="s">
        <v>153</v>
      </c>
      <c r="L146" s="78">
        <f>VLOOKUP(D146,Worksheet!$A$2:$I$245,4,FALSE)</f>
        <v>19.02</v>
      </c>
      <c r="M146" s="79">
        <v>304942</v>
      </c>
      <c r="N146" s="79">
        <v>50000</v>
      </c>
      <c r="O146" s="79">
        <v>50000</v>
      </c>
      <c r="P146" s="81">
        <f t="shared" si="7"/>
        <v>7701996.8399999999</v>
      </c>
    </row>
    <row r="147" spans="1:16">
      <c r="A147" s="59">
        <v>146</v>
      </c>
      <c r="B147" s="59">
        <v>806</v>
      </c>
      <c r="C147" s="59">
        <v>8</v>
      </c>
      <c r="D147" s="59">
        <v>146</v>
      </c>
      <c r="E147" s="59" t="s">
        <v>15</v>
      </c>
      <c r="F147" s="76">
        <f t="shared" si="8"/>
        <v>21.160000000000004</v>
      </c>
      <c r="G147" s="76">
        <v>8.6</v>
      </c>
      <c r="H147" s="77">
        <f t="shared" si="6"/>
        <v>29.76</v>
      </c>
      <c r="I147" s="59" t="s">
        <v>17</v>
      </c>
      <c r="J147" s="59" t="s">
        <v>18</v>
      </c>
      <c r="K147" s="59" t="s">
        <v>154</v>
      </c>
      <c r="L147" s="78">
        <f>VLOOKUP(D147,Worksheet!$A$2:$I$245,4,FALSE)</f>
        <v>29.76</v>
      </c>
      <c r="M147" s="79">
        <v>262097</v>
      </c>
      <c r="N147" s="79">
        <v>50000</v>
      </c>
      <c r="O147" s="79">
        <v>50000</v>
      </c>
      <c r="P147" s="81">
        <f t="shared" si="7"/>
        <v>10776006.720000001</v>
      </c>
    </row>
    <row r="148" spans="1:16">
      <c r="A148" s="59">
        <v>147</v>
      </c>
      <c r="B148" s="59">
        <v>807</v>
      </c>
      <c r="C148" s="59">
        <v>8</v>
      </c>
      <c r="D148" s="59">
        <v>147</v>
      </c>
      <c r="E148" s="59" t="s">
        <v>10</v>
      </c>
      <c r="F148" s="76">
        <f t="shared" si="8"/>
        <v>24.040000000000003</v>
      </c>
      <c r="G148" s="76">
        <v>6.31</v>
      </c>
      <c r="H148" s="77">
        <f t="shared" si="6"/>
        <v>30.35</v>
      </c>
      <c r="I148" s="59" t="s">
        <v>17</v>
      </c>
      <c r="J148" s="59" t="s">
        <v>18</v>
      </c>
      <c r="K148" s="59" t="s">
        <v>154</v>
      </c>
      <c r="L148" s="78">
        <f>VLOOKUP(D148,Worksheet!$A$2:$I$245,4,FALSE)</f>
        <v>30.35</v>
      </c>
      <c r="M148" s="79">
        <v>257002</v>
      </c>
      <c r="N148" s="79">
        <v>50000</v>
      </c>
      <c r="O148" s="79">
        <v>50000</v>
      </c>
      <c r="P148" s="81">
        <f t="shared" si="7"/>
        <v>10835010.700000001</v>
      </c>
    </row>
    <row r="149" spans="1:16">
      <c r="A149" s="59">
        <v>148</v>
      </c>
      <c r="B149" s="59">
        <v>808</v>
      </c>
      <c r="C149" s="59">
        <v>8</v>
      </c>
      <c r="D149" s="59">
        <v>148</v>
      </c>
      <c r="E149" s="59" t="s">
        <v>13</v>
      </c>
      <c r="F149" s="76">
        <f t="shared" si="8"/>
        <v>15.969999999999999</v>
      </c>
      <c r="G149" s="76">
        <v>2.96</v>
      </c>
      <c r="H149" s="77">
        <f t="shared" si="6"/>
        <v>18.93</v>
      </c>
      <c r="I149" s="59" t="s">
        <v>17</v>
      </c>
      <c r="J149" s="59" t="s">
        <v>18</v>
      </c>
      <c r="K149" s="59" t="s">
        <v>154</v>
      </c>
      <c r="L149" s="78">
        <f>VLOOKUP(D149,Worksheet!$A$2:$I$245,4,FALSE)</f>
        <v>18.93</v>
      </c>
      <c r="M149" s="79">
        <v>256207</v>
      </c>
      <c r="N149" s="79">
        <v>50000</v>
      </c>
      <c r="O149" s="79">
        <v>50000</v>
      </c>
      <c r="P149" s="81">
        <f t="shared" si="7"/>
        <v>6742998.5099999998</v>
      </c>
    </row>
    <row r="150" spans="1:16">
      <c r="A150" s="59">
        <v>149</v>
      </c>
      <c r="B150" s="59">
        <v>809</v>
      </c>
      <c r="C150" s="59">
        <v>8</v>
      </c>
      <c r="D150" s="59">
        <v>149</v>
      </c>
      <c r="E150" s="59" t="s">
        <v>13</v>
      </c>
      <c r="F150" s="76">
        <f t="shared" si="8"/>
        <v>15.97</v>
      </c>
      <c r="G150" s="76">
        <v>3.03</v>
      </c>
      <c r="H150" s="77">
        <f t="shared" si="6"/>
        <v>19</v>
      </c>
      <c r="I150" s="59" t="s">
        <v>17</v>
      </c>
      <c r="J150" s="59" t="s">
        <v>18</v>
      </c>
      <c r="K150" s="59" t="s">
        <v>154</v>
      </c>
      <c r="L150" s="78">
        <f>VLOOKUP(D150,Worksheet!$A$2:$I$245,4,FALSE)</f>
        <v>19</v>
      </c>
      <c r="M150" s="79">
        <v>255263</v>
      </c>
      <c r="N150" s="79">
        <v>50000</v>
      </c>
      <c r="O150" s="79">
        <v>50000</v>
      </c>
      <c r="P150" s="81">
        <f t="shared" si="7"/>
        <v>6749997</v>
      </c>
    </row>
    <row r="151" spans="1:16">
      <c r="A151" s="59">
        <v>150</v>
      </c>
      <c r="B151" s="59">
        <v>810</v>
      </c>
      <c r="C151" s="59">
        <v>8</v>
      </c>
      <c r="D151" s="59">
        <v>150</v>
      </c>
      <c r="E151" s="59" t="s">
        <v>13</v>
      </c>
      <c r="F151" s="76">
        <f t="shared" si="8"/>
        <v>15.97</v>
      </c>
      <c r="G151" s="76">
        <v>3.03</v>
      </c>
      <c r="H151" s="77">
        <f t="shared" si="6"/>
        <v>19</v>
      </c>
      <c r="I151" s="59" t="s">
        <v>17</v>
      </c>
      <c r="J151" s="59" t="s">
        <v>18</v>
      </c>
      <c r="K151" s="59" t="s">
        <v>154</v>
      </c>
      <c r="L151" s="78">
        <f>VLOOKUP(D151,Worksheet!$A$2:$I$245,4,FALSE)</f>
        <v>19</v>
      </c>
      <c r="M151" s="79">
        <v>257895</v>
      </c>
      <c r="N151" s="79">
        <v>50000</v>
      </c>
      <c r="O151" s="79">
        <v>50000</v>
      </c>
      <c r="P151" s="81">
        <f t="shared" si="7"/>
        <v>6800005</v>
      </c>
    </row>
    <row r="152" spans="1:16">
      <c r="A152" s="59">
        <v>151</v>
      </c>
      <c r="B152" s="59">
        <v>811</v>
      </c>
      <c r="C152" s="59">
        <v>8</v>
      </c>
      <c r="D152" s="59">
        <v>151</v>
      </c>
      <c r="E152" s="59" t="s">
        <v>19</v>
      </c>
      <c r="F152" s="76">
        <f t="shared" si="8"/>
        <v>39.960000000000008</v>
      </c>
      <c r="G152" s="76">
        <v>30.16</v>
      </c>
      <c r="H152" s="77">
        <f t="shared" si="6"/>
        <v>70.12</v>
      </c>
      <c r="I152" s="59" t="s">
        <v>17</v>
      </c>
      <c r="J152" s="59" t="s">
        <v>18</v>
      </c>
      <c r="K152" s="59" t="s">
        <v>153</v>
      </c>
      <c r="L152" s="78">
        <f>VLOOKUP(D152,Worksheet!$A$2:$I$245,4,FALSE)</f>
        <v>70.12</v>
      </c>
      <c r="M152" s="79">
        <v>241015</v>
      </c>
      <c r="N152" s="79">
        <v>50000</v>
      </c>
      <c r="O152" s="79">
        <v>50000</v>
      </c>
      <c r="P152" s="81">
        <f t="shared" si="7"/>
        <v>23911971.800000001</v>
      </c>
    </row>
    <row r="153" spans="1:16">
      <c r="A153" s="59">
        <v>152</v>
      </c>
      <c r="B153" s="59">
        <v>812</v>
      </c>
      <c r="C153" s="59">
        <v>8</v>
      </c>
      <c r="D153" s="59">
        <v>152</v>
      </c>
      <c r="E153" s="59" t="s">
        <v>19</v>
      </c>
      <c r="F153" s="76">
        <f t="shared" si="8"/>
        <v>48.959999999999994</v>
      </c>
      <c r="G153" s="76">
        <v>36.36</v>
      </c>
      <c r="H153" s="77">
        <f t="shared" si="6"/>
        <v>85.32</v>
      </c>
      <c r="I153" s="59" t="s">
        <v>17</v>
      </c>
      <c r="J153" s="59" t="s">
        <v>18</v>
      </c>
      <c r="K153" s="59" t="s">
        <v>154</v>
      </c>
      <c r="L153" s="78">
        <f>VLOOKUP(D153,Worksheet!$A$2:$I$245,4,FALSE)</f>
        <v>85.32</v>
      </c>
      <c r="M153" s="79">
        <v>196906</v>
      </c>
      <c r="N153" s="79">
        <v>50000</v>
      </c>
      <c r="O153" s="79">
        <v>50000</v>
      </c>
      <c r="P153" s="81">
        <f t="shared" si="7"/>
        <v>25332019.919999998</v>
      </c>
    </row>
    <row r="154" spans="1:16">
      <c r="A154" s="59">
        <v>153</v>
      </c>
      <c r="B154" s="59">
        <v>813</v>
      </c>
      <c r="C154" s="59">
        <v>8</v>
      </c>
      <c r="D154" s="59">
        <v>153</v>
      </c>
      <c r="E154" s="59" t="s">
        <v>13</v>
      </c>
      <c r="F154" s="76">
        <f t="shared" si="8"/>
        <v>15.97</v>
      </c>
      <c r="G154" s="76">
        <v>3.03</v>
      </c>
      <c r="H154" s="77">
        <f t="shared" si="6"/>
        <v>19</v>
      </c>
      <c r="I154" s="59" t="s">
        <v>17</v>
      </c>
      <c r="J154" s="59" t="s">
        <v>18</v>
      </c>
      <c r="K154" s="59" t="s">
        <v>154</v>
      </c>
      <c r="L154" s="78">
        <f>VLOOKUP(D154,Worksheet!$A$2:$I$245,4,FALSE)</f>
        <v>19</v>
      </c>
      <c r="M154" s="79">
        <v>289474</v>
      </c>
      <c r="N154" s="79">
        <v>50000</v>
      </c>
      <c r="O154" s="79">
        <v>50000</v>
      </c>
      <c r="P154" s="81">
        <f t="shared" si="7"/>
        <v>7400006</v>
      </c>
    </row>
    <row r="155" spans="1:16">
      <c r="A155" s="59">
        <v>154</v>
      </c>
      <c r="B155" s="59">
        <v>814</v>
      </c>
      <c r="C155" s="59">
        <v>8</v>
      </c>
      <c r="D155" s="59">
        <v>154</v>
      </c>
      <c r="E155" s="59" t="s">
        <v>13</v>
      </c>
      <c r="F155" s="76">
        <f t="shared" si="8"/>
        <v>15.97</v>
      </c>
      <c r="G155" s="76">
        <v>3.03</v>
      </c>
      <c r="H155" s="77">
        <f t="shared" si="6"/>
        <v>19</v>
      </c>
      <c r="I155" s="59" t="s">
        <v>17</v>
      </c>
      <c r="J155" s="59" t="s">
        <v>18</v>
      </c>
      <c r="K155" s="59" t="s">
        <v>154</v>
      </c>
      <c r="L155" s="78">
        <f>VLOOKUP(D155,Worksheet!$A$2:$I$245,4,FALSE)</f>
        <v>19</v>
      </c>
      <c r="M155" s="79">
        <v>289474</v>
      </c>
      <c r="N155" s="79">
        <v>50000</v>
      </c>
      <c r="O155" s="79">
        <v>50000</v>
      </c>
      <c r="P155" s="81">
        <f t="shared" si="7"/>
        <v>7400006</v>
      </c>
    </row>
    <row r="156" spans="1:16">
      <c r="A156" s="59">
        <v>155</v>
      </c>
      <c r="B156" s="59">
        <v>815</v>
      </c>
      <c r="C156" s="59">
        <v>8</v>
      </c>
      <c r="D156" s="59">
        <v>155</v>
      </c>
      <c r="E156" s="59" t="s">
        <v>13</v>
      </c>
      <c r="F156" s="76">
        <f>H156-G156</f>
        <v>15.970000000000002</v>
      </c>
      <c r="G156" s="76">
        <v>2.95</v>
      </c>
      <c r="H156" s="77">
        <f t="shared" si="6"/>
        <v>18.920000000000002</v>
      </c>
      <c r="I156" s="59" t="s">
        <v>17</v>
      </c>
      <c r="J156" s="59" t="s">
        <v>18</v>
      </c>
      <c r="K156" s="59" t="s">
        <v>154</v>
      </c>
      <c r="L156" s="78">
        <f>VLOOKUP(D156,Worksheet!$A$2:$I$245,4,FALSE)</f>
        <v>18.920000000000002</v>
      </c>
      <c r="M156" s="79">
        <v>290698</v>
      </c>
      <c r="N156" s="79">
        <v>50000</v>
      </c>
      <c r="O156" s="79">
        <v>50000</v>
      </c>
      <c r="P156" s="81">
        <f t="shared" si="7"/>
        <v>7392006.1600000011</v>
      </c>
    </row>
    <row r="157" spans="1:16">
      <c r="A157" s="59">
        <v>156</v>
      </c>
      <c r="B157" s="59">
        <v>816</v>
      </c>
      <c r="C157" s="59">
        <v>8</v>
      </c>
      <c r="D157" s="59">
        <v>156</v>
      </c>
      <c r="E157" s="59" t="s">
        <v>13</v>
      </c>
      <c r="F157" s="76">
        <f>H157-G157</f>
        <v>15.970000000000002</v>
      </c>
      <c r="G157" s="76">
        <v>3.04</v>
      </c>
      <c r="H157" s="77">
        <f t="shared" si="6"/>
        <v>19.010000000000002</v>
      </c>
      <c r="I157" s="59" t="s">
        <v>17</v>
      </c>
      <c r="J157" s="59" t="s">
        <v>18</v>
      </c>
      <c r="K157" s="59" t="s">
        <v>154</v>
      </c>
      <c r="L157" s="78">
        <f>VLOOKUP(D157,Worksheet!$A$2:$I$245,4,FALSE)</f>
        <v>19.010000000000002</v>
      </c>
      <c r="M157" s="79">
        <v>284061</v>
      </c>
      <c r="N157" s="79">
        <v>50000</v>
      </c>
      <c r="O157" s="79">
        <v>50000</v>
      </c>
      <c r="P157" s="81">
        <f t="shared" si="7"/>
        <v>7300999.6100000003</v>
      </c>
    </row>
    <row r="158" spans="1:16">
      <c r="A158" s="59">
        <v>157</v>
      </c>
      <c r="B158" s="59">
        <v>817</v>
      </c>
      <c r="C158" s="59">
        <v>8</v>
      </c>
      <c r="D158" s="59">
        <v>157</v>
      </c>
      <c r="E158" s="59" t="s">
        <v>16</v>
      </c>
      <c r="F158" s="76">
        <f t="shared" si="8"/>
        <v>32.32</v>
      </c>
      <c r="G158" s="76">
        <v>18.36</v>
      </c>
      <c r="H158" s="77">
        <f t="shared" si="6"/>
        <v>50.68</v>
      </c>
      <c r="I158" s="59" t="s">
        <v>17</v>
      </c>
      <c r="J158" s="59" t="s">
        <v>18</v>
      </c>
      <c r="K158" s="59" t="s">
        <v>154</v>
      </c>
      <c r="L158" s="78">
        <f>VLOOKUP(D158,Worksheet!$A$2:$I$245,4,FALSE)</f>
        <v>50.68</v>
      </c>
      <c r="M158" s="79">
        <v>258485</v>
      </c>
      <c r="N158" s="79">
        <v>50000</v>
      </c>
      <c r="O158" s="79">
        <v>50000</v>
      </c>
      <c r="P158" s="81">
        <f t="shared" si="7"/>
        <v>18168019.800000001</v>
      </c>
    </row>
    <row r="159" spans="1:16">
      <c r="A159" s="59">
        <v>158</v>
      </c>
      <c r="B159" s="59">
        <v>818</v>
      </c>
      <c r="C159" s="59">
        <v>8</v>
      </c>
      <c r="D159" s="59">
        <v>158</v>
      </c>
      <c r="E159" s="59" t="s">
        <v>13</v>
      </c>
      <c r="F159" s="76">
        <f t="shared" si="8"/>
        <v>16</v>
      </c>
      <c r="G159" s="76">
        <v>3.02</v>
      </c>
      <c r="H159" s="77">
        <f t="shared" si="6"/>
        <v>19.02</v>
      </c>
      <c r="I159" s="59" t="s">
        <v>17</v>
      </c>
      <c r="J159" s="59" t="s">
        <v>18</v>
      </c>
      <c r="K159" s="59" t="s">
        <v>153</v>
      </c>
      <c r="L159" s="78">
        <f>VLOOKUP(D159,Worksheet!$A$2:$I$245,4,FALSE)</f>
        <v>19.02</v>
      </c>
      <c r="M159" s="79">
        <v>310200</v>
      </c>
      <c r="N159" s="79">
        <v>50000</v>
      </c>
      <c r="O159" s="79">
        <v>50000</v>
      </c>
      <c r="P159" s="81">
        <f t="shared" si="7"/>
        <v>7802004</v>
      </c>
    </row>
    <row r="160" spans="1:16">
      <c r="A160" s="59">
        <v>159</v>
      </c>
      <c r="B160" s="59">
        <v>819</v>
      </c>
      <c r="C160" s="59">
        <v>8</v>
      </c>
      <c r="D160" s="59">
        <v>159</v>
      </c>
      <c r="E160" s="59" t="s">
        <v>13</v>
      </c>
      <c r="F160" s="76">
        <f t="shared" si="8"/>
        <v>16</v>
      </c>
      <c r="G160" s="76">
        <v>2.94</v>
      </c>
      <c r="H160" s="77">
        <f t="shared" si="6"/>
        <v>18.940000000000001</v>
      </c>
      <c r="I160" s="59" t="s">
        <v>17</v>
      </c>
      <c r="J160" s="59" t="s">
        <v>18</v>
      </c>
      <c r="K160" s="59" t="s">
        <v>154</v>
      </c>
      <c r="L160" s="78">
        <f>VLOOKUP(D160,Worksheet!$A$2:$I$245,4,FALSE)</f>
        <v>18.940000000000001</v>
      </c>
      <c r="M160" s="79">
        <v>311510</v>
      </c>
      <c r="N160" s="79">
        <v>50000</v>
      </c>
      <c r="O160" s="79">
        <v>50000</v>
      </c>
      <c r="P160" s="81">
        <f t="shared" si="7"/>
        <v>7793999.4000000004</v>
      </c>
    </row>
    <row r="161" spans="1:16">
      <c r="A161" s="59">
        <v>160</v>
      </c>
      <c r="B161" s="59">
        <v>820</v>
      </c>
      <c r="C161" s="59">
        <v>8</v>
      </c>
      <c r="D161" s="59">
        <v>160</v>
      </c>
      <c r="E161" s="59" t="s">
        <v>13</v>
      </c>
      <c r="F161" s="76">
        <f t="shared" si="8"/>
        <v>16</v>
      </c>
      <c r="G161" s="76">
        <v>3.03</v>
      </c>
      <c r="H161" s="77">
        <f t="shared" si="6"/>
        <v>19.03</v>
      </c>
      <c r="I161" s="59" t="s">
        <v>17</v>
      </c>
      <c r="J161" s="59" t="s">
        <v>18</v>
      </c>
      <c r="K161" s="59" t="s">
        <v>153</v>
      </c>
      <c r="L161" s="78">
        <f>VLOOKUP(D161,Worksheet!$A$2:$I$245,4,FALSE)</f>
        <v>19.03</v>
      </c>
      <c r="M161" s="79">
        <v>310037</v>
      </c>
      <c r="N161" s="79">
        <v>50000</v>
      </c>
      <c r="O161" s="79">
        <v>50000</v>
      </c>
      <c r="P161" s="81">
        <f t="shared" si="7"/>
        <v>7803004.1100000003</v>
      </c>
    </row>
    <row r="162" spans="1:16">
      <c r="A162" s="59">
        <v>161</v>
      </c>
      <c r="B162" s="59">
        <v>821</v>
      </c>
      <c r="C162" s="59">
        <v>8</v>
      </c>
      <c r="D162" s="59">
        <v>161</v>
      </c>
      <c r="E162" s="59" t="s">
        <v>14</v>
      </c>
      <c r="F162" s="76">
        <f t="shared" si="8"/>
        <v>41.06</v>
      </c>
      <c r="G162" s="76">
        <v>8.91</v>
      </c>
      <c r="H162" s="77">
        <f t="shared" si="6"/>
        <v>49.97</v>
      </c>
      <c r="I162" s="59" t="s">
        <v>17</v>
      </c>
      <c r="J162" s="59" t="s">
        <v>18</v>
      </c>
      <c r="K162" s="59" t="s">
        <v>154</v>
      </c>
      <c r="L162" s="78">
        <f>VLOOKUP(D162,Worksheet!$A$2:$I$245,4,FALSE)</f>
        <v>49.97</v>
      </c>
      <c r="M162" s="79">
        <v>189113</v>
      </c>
      <c r="N162" s="79">
        <v>50000</v>
      </c>
      <c r="O162" s="79">
        <v>50000</v>
      </c>
      <c r="P162" s="81">
        <f t="shared" si="7"/>
        <v>14446976.609999999</v>
      </c>
    </row>
    <row r="163" spans="1:16">
      <c r="A163" s="59">
        <v>162</v>
      </c>
      <c r="B163" s="59">
        <v>901</v>
      </c>
      <c r="C163" s="59">
        <v>9</v>
      </c>
      <c r="D163" s="59">
        <v>162</v>
      </c>
      <c r="E163" s="59" t="s">
        <v>14</v>
      </c>
      <c r="F163" s="76">
        <f t="shared" si="8"/>
        <v>40.92</v>
      </c>
      <c r="G163" s="76">
        <v>8.86</v>
      </c>
      <c r="H163" s="77">
        <f t="shared" si="6"/>
        <v>49.78</v>
      </c>
      <c r="I163" s="59" t="s">
        <v>17</v>
      </c>
      <c r="J163" s="59" t="s">
        <v>18</v>
      </c>
      <c r="K163" s="59" t="s">
        <v>153</v>
      </c>
      <c r="L163" s="78">
        <f>VLOOKUP(D163,Worksheet!$A$2:$I$245,4,FALSE)</f>
        <v>49.78</v>
      </c>
      <c r="M163" s="79">
        <v>275211</v>
      </c>
      <c r="N163" s="79">
        <v>50000</v>
      </c>
      <c r="O163" s="79">
        <v>50000</v>
      </c>
      <c r="P163" s="81">
        <f t="shared" si="7"/>
        <v>18678003.580000002</v>
      </c>
    </row>
    <row r="164" spans="1:16">
      <c r="A164" s="59">
        <v>163</v>
      </c>
      <c r="B164" s="59">
        <v>902</v>
      </c>
      <c r="C164" s="59">
        <v>9</v>
      </c>
      <c r="D164" s="59">
        <v>163</v>
      </c>
      <c r="E164" s="59" t="s">
        <v>13</v>
      </c>
      <c r="F164" s="76">
        <f t="shared" si="8"/>
        <v>16</v>
      </c>
      <c r="G164" s="76">
        <v>3.03</v>
      </c>
      <c r="H164" s="77">
        <f t="shared" si="6"/>
        <v>19.03</v>
      </c>
      <c r="I164" s="59" t="s">
        <v>17</v>
      </c>
      <c r="J164" s="59" t="s">
        <v>18</v>
      </c>
      <c r="K164" s="59" t="s">
        <v>153</v>
      </c>
      <c r="L164" s="78">
        <f>VLOOKUP(D164,Worksheet!$A$2:$I$245,4,FALSE)</f>
        <v>19.03</v>
      </c>
      <c r="M164" s="79">
        <v>307409</v>
      </c>
      <c r="N164" s="79">
        <v>50000</v>
      </c>
      <c r="O164" s="79">
        <v>50000</v>
      </c>
      <c r="P164" s="81">
        <f t="shared" si="7"/>
        <v>7752993.2700000005</v>
      </c>
    </row>
    <row r="165" spans="1:16">
      <c r="A165" s="59">
        <v>164</v>
      </c>
      <c r="B165" s="59">
        <v>903</v>
      </c>
      <c r="C165" s="59">
        <v>9</v>
      </c>
      <c r="D165" s="59">
        <v>164</v>
      </c>
      <c r="E165" s="59" t="s">
        <v>13</v>
      </c>
      <c r="F165" s="76">
        <f t="shared" si="8"/>
        <v>16</v>
      </c>
      <c r="G165" s="76">
        <v>2.95</v>
      </c>
      <c r="H165" s="77">
        <f t="shared" si="6"/>
        <v>18.95</v>
      </c>
      <c r="I165" s="59" t="s">
        <v>17</v>
      </c>
      <c r="J165" s="59" t="s">
        <v>18</v>
      </c>
      <c r="K165" s="59" t="s">
        <v>153</v>
      </c>
      <c r="L165" s="78">
        <f>VLOOKUP(D165,Worksheet!$A$2:$I$245,4,FALSE)</f>
        <v>18.95</v>
      </c>
      <c r="M165" s="79">
        <v>308707</v>
      </c>
      <c r="N165" s="79">
        <v>50000</v>
      </c>
      <c r="O165" s="79">
        <v>50000</v>
      </c>
      <c r="P165" s="81">
        <f t="shared" si="7"/>
        <v>7744997.6499999994</v>
      </c>
    </row>
    <row r="166" spans="1:16">
      <c r="A166" s="59">
        <v>165</v>
      </c>
      <c r="B166" s="59">
        <v>904</v>
      </c>
      <c r="C166" s="59">
        <v>9</v>
      </c>
      <c r="D166" s="59">
        <v>165</v>
      </c>
      <c r="E166" s="59" t="s">
        <v>13</v>
      </c>
      <c r="F166" s="76">
        <f t="shared" si="8"/>
        <v>16</v>
      </c>
      <c r="G166" s="76">
        <v>3.02</v>
      </c>
      <c r="H166" s="77">
        <f t="shared" si="6"/>
        <v>19.02</v>
      </c>
      <c r="I166" s="59" t="s">
        <v>17</v>
      </c>
      <c r="J166" s="59" t="s">
        <v>18</v>
      </c>
      <c r="K166" s="59" t="s">
        <v>153</v>
      </c>
      <c r="L166" s="78">
        <f>VLOOKUP(D166,Worksheet!$A$2:$I$245,4,FALSE)</f>
        <v>19.02</v>
      </c>
      <c r="M166" s="79">
        <v>310200</v>
      </c>
      <c r="N166" s="79">
        <v>50000</v>
      </c>
      <c r="O166" s="79">
        <v>50000</v>
      </c>
      <c r="P166" s="81">
        <f t="shared" si="7"/>
        <v>7802004</v>
      </c>
    </row>
    <row r="167" spans="1:16">
      <c r="A167" s="59">
        <v>166</v>
      </c>
      <c r="B167" s="59">
        <v>905</v>
      </c>
      <c r="C167" s="59">
        <v>9</v>
      </c>
      <c r="D167" s="59">
        <v>166</v>
      </c>
      <c r="E167" s="59" t="s">
        <v>13</v>
      </c>
      <c r="F167" s="76">
        <f t="shared" si="8"/>
        <v>16</v>
      </c>
      <c r="G167" s="76">
        <v>3.02</v>
      </c>
      <c r="H167" s="77">
        <f t="shared" si="6"/>
        <v>19.02</v>
      </c>
      <c r="I167" s="59" t="s">
        <v>17</v>
      </c>
      <c r="J167" s="59" t="s">
        <v>18</v>
      </c>
      <c r="K167" s="59" t="s">
        <v>153</v>
      </c>
      <c r="L167" s="78">
        <f>VLOOKUP(D167,Worksheet!$A$2:$I$245,4,FALSE)</f>
        <v>19.02</v>
      </c>
      <c r="M167" s="79">
        <v>310200</v>
      </c>
      <c r="N167" s="79">
        <v>50000</v>
      </c>
      <c r="O167" s="79">
        <v>50000</v>
      </c>
      <c r="P167" s="81">
        <f t="shared" si="7"/>
        <v>7802004</v>
      </c>
    </row>
    <row r="168" spans="1:16">
      <c r="A168" s="59">
        <v>167</v>
      </c>
      <c r="B168" s="59">
        <v>906</v>
      </c>
      <c r="C168" s="59">
        <v>9</v>
      </c>
      <c r="D168" s="59">
        <v>167</v>
      </c>
      <c r="E168" s="59" t="s">
        <v>15</v>
      </c>
      <c r="F168" s="76">
        <f t="shared" si="8"/>
        <v>21.15</v>
      </c>
      <c r="G168" s="76">
        <v>8.44</v>
      </c>
      <c r="H168" s="77">
        <f t="shared" si="6"/>
        <v>29.59</v>
      </c>
      <c r="I168" s="59" t="s">
        <v>17</v>
      </c>
      <c r="J168" s="59" t="s">
        <v>18</v>
      </c>
      <c r="K168" s="59" t="s">
        <v>154</v>
      </c>
      <c r="L168" s="78">
        <f>VLOOKUP(D168,Worksheet!$A$2:$I$245,4,FALSE)</f>
        <v>29.59</v>
      </c>
      <c r="M168" s="79">
        <v>266982</v>
      </c>
      <c r="N168" s="79">
        <v>50000</v>
      </c>
      <c r="O168" s="79">
        <v>50000</v>
      </c>
      <c r="P168" s="81">
        <f t="shared" si="7"/>
        <v>10858997.380000001</v>
      </c>
    </row>
    <row r="169" spans="1:16">
      <c r="A169" s="59">
        <v>168</v>
      </c>
      <c r="B169" s="59">
        <v>907</v>
      </c>
      <c r="C169" s="59">
        <v>9</v>
      </c>
      <c r="D169" s="59">
        <v>168</v>
      </c>
      <c r="E169" s="59" t="s">
        <v>10</v>
      </c>
      <c r="F169" s="76">
        <f t="shared" si="8"/>
        <v>24.03</v>
      </c>
      <c r="G169" s="76">
        <v>6.33</v>
      </c>
      <c r="H169" s="77">
        <f t="shared" si="6"/>
        <v>30.36</v>
      </c>
      <c r="I169" s="59" t="s">
        <v>17</v>
      </c>
      <c r="J169" s="59" t="s">
        <v>18</v>
      </c>
      <c r="K169" s="59" t="s">
        <v>153</v>
      </c>
      <c r="L169" s="78">
        <f>VLOOKUP(D169,Worksheet!$A$2:$I$245,4,FALSE)</f>
        <v>30.36</v>
      </c>
      <c r="M169" s="79">
        <v>263505</v>
      </c>
      <c r="N169" s="79">
        <v>50000</v>
      </c>
      <c r="O169" s="79">
        <v>50000</v>
      </c>
      <c r="P169" s="81">
        <f t="shared" si="7"/>
        <v>11036011.799999999</v>
      </c>
    </row>
    <row r="170" spans="1:16">
      <c r="A170" s="59">
        <v>169</v>
      </c>
      <c r="B170" s="59">
        <v>908</v>
      </c>
      <c r="C170" s="59">
        <v>9</v>
      </c>
      <c r="D170" s="59">
        <v>169</v>
      </c>
      <c r="E170" s="59" t="s">
        <v>13</v>
      </c>
      <c r="F170" s="76">
        <f t="shared" si="8"/>
        <v>15.969999999999999</v>
      </c>
      <c r="G170" s="76">
        <v>2.96</v>
      </c>
      <c r="H170" s="77">
        <f t="shared" si="6"/>
        <v>18.93</v>
      </c>
      <c r="I170" s="59" t="s">
        <v>17</v>
      </c>
      <c r="J170" s="59" t="s">
        <v>18</v>
      </c>
      <c r="K170" s="59" t="s">
        <v>153</v>
      </c>
      <c r="L170" s="78">
        <f>VLOOKUP(D170,Worksheet!$A$2:$I$245,4,FALSE)</f>
        <v>18.93</v>
      </c>
      <c r="M170" s="79">
        <v>316957</v>
      </c>
      <c r="N170" s="79">
        <v>50000</v>
      </c>
      <c r="O170" s="79">
        <v>50000</v>
      </c>
      <c r="P170" s="81">
        <f t="shared" si="7"/>
        <v>7892996.0099999998</v>
      </c>
    </row>
    <row r="171" spans="1:16">
      <c r="A171" s="59">
        <v>170</v>
      </c>
      <c r="B171" s="59">
        <v>909</v>
      </c>
      <c r="C171" s="59">
        <v>9</v>
      </c>
      <c r="D171" s="59">
        <v>170</v>
      </c>
      <c r="E171" s="59" t="s">
        <v>13</v>
      </c>
      <c r="F171" s="76">
        <f t="shared" si="8"/>
        <v>15.97</v>
      </c>
      <c r="G171" s="76">
        <v>3.03</v>
      </c>
      <c r="H171" s="77">
        <f t="shared" si="6"/>
        <v>19</v>
      </c>
      <c r="I171" s="59" t="s">
        <v>17</v>
      </c>
      <c r="J171" s="59" t="s">
        <v>18</v>
      </c>
      <c r="K171" s="59" t="s">
        <v>153</v>
      </c>
      <c r="L171" s="78">
        <f>VLOOKUP(D171,Worksheet!$A$2:$I$245,4,FALSE)</f>
        <v>19</v>
      </c>
      <c r="M171" s="79">
        <v>315789</v>
      </c>
      <c r="N171" s="79">
        <v>50000</v>
      </c>
      <c r="O171" s="79">
        <v>50000</v>
      </c>
      <c r="P171" s="81">
        <f t="shared" si="7"/>
        <v>7899991</v>
      </c>
    </row>
    <row r="172" spans="1:16">
      <c r="A172" s="59">
        <v>171</v>
      </c>
      <c r="B172" s="59">
        <v>910</v>
      </c>
      <c r="C172" s="59">
        <v>9</v>
      </c>
      <c r="D172" s="59">
        <v>171</v>
      </c>
      <c r="E172" s="59" t="s">
        <v>19</v>
      </c>
      <c r="F172" s="76">
        <f t="shared" si="8"/>
        <v>39.97</v>
      </c>
      <c r="G172" s="76">
        <v>30.25</v>
      </c>
      <c r="H172" s="77">
        <f t="shared" si="6"/>
        <v>70.22</v>
      </c>
      <c r="I172" s="59" t="s">
        <v>17</v>
      </c>
      <c r="J172" s="59" t="s">
        <v>18</v>
      </c>
      <c r="K172" s="59" t="s">
        <v>153</v>
      </c>
      <c r="L172" s="78">
        <f>VLOOKUP(D172,Worksheet!$A$2:$I$245,4,FALSE)</f>
        <v>70.22</v>
      </c>
      <c r="M172" s="79">
        <v>244944</v>
      </c>
      <c r="N172" s="79">
        <v>50000</v>
      </c>
      <c r="O172" s="79">
        <v>50000</v>
      </c>
      <c r="P172" s="81">
        <f t="shared" si="7"/>
        <v>24221967.68</v>
      </c>
    </row>
    <row r="173" spans="1:16">
      <c r="A173" s="59">
        <v>172</v>
      </c>
      <c r="B173" s="59">
        <v>911</v>
      </c>
      <c r="C173" s="59">
        <v>9</v>
      </c>
      <c r="D173" s="59">
        <v>172</v>
      </c>
      <c r="E173" s="59" t="s">
        <v>19</v>
      </c>
      <c r="F173" s="76">
        <f t="shared" si="8"/>
        <v>48.98</v>
      </c>
      <c r="G173" s="76">
        <v>35.9</v>
      </c>
      <c r="H173" s="77">
        <f t="shared" si="6"/>
        <v>84.88</v>
      </c>
      <c r="I173" s="59" t="s">
        <v>17</v>
      </c>
      <c r="J173" s="59" t="s">
        <v>18</v>
      </c>
      <c r="K173" s="59" t="s">
        <v>154</v>
      </c>
      <c r="L173" s="78">
        <f>VLOOKUP(D173,Worksheet!$A$2:$I$245,4,FALSE)</f>
        <v>84.88</v>
      </c>
      <c r="M173" s="79">
        <v>217955</v>
      </c>
      <c r="N173" s="79">
        <v>50000</v>
      </c>
      <c r="O173" s="79">
        <v>50000</v>
      </c>
      <c r="P173" s="81">
        <f t="shared" si="7"/>
        <v>26988020.399999999</v>
      </c>
    </row>
    <row r="174" spans="1:16">
      <c r="A174" s="59">
        <v>173</v>
      </c>
      <c r="B174" s="59">
        <v>912</v>
      </c>
      <c r="C174" s="59">
        <v>9</v>
      </c>
      <c r="D174" s="59">
        <v>173</v>
      </c>
      <c r="E174" s="59" t="s">
        <v>13</v>
      </c>
      <c r="F174" s="76">
        <f t="shared" si="8"/>
        <v>15.97</v>
      </c>
      <c r="G174" s="76">
        <v>3.03</v>
      </c>
      <c r="H174" s="77">
        <f t="shared" si="6"/>
        <v>19</v>
      </c>
      <c r="I174" s="59" t="s">
        <v>17</v>
      </c>
      <c r="J174" s="59" t="s">
        <v>18</v>
      </c>
      <c r="K174" s="59" t="s">
        <v>154</v>
      </c>
      <c r="L174" s="78">
        <f>VLOOKUP(D174,Worksheet!$A$2:$I$245,4,FALSE)</f>
        <v>19</v>
      </c>
      <c r="M174" s="79">
        <v>321053</v>
      </c>
      <c r="N174" s="79">
        <v>50000</v>
      </c>
      <c r="O174" s="79">
        <v>50000</v>
      </c>
      <c r="P174" s="81">
        <f t="shared" si="7"/>
        <v>8000007</v>
      </c>
    </row>
    <row r="175" spans="1:16">
      <c r="A175" s="59">
        <v>174</v>
      </c>
      <c r="B175" s="59">
        <v>913</v>
      </c>
      <c r="C175" s="59">
        <v>9</v>
      </c>
      <c r="D175" s="59">
        <v>174</v>
      </c>
      <c r="E175" s="59" t="s">
        <v>13</v>
      </c>
      <c r="F175" s="76">
        <f t="shared" si="8"/>
        <v>15.969999999999999</v>
      </c>
      <c r="G175" s="76">
        <v>2.96</v>
      </c>
      <c r="H175" s="77">
        <f t="shared" si="6"/>
        <v>18.93</v>
      </c>
      <c r="I175" s="59" t="s">
        <v>17</v>
      </c>
      <c r="J175" s="59" t="s">
        <v>18</v>
      </c>
      <c r="K175" s="59" t="s">
        <v>154</v>
      </c>
      <c r="L175" s="78">
        <f>VLOOKUP(D175,Worksheet!$A$2:$I$245,4,FALSE)</f>
        <v>18.93</v>
      </c>
      <c r="M175" s="79">
        <v>301109</v>
      </c>
      <c r="N175" s="79">
        <v>50000</v>
      </c>
      <c r="O175" s="79">
        <v>50000</v>
      </c>
      <c r="P175" s="81">
        <f t="shared" si="7"/>
        <v>7592993.3700000001</v>
      </c>
    </row>
    <row r="176" spans="1:16">
      <c r="A176" s="59">
        <v>175</v>
      </c>
      <c r="B176" s="59">
        <v>914</v>
      </c>
      <c r="C176" s="59">
        <v>9</v>
      </c>
      <c r="D176" s="59">
        <v>175</v>
      </c>
      <c r="E176" s="59" t="s">
        <v>13</v>
      </c>
      <c r="F176" s="76">
        <f t="shared" si="8"/>
        <v>15.97</v>
      </c>
      <c r="G176" s="76">
        <v>3.03</v>
      </c>
      <c r="H176" s="77">
        <f t="shared" si="6"/>
        <v>19</v>
      </c>
      <c r="I176" s="59" t="s">
        <v>17</v>
      </c>
      <c r="J176" s="59" t="s">
        <v>18</v>
      </c>
      <c r="K176" s="59" t="s">
        <v>153</v>
      </c>
      <c r="L176" s="78">
        <f>VLOOKUP(D176,Worksheet!$A$2:$I$245,4,FALSE)</f>
        <v>19</v>
      </c>
      <c r="M176" s="79">
        <v>321053</v>
      </c>
      <c r="N176" s="79">
        <v>50000</v>
      </c>
      <c r="O176" s="79">
        <v>50000</v>
      </c>
      <c r="P176" s="81">
        <f t="shared" si="7"/>
        <v>8000007</v>
      </c>
    </row>
    <row r="177" spans="1:16">
      <c r="A177" s="59">
        <v>176</v>
      </c>
      <c r="B177" s="59">
        <v>915</v>
      </c>
      <c r="C177" s="59">
        <v>9</v>
      </c>
      <c r="D177" s="59">
        <v>176</v>
      </c>
      <c r="E177" s="59" t="s">
        <v>16</v>
      </c>
      <c r="F177" s="76">
        <f t="shared" si="8"/>
        <v>31.7</v>
      </c>
      <c r="G177" s="76">
        <v>18.809999999999999</v>
      </c>
      <c r="H177" s="77">
        <f t="shared" si="6"/>
        <v>50.51</v>
      </c>
      <c r="I177" s="59" t="s">
        <v>17</v>
      </c>
      <c r="J177" s="59" t="s">
        <v>18</v>
      </c>
      <c r="K177" s="59" t="s">
        <v>154</v>
      </c>
      <c r="L177" s="78">
        <f>VLOOKUP(D177,Worksheet!$A$2:$I$245,4,FALSE)</f>
        <v>50.51</v>
      </c>
      <c r="M177" s="79">
        <v>191031</v>
      </c>
      <c r="N177" s="79">
        <v>50000</v>
      </c>
      <c r="O177" s="79">
        <v>50000</v>
      </c>
      <c r="P177" s="81">
        <f t="shared" si="7"/>
        <v>14699975.809999999</v>
      </c>
    </row>
    <row r="178" spans="1:16">
      <c r="A178" s="59">
        <v>177</v>
      </c>
      <c r="B178" s="59">
        <v>916</v>
      </c>
      <c r="C178" s="59">
        <v>9</v>
      </c>
      <c r="D178" s="59">
        <v>177</v>
      </c>
      <c r="E178" s="59" t="s">
        <v>13</v>
      </c>
      <c r="F178" s="76">
        <f t="shared" si="8"/>
        <v>15.95</v>
      </c>
      <c r="G178" s="76">
        <v>3.02</v>
      </c>
      <c r="H178" s="77">
        <f t="shared" si="6"/>
        <v>18.97</v>
      </c>
      <c r="I178" s="59" t="s">
        <v>17</v>
      </c>
      <c r="J178" s="59" t="s">
        <v>18</v>
      </c>
      <c r="K178" s="59" t="s">
        <v>153</v>
      </c>
      <c r="L178" s="78">
        <f>VLOOKUP(D178,Worksheet!$A$2:$I$245,4,FALSE)</f>
        <v>18.97</v>
      </c>
      <c r="M178" s="79">
        <v>316289</v>
      </c>
      <c r="N178" s="79">
        <v>50000</v>
      </c>
      <c r="O178" s="79">
        <v>50000</v>
      </c>
      <c r="P178" s="81">
        <f t="shared" si="7"/>
        <v>7897002.3299999991</v>
      </c>
    </row>
    <row r="179" spans="1:16">
      <c r="A179" s="59">
        <v>178</v>
      </c>
      <c r="B179" s="59">
        <v>917</v>
      </c>
      <c r="C179" s="59">
        <v>9</v>
      </c>
      <c r="D179" s="59">
        <v>178</v>
      </c>
      <c r="E179" s="59" t="s">
        <v>13</v>
      </c>
      <c r="F179" s="76">
        <f t="shared" si="8"/>
        <v>16</v>
      </c>
      <c r="G179" s="76">
        <v>2.95</v>
      </c>
      <c r="H179" s="77">
        <f t="shared" si="6"/>
        <v>18.95</v>
      </c>
      <c r="I179" s="59" t="s">
        <v>17</v>
      </c>
      <c r="J179" s="59" t="s">
        <v>18</v>
      </c>
      <c r="K179" s="59" t="s">
        <v>153</v>
      </c>
      <c r="L179" s="78">
        <f>VLOOKUP(D179,Worksheet!$A$2:$I$245,4,FALSE)</f>
        <v>18.95</v>
      </c>
      <c r="M179" s="79">
        <v>316623</v>
      </c>
      <c r="N179" s="79">
        <v>50000</v>
      </c>
      <c r="O179" s="79">
        <v>50000</v>
      </c>
      <c r="P179" s="81">
        <f t="shared" si="7"/>
        <v>7895005.8499999996</v>
      </c>
    </row>
    <row r="180" spans="1:16">
      <c r="A180" s="59">
        <v>179</v>
      </c>
      <c r="B180" s="59">
        <v>918</v>
      </c>
      <c r="C180" s="59">
        <v>9</v>
      </c>
      <c r="D180" s="59">
        <v>179</v>
      </c>
      <c r="E180" s="59" t="s">
        <v>13</v>
      </c>
      <c r="F180" s="76">
        <f t="shared" si="8"/>
        <v>15.990000000000002</v>
      </c>
      <c r="G180" s="76">
        <v>3.02</v>
      </c>
      <c r="H180" s="77">
        <f t="shared" si="6"/>
        <v>19.010000000000002</v>
      </c>
      <c r="I180" s="59" t="s">
        <v>17</v>
      </c>
      <c r="J180" s="59" t="s">
        <v>18</v>
      </c>
      <c r="K180" s="59" t="s">
        <v>154</v>
      </c>
      <c r="L180" s="78">
        <f>VLOOKUP(D180,Worksheet!$A$2:$I$245,4,FALSE)</f>
        <v>19.010000000000002</v>
      </c>
      <c r="M180" s="79">
        <v>315623</v>
      </c>
      <c r="N180" s="79">
        <v>50000</v>
      </c>
      <c r="O180" s="79">
        <v>50000</v>
      </c>
      <c r="P180" s="81">
        <f t="shared" si="7"/>
        <v>7900993.2300000004</v>
      </c>
    </row>
    <row r="181" spans="1:16">
      <c r="A181" s="59">
        <v>180</v>
      </c>
      <c r="B181" s="59">
        <v>919</v>
      </c>
      <c r="C181" s="59">
        <v>9</v>
      </c>
      <c r="D181" s="59">
        <v>180</v>
      </c>
      <c r="E181" s="59" t="s">
        <v>14</v>
      </c>
      <c r="F181" s="76">
        <f t="shared" si="8"/>
        <v>41.04</v>
      </c>
      <c r="G181" s="76">
        <v>8.7899999999999991</v>
      </c>
      <c r="H181" s="77">
        <f t="shared" si="6"/>
        <v>49.83</v>
      </c>
      <c r="I181" s="59" t="s">
        <v>17</v>
      </c>
      <c r="J181" s="59" t="s">
        <v>18</v>
      </c>
      <c r="K181" s="59" t="s">
        <v>153</v>
      </c>
      <c r="L181" s="78">
        <f>VLOOKUP(D181,Worksheet!$A$2:$I$245,4,FALSE)</f>
        <v>49.83</v>
      </c>
      <c r="M181" s="79">
        <v>274935</v>
      </c>
      <c r="N181" s="79">
        <v>50000</v>
      </c>
      <c r="O181" s="79">
        <v>50000</v>
      </c>
      <c r="P181" s="81">
        <f t="shared" si="7"/>
        <v>18683011.050000001</v>
      </c>
    </row>
    <row r="182" spans="1:16">
      <c r="A182" s="59">
        <v>181</v>
      </c>
      <c r="B182" s="59">
        <v>1001</v>
      </c>
      <c r="C182" s="59">
        <v>10</v>
      </c>
      <c r="D182" s="59">
        <v>181</v>
      </c>
      <c r="E182" s="59" t="s">
        <v>14</v>
      </c>
      <c r="F182" s="76">
        <f t="shared" si="8"/>
        <v>40.99</v>
      </c>
      <c r="G182" s="76">
        <v>8.85</v>
      </c>
      <c r="H182" s="77">
        <f t="shared" si="6"/>
        <v>49.84</v>
      </c>
      <c r="I182" s="59" t="s">
        <v>17</v>
      </c>
      <c r="J182" s="59" t="s">
        <v>18</v>
      </c>
      <c r="K182" s="59" t="s">
        <v>153</v>
      </c>
      <c r="L182" s="78">
        <f>VLOOKUP(D182,Worksheet!$A$2:$I$245,4,FALSE)</f>
        <v>49.84</v>
      </c>
      <c r="M182" s="79">
        <v>276886</v>
      </c>
      <c r="N182" s="79">
        <v>50000</v>
      </c>
      <c r="O182" s="79">
        <v>50000</v>
      </c>
      <c r="P182" s="81">
        <f t="shared" si="7"/>
        <v>18783998.240000002</v>
      </c>
    </row>
    <row r="183" spans="1:16">
      <c r="A183" s="59">
        <v>182</v>
      </c>
      <c r="B183" s="59">
        <v>1002</v>
      </c>
      <c r="C183" s="59">
        <v>10</v>
      </c>
      <c r="D183" s="59">
        <v>182</v>
      </c>
      <c r="E183" s="59" t="s">
        <v>13</v>
      </c>
      <c r="F183" s="76">
        <f t="shared" si="8"/>
        <v>16</v>
      </c>
      <c r="G183" s="76">
        <v>3.03</v>
      </c>
      <c r="H183" s="77">
        <f t="shared" si="6"/>
        <v>19.03</v>
      </c>
      <c r="I183" s="59" t="s">
        <v>17</v>
      </c>
      <c r="J183" s="59" t="s">
        <v>18</v>
      </c>
      <c r="K183" s="59" t="s">
        <v>153</v>
      </c>
      <c r="L183" s="78">
        <f>VLOOKUP(D183,Worksheet!$A$2:$I$245,4,FALSE)</f>
        <v>19.03</v>
      </c>
      <c r="M183" s="79">
        <v>312664</v>
      </c>
      <c r="N183" s="79">
        <v>50000</v>
      </c>
      <c r="O183" s="79">
        <v>50000</v>
      </c>
      <c r="P183" s="81">
        <f t="shared" si="7"/>
        <v>7852995.9200000009</v>
      </c>
    </row>
    <row r="184" spans="1:16">
      <c r="A184" s="59">
        <v>183</v>
      </c>
      <c r="B184" s="59">
        <v>1003</v>
      </c>
      <c r="C184" s="59">
        <v>10</v>
      </c>
      <c r="D184" s="59">
        <v>183</v>
      </c>
      <c r="E184" s="59" t="s">
        <v>13</v>
      </c>
      <c r="F184" s="76">
        <f t="shared" si="8"/>
        <v>16</v>
      </c>
      <c r="G184" s="76">
        <v>2.95</v>
      </c>
      <c r="H184" s="77">
        <f t="shared" si="6"/>
        <v>18.95</v>
      </c>
      <c r="I184" s="59" t="s">
        <v>17</v>
      </c>
      <c r="J184" s="59" t="s">
        <v>18</v>
      </c>
      <c r="K184" s="59" t="s">
        <v>153</v>
      </c>
      <c r="L184" s="78">
        <f>VLOOKUP(D184,Worksheet!$A$2:$I$245,4,FALSE)</f>
        <v>18.95</v>
      </c>
      <c r="M184" s="79">
        <v>313984</v>
      </c>
      <c r="N184" s="79">
        <v>50000</v>
      </c>
      <c r="O184" s="79">
        <v>50000</v>
      </c>
      <c r="P184" s="81">
        <f t="shared" si="7"/>
        <v>7844996.7999999998</v>
      </c>
    </row>
    <row r="185" spans="1:16">
      <c r="A185" s="59">
        <v>184</v>
      </c>
      <c r="B185" s="59">
        <v>1004</v>
      </c>
      <c r="C185" s="59">
        <v>10</v>
      </c>
      <c r="D185" s="59">
        <v>184</v>
      </c>
      <c r="E185" s="59" t="s">
        <v>13</v>
      </c>
      <c r="F185" s="76">
        <f t="shared" si="8"/>
        <v>16</v>
      </c>
      <c r="G185" s="76">
        <v>3.02</v>
      </c>
      <c r="H185" s="77">
        <f t="shared" si="6"/>
        <v>19.02</v>
      </c>
      <c r="I185" s="59" t="s">
        <v>17</v>
      </c>
      <c r="J185" s="59" t="s">
        <v>18</v>
      </c>
      <c r="K185" s="59" t="s">
        <v>153</v>
      </c>
      <c r="L185" s="78">
        <f>VLOOKUP(D185,Worksheet!$A$2:$I$245,4,FALSE)</f>
        <v>19.02</v>
      </c>
      <c r="M185" s="79">
        <v>315457</v>
      </c>
      <c r="N185" s="79">
        <v>50000</v>
      </c>
      <c r="O185" s="79">
        <v>50000</v>
      </c>
      <c r="P185" s="81">
        <f t="shared" si="7"/>
        <v>7901992.1399999997</v>
      </c>
    </row>
    <row r="186" spans="1:16">
      <c r="A186" s="59">
        <v>185</v>
      </c>
      <c r="B186" s="59">
        <v>1005</v>
      </c>
      <c r="C186" s="59">
        <v>10</v>
      </c>
      <c r="D186" s="59">
        <v>185</v>
      </c>
      <c r="E186" s="59" t="s">
        <v>13</v>
      </c>
      <c r="F186" s="76">
        <f t="shared" si="8"/>
        <v>16</v>
      </c>
      <c r="G186" s="76">
        <v>3.02</v>
      </c>
      <c r="H186" s="77">
        <f t="shared" si="6"/>
        <v>19.02</v>
      </c>
      <c r="I186" s="59" t="s">
        <v>17</v>
      </c>
      <c r="J186" s="59" t="s">
        <v>18</v>
      </c>
      <c r="K186" s="59" t="s">
        <v>153</v>
      </c>
      <c r="L186" s="78">
        <f>VLOOKUP(D186,Worksheet!$A$2:$I$245,4,FALSE)</f>
        <v>19.02</v>
      </c>
      <c r="M186" s="79">
        <v>315457</v>
      </c>
      <c r="N186" s="79">
        <v>50000</v>
      </c>
      <c r="O186" s="79">
        <v>50000</v>
      </c>
      <c r="P186" s="81">
        <f t="shared" si="7"/>
        <v>7901992.1399999997</v>
      </c>
    </row>
    <row r="187" spans="1:16">
      <c r="A187" s="59">
        <v>186</v>
      </c>
      <c r="B187" s="59">
        <v>1006</v>
      </c>
      <c r="C187" s="59">
        <v>10</v>
      </c>
      <c r="D187" s="59">
        <v>186</v>
      </c>
      <c r="E187" s="59" t="s">
        <v>15</v>
      </c>
      <c r="F187" s="76">
        <f t="shared" si="8"/>
        <v>21.16</v>
      </c>
      <c r="G187" s="76">
        <v>8.48</v>
      </c>
      <c r="H187" s="77">
        <f t="shared" si="6"/>
        <v>29.64</v>
      </c>
      <c r="I187" s="59" t="s">
        <v>17</v>
      </c>
      <c r="J187" s="59" t="s">
        <v>18</v>
      </c>
      <c r="K187" s="59" t="s">
        <v>153</v>
      </c>
      <c r="L187" s="78">
        <f>VLOOKUP(D187,Worksheet!$A$2:$I$245,4,FALSE)</f>
        <v>29.64</v>
      </c>
      <c r="M187" s="79">
        <v>273279</v>
      </c>
      <c r="N187" s="79">
        <v>50000</v>
      </c>
      <c r="O187" s="79">
        <v>50000</v>
      </c>
      <c r="P187" s="81">
        <f t="shared" si="7"/>
        <v>11063989.560000001</v>
      </c>
    </row>
    <row r="188" spans="1:16">
      <c r="A188" s="59">
        <v>187</v>
      </c>
      <c r="B188" s="59">
        <v>1007</v>
      </c>
      <c r="C188" s="59">
        <v>10</v>
      </c>
      <c r="D188" s="59">
        <v>187</v>
      </c>
      <c r="E188" s="59" t="s">
        <v>10</v>
      </c>
      <c r="F188" s="76">
        <f t="shared" si="8"/>
        <v>24.02</v>
      </c>
      <c r="G188" s="76">
        <v>6.32</v>
      </c>
      <c r="H188" s="77">
        <f t="shared" si="6"/>
        <v>30.34</v>
      </c>
      <c r="I188" s="59" t="s">
        <v>17</v>
      </c>
      <c r="J188" s="59" t="s">
        <v>18</v>
      </c>
      <c r="K188" s="59" t="s">
        <v>153</v>
      </c>
      <c r="L188" s="78">
        <f>VLOOKUP(D188,Worksheet!$A$2:$I$245,4,FALSE)</f>
        <v>30.34</v>
      </c>
      <c r="M188" s="79">
        <v>266974</v>
      </c>
      <c r="N188" s="79">
        <v>50000</v>
      </c>
      <c r="O188" s="79">
        <v>50000</v>
      </c>
      <c r="P188" s="81">
        <f t="shared" si="7"/>
        <v>11133991.16</v>
      </c>
    </row>
    <row r="189" spans="1:16">
      <c r="A189" s="59">
        <v>188</v>
      </c>
      <c r="B189" s="59">
        <v>1008</v>
      </c>
      <c r="C189" s="59">
        <v>10</v>
      </c>
      <c r="D189" s="59">
        <v>188</v>
      </c>
      <c r="E189" s="59" t="s">
        <v>13</v>
      </c>
      <c r="F189" s="76">
        <f t="shared" si="8"/>
        <v>15.969999999999999</v>
      </c>
      <c r="G189" s="76">
        <v>2.96</v>
      </c>
      <c r="H189" s="77">
        <f t="shared" si="6"/>
        <v>18.93</v>
      </c>
      <c r="I189" s="59" t="s">
        <v>17</v>
      </c>
      <c r="J189" s="59" t="s">
        <v>18</v>
      </c>
      <c r="K189" s="59" t="s">
        <v>153</v>
      </c>
      <c r="L189" s="78">
        <f>VLOOKUP(D189,Worksheet!$A$2:$I$245,4,FALSE)</f>
        <v>18.93</v>
      </c>
      <c r="M189" s="79">
        <v>322240</v>
      </c>
      <c r="N189" s="79">
        <v>50000</v>
      </c>
      <c r="O189" s="79">
        <v>50000</v>
      </c>
      <c r="P189" s="81">
        <f t="shared" si="7"/>
        <v>7993003.2000000002</v>
      </c>
    </row>
    <row r="190" spans="1:16">
      <c r="A190" s="59">
        <v>189</v>
      </c>
      <c r="B190" s="59">
        <v>1009</v>
      </c>
      <c r="C190" s="59">
        <v>10</v>
      </c>
      <c r="D190" s="59">
        <v>189</v>
      </c>
      <c r="E190" s="59" t="s">
        <v>19</v>
      </c>
      <c r="F190" s="76">
        <f t="shared" si="8"/>
        <v>40.010000000000005</v>
      </c>
      <c r="G190" s="76">
        <v>30.24</v>
      </c>
      <c r="H190" s="77">
        <f t="shared" si="6"/>
        <v>70.25</v>
      </c>
      <c r="I190" s="59" t="s">
        <v>17</v>
      </c>
      <c r="J190" s="59" t="s">
        <v>18</v>
      </c>
      <c r="K190" s="59" t="s">
        <v>153</v>
      </c>
      <c r="L190" s="78">
        <f>VLOOKUP(D190,Worksheet!$A$2:$I$245,4,FALSE)</f>
        <v>70.25</v>
      </c>
      <c r="M190" s="79">
        <v>249110</v>
      </c>
      <c r="N190" s="79">
        <v>50000</v>
      </c>
      <c r="O190" s="79">
        <v>50000</v>
      </c>
      <c r="P190" s="81">
        <f t="shared" si="7"/>
        <v>24524977.5</v>
      </c>
    </row>
    <row r="191" spans="1:16">
      <c r="A191" s="59">
        <v>190</v>
      </c>
      <c r="B191" s="59">
        <v>1010</v>
      </c>
      <c r="C191" s="59">
        <v>10</v>
      </c>
      <c r="D191" s="59">
        <v>190</v>
      </c>
      <c r="E191" s="59" t="s">
        <v>19</v>
      </c>
      <c r="F191" s="76">
        <f t="shared" si="8"/>
        <v>48.980000000000004</v>
      </c>
      <c r="G191" s="76">
        <v>36.14</v>
      </c>
      <c r="H191" s="77">
        <f t="shared" si="6"/>
        <v>85.12</v>
      </c>
      <c r="I191" s="59" t="s">
        <v>17</v>
      </c>
      <c r="J191" s="59" t="s">
        <v>18</v>
      </c>
      <c r="K191" s="59" t="s">
        <v>153</v>
      </c>
      <c r="L191" s="78">
        <f>VLOOKUP(D191,Worksheet!$A$2:$I$245,4,FALSE)</f>
        <v>85.12</v>
      </c>
      <c r="M191" s="79">
        <v>252585</v>
      </c>
      <c r="N191" s="79">
        <v>50000</v>
      </c>
      <c r="O191" s="79">
        <v>50000</v>
      </c>
      <c r="P191" s="81">
        <f t="shared" si="7"/>
        <v>30012035.200000003</v>
      </c>
    </row>
    <row r="192" spans="1:16">
      <c r="A192" s="59">
        <v>191</v>
      </c>
      <c r="B192" s="59">
        <v>1011</v>
      </c>
      <c r="C192" s="59">
        <v>10</v>
      </c>
      <c r="D192" s="59">
        <v>191</v>
      </c>
      <c r="E192" s="59" t="s">
        <v>13</v>
      </c>
      <c r="F192" s="76">
        <f t="shared" si="8"/>
        <v>15.969999999999999</v>
      </c>
      <c r="G192" s="76">
        <v>2.96</v>
      </c>
      <c r="H192" s="77">
        <f t="shared" si="6"/>
        <v>18.93</v>
      </c>
      <c r="I192" s="59" t="s">
        <v>17</v>
      </c>
      <c r="J192" s="59" t="s">
        <v>18</v>
      </c>
      <c r="K192" s="59" t="s">
        <v>154</v>
      </c>
      <c r="L192" s="78">
        <f>VLOOKUP(D192,Worksheet!$A$2:$I$245,4,FALSE)</f>
        <v>18.93</v>
      </c>
      <c r="M192" s="79">
        <v>306392</v>
      </c>
      <c r="N192" s="79">
        <v>50000</v>
      </c>
      <c r="O192" s="79">
        <v>50000</v>
      </c>
      <c r="P192" s="81">
        <f t="shared" si="7"/>
        <v>7693000.5599999996</v>
      </c>
    </row>
    <row r="193" spans="1:16">
      <c r="A193" s="59">
        <v>192</v>
      </c>
      <c r="B193" s="59">
        <v>1012</v>
      </c>
      <c r="C193" s="59">
        <v>10</v>
      </c>
      <c r="D193" s="59">
        <v>192</v>
      </c>
      <c r="E193" s="59" t="s">
        <v>13</v>
      </c>
      <c r="F193" s="76">
        <f t="shared" si="8"/>
        <v>15.97</v>
      </c>
      <c r="G193" s="76">
        <v>3.03</v>
      </c>
      <c r="H193" s="77">
        <f t="shared" si="6"/>
        <v>19</v>
      </c>
      <c r="I193" s="59" t="s">
        <v>17</v>
      </c>
      <c r="J193" s="59" t="s">
        <v>18</v>
      </c>
      <c r="K193" s="59" t="s">
        <v>154</v>
      </c>
      <c r="L193" s="78">
        <f>VLOOKUP(D193,Worksheet!$A$2:$I$245,4,FALSE)</f>
        <v>19</v>
      </c>
      <c r="M193" s="79">
        <v>326316</v>
      </c>
      <c r="N193" s="79">
        <v>50000</v>
      </c>
      <c r="O193" s="79">
        <v>50000</v>
      </c>
      <c r="P193" s="81">
        <f t="shared" si="7"/>
        <v>8100004</v>
      </c>
    </row>
    <row r="194" spans="1:16">
      <c r="A194" s="59">
        <v>193</v>
      </c>
      <c r="B194" s="59">
        <v>1013</v>
      </c>
      <c r="C194" s="59">
        <v>10</v>
      </c>
      <c r="D194" s="59">
        <v>193</v>
      </c>
      <c r="E194" s="59" t="s">
        <v>16</v>
      </c>
      <c r="F194" s="76">
        <f t="shared" si="8"/>
        <v>32.67</v>
      </c>
      <c r="G194" s="76">
        <v>18.21</v>
      </c>
      <c r="H194" s="77">
        <f t="shared" si="6"/>
        <v>50.88</v>
      </c>
      <c r="I194" s="59" t="s">
        <v>17</v>
      </c>
      <c r="J194" s="59" t="s">
        <v>18</v>
      </c>
      <c r="K194" s="59" t="s">
        <v>153</v>
      </c>
      <c r="L194" s="78">
        <f>VLOOKUP(D194,Worksheet!$A$2:$I$245,4,FALSE)</f>
        <v>50.88</v>
      </c>
      <c r="M194" s="79">
        <v>277123</v>
      </c>
      <c r="N194" s="79">
        <v>50000</v>
      </c>
      <c r="O194" s="79">
        <v>50000</v>
      </c>
      <c r="P194" s="81">
        <f t="shared" si="7"/>
        <v>19188018.240000002</v>
      </c>
    </row>
    <row r="195" spans="1:16">
      <c r="A195" s="59">
        <v>194</v>
      </c>
      <c r="B195" s="59">
        <v>1014</v>
      </c>
      <c r="C195" s="59">
        <v>10</v>
      </c>
      <c r="D195" s="59">
        <v>194</v>
      </c>
      <c r="E195" s="59" t="s">
        <v>13</v>
      </c>
      <c r="F195" s="76">
        <f t="shared" si="8"/>
        <v>16</v>
      </c>
      <c r="G195" s="76">
        <v>3.01</v>
      </c>
      <c r="H195" s="77">
        <f t="shared" ref="H195:H245" si="9">L195</f>
        <v>19.010000000000002</v>
      </c>
      <c r="I195" s="59" t="s">
        <v>17</v>
      </c>
      <c r="J195" s="59" t="s">
        <v>18</v>
      </c>
      <c r="K195" s="59" t="s">
        <v>153</v>
      </c>
      <c r="L195" s="78">
        <f>VLOOKUP(D195,Worksheet!$A$2:$I$245,4,FALSE)</f>
        <v>19.010000000000002</v>
      </c>
      <c r="M195" s="79">
        <v>320884</v>
      </c>
      <c r="N195" s="79">
        <v>50000</v>
      </c>
      <c r="O195" s="79">
        <v>50000</v>
      </c>
      <c r="P195" s="81">
        <f t="shared" ref="P195:P245" si="10">SUM(M195:O195)*L195</f>
        <v>8001004.8400000008</v>
      </c>
    </row>
    <row r="196" spans="1:16">
      <c r="A196" s="59">
        <v>195</v>
      </c>
      <c r="B196" s="59">
        <v>1015</v>
      </c>
      <c r="C196" s="59">
        <v>10</v>
      </c>
      <c r="D196" s="59">
        <v>195</v>
      </c>
      <c r="E196" s="59" t="s">
        <v>13</v>
      </c>
      <c r="F196" s="76">
        <f t="shared" si="8"/>
        <v>16</v>
      </c>
      <c r="G196" s="76">
        <v>2.95</v>
      </c>
      <c r="H196" s="77">
        <f t="shared" si="9"/>
        <v>18.95</v>
      </c>
      <c r="I196" s="59" t="s">
        <v>17</v>
      </c>
      <c r="J196" s="59" t="s">
        <v>18</v>
      </c>
      <c r="K196" s="59" t="s">
        <v>153</v>
      </c>
      <c r="L196" s="78">
        <f>VLOOKUP(D196,Worksheet!$A$2:$I$245,4,FALSE)</f>
        <v>18.95</v>
      </c>
      <c r="M196" s="79">
        <v>321900</v>
      </c>
      <c r="N196" s="79">
        <v>50000</v>
      </c>
      <c r="O196" s="79">
        <v>50000</v>
      </c>
      <c r="P196" s="81">
        <f t="shared" si="10"/>
        <v>7995005</v>
      </c>
    </row>
    <row r="197" spans="1:16">
      <c r="A197" s="59">
        <v>196</v>
      </c>
      <c r="B197" s="59">
        <v>1016</v>
      </c>
      <c r="C197" s="59">
        <v>10</v>
      </c>
      <c r="D197" s="59">
        <v>196</v>
      </c>
      <c r="E197" s="59" t="s">
        <v>13</v>
      </c>
      <c r="F197" s="76">
        <f t="shared" ref="F197:F245" si="11">H197-G197</f>
        <v>16</v>
      </c>
      <c r="G197" s="76">
        <v>3.03</v>
      </c>
      <c r="H197" s="77">
        <f t="shared" si="9"/>
        <v>19.03</v>
      </c>
      <c r="I197" s="59" t="s">
        <v>17</v>
      </c>
      <c r="J197" s="59" t="s">
        <v>18</v>
      </c>
      <c r="K197" s="59" t="s">
        <v>153</v>
      </c>
      <c r="L197" s="78">
        <f>VLOOKUP(D197,Worksheet!$A$2:$I$245,4,FALSE)</f>
        <v>19.03</v>
      </c>
      <c r="M197" s="79">
        <v>320547</v>
      </c>
      <c r="N197" s="79">
        <v>50000</v>
      </c>
      <c r="O197" s="79">
        <v>50000</v>
      </c>
      <c r="P197" s="81">
        <f t="shared" si="10"/>
        <v>8003009.4100000001</v>
      </c>
    </row>
    <row r="198" spans="1:16">
      <c r="A198" s="59">
        <v>197</v>
      </c>
      <c r="B198" s="59">
        <v>1017</v>
      </c>
      <c r="C198" s="59">
        <v>10</v>
      </c>
      <c r="D198" s="59">
        <v>197</v>
      </c>
      <c r="E198" s="59" t="s">
        <v>14</v>
      </c>
      <c r="F198" s="76">
        <f t="shared" si="11"/>
        <v>41.019999999999996</v>
      </c>
      <c r="G198" s="76">
        <v>8.8000000000000007</v>
      </c>
      <c r="H198" s="77">
        <f t="shared" si="9"/>
        <v>49.82</v>
      </c>
      <c r="I198" s="59" t="s">
        <v>17</v>
      </c>
      <c r="J198" s="59" t="s">
        <v>18</v>
      </c>
      <c r="K198" s="59" t="s">
        <v>153</v>
      </c>
      <c r="L198" s="78">
        <f>VLOOKUP(D198,Worksheet!$A$2:$I$245,4,FALSE)</f>
        <v>49.82</v>
      </c>
      <c r="M198" s="79">
        <v>276997</v>
      </c>
      <c r="N198" s="79">
        <v>50000</v>
      </c>
      <c r="O198" s="79">
        <v>50000</v>
      </c>
      <c r="P198" s="81">
        <f t="shared" si="10"/>
        <v>18781990.539999999</v>
      </c>
    </row>
    <row r="199" spans="1:16">
      <c r="A199" s="59">
        <v>198</v>
      </c>
      <c r="B199" s="59">
        <v>1101</v>
      </c>
      <c r="C199" s="59">
        <v>11</v>
      </c>
      <c r="D199" s="59">
        <v>198</v>
      </c>
      <c r="E199" s="59" t="s">
        <v>20</v>
      </c>
      <c r="F199" s="76">
        <f t="shared" si="11"/>
        <v>40.56</v>
      </c>
      <c r="G199" s="76">
        <v>28.41</v>
      </c>
      <c r="H199" s="77">
        <f t="shared" si="9"/>
        <v>68.97</v>
      </c>
      <c r="I199" s="59" t="s">
        <v>17</v>
      </c>
      <c r="J199" s="59" t="s">
        <v>18</v>
      </c>
      <c r="K199" s="59" t="s">
        <v>153</v>
      </c>
      <c r="L199" s="78">
        <f>VLOOKUP(D199,Worksheet!$A$2:$I$245,4,FALSE)</f>
        <v>68.97</v>
      </c>
      <c r="M199" s="79">
        <v>279832</v>
      </c>
      <c r="N199" s="79">
        <v>50000</v>
      </c>
      <c r="O199" s="79">
        <v>50000</v>
      </c>
      <c r="P199" s="81">
        <f t="shared" si="10"/>
        <v>26197013.039999999</v>
      </c>
    </row>
    <row r="200" spans="1:16">
      <c r="A200" s="59">
        <v>199</v>
      </c>
      <c r="B200" s="59">
        <v>1102</v>
      </c>
      <c r="C200" s="59">
        <v>11</v>
      </c>
      <c r="D200" s="59">
        <v>199</v>
      </c>
      <c r="E200" s="59" t="s">
        <v>13</v>
      </c>
      <c r="F200" s="76">
        <f t="shared" si="11"/>
        <v>16</v>
      </c>
      <c r="G200" s="76">
        <v>2.95</v>
      </c>
      <c r="H200" s="77">
        <f t="shared" si="9"/>
        <v>18.95</v>
      </c>
      <c r="I200" s="59" t="s">
        <v>17</v>
      </c>
      <c r="J200" s="59" t="s">
        <v>18</v>
      </c>
      <c r="K200" s="59" t="s">
        <v>153</v>
      </c>
      <c r="L200" s="78">
        <f>VLOOKUP(D200,Worksheet!$A$2:$I$245,4,FALSE)</f>
        <v>18.95</v>
      </c>
      <c r="M200" s="79">
        <v>321900</v>
      </c>
      <c r="N200" s="79">
        <v>50000</v>
      </c>
      <c r="O200" s="79">
        <v>50000</v>
      </c>
      <c r="P200" s="81">
        <f t="shared" si="10"/>
        <v>7995005</v>
      </c>
    </row>
    <row r="201" spans="1:16">
      <c r="A201" s="59">
        <v>200</v>
      </c>
      <c r="B201" s="59">
        <v>1103</v>
      </c>
      <c r="C201" s="59">
        <v>11</v>
      </c>
      <c r="D201" s="59">
        <v>200</v>
      </c>
      <c r="E201" s="59" t="s">
        <v>13</v>
      </c>
      <c r="F201" s="76">
        <f t="shared" si="11"/>
        <v>16</v>
      </c>
      <c r="G201" s="76">
        <v>3.02</v>
      </c>
      <c r="H201" s="77">
        <f t="shared" si="9"/>
        <v>19.02</v>
      </c>
      <c r="I201" s="59" t="s">
        <v>17</v>
      </c>
      <c r="J201" s="59" t="s">
        <v>18</v>
      </c>
      <c r="K201" s="59" t="s">
        <v>153</v>
      </c>
      <c r="L201" s="78">
        <f>VLOOKUP(D201,Worksheet!$A$2:$I$245,4,FALSE)</f>
        <v>19.02</v>
      </c>
      <c r="M201" s="79">
        <v>320715</v>
      </c>
      <c r="N201" s="79">
        <v>50000</v>
      </c>
      <c r="O201" s="79">
        <v>50000</v>
      </c>
      <c r="P201" s="81">
        <f t="shared" si="10"/>
        <v>8001999.2999999998</v>
      </c>
    </row>
    <row r="202" spans="1:16">
      <c r="A202" s="59">
        <v>201</v>
      </c>
      <c r="B202" s="59">
        <v>1104</v>
      </c>
      <c r="C202" s="59">
        <v>11</v>
      </c>
      <c r="D202" s="59">
        <v>201</v>
      </c>
      <c r="E202" s="59" t="s">
        <v>13</v>
      </c>
      <c r="F202" s="76">
        <f t="shared" si="11"/>
        <v>16</v>
      </c>
      <c r="G202" s="76">
        <v>3.02</v>
      </c>
      <c r="H202" s="77">
        <f t="shared" si="9"/>
        <v>19.02</v>
      </c>
      <c r="I202" s="59" t="s">
        <v>17</v>
      </c>
      <c r="J202" s="59" t="s">
        <v>18</v>
      </c>
      <c r="K202" s="59" t="s">
        <v>153</v>
      </c>
      <c r="L202" s="78">
        <f>VLOOKUP(D202,Worksheet!$A$2:$I$245,4,FALSE)</f>
        <v>19.02</v>
      </c>
      <c r="M202" s="79">
        <v>323344</v>
      </c>
      <c r="N202" s="79">
        <v>50000</v>
      </c>
      <c r="O202" s="79">
        <v>50000</v>
      </c>
      <c r="P202" s="81">
        <f t="shared" si="10"/>
        <v>8052002.8799999999</v>
      </c>
    </row>
    <row r="203" spans="1:16">
      <c r="A203" s="59">
        <v>202</v>
      </c>
      <c r="B203" s="59">
        <v>1105</v>
      </c>
      <c r="C203" s="59">
        <v>11</v>
      </c>
      <c r="D203" s="59">
        <v>202</v>
      </c>
      <c r="E203" s="59" t="s">
        <v>15</v>
      </c>
      <c r="F203" s="76">
        <f t="shared" si="11"/>
        <v>21.159999999999997</v>
      </c>
      <c r="G203" s="76">
        <v>8.6300000000000008</v>
      </c>
      <c r="H203" s="77">
        <f t="shared" si="9"/>
        <v>29.79</v>
      </c>
      <c r="I203" s="59" t="s">
        <v>17</v>
      </c>
      <c r="J203" s="59" t="s">
        <v>18</v>
      </c>
      <c r="K203" s="59" t="s">
        <v>153</v>
      </c>
      <c r="L203" s="78">
        <f>VLOOKUP(D203,Worksheet!$A$2:$I$245,4,FALSE)</f>
        <v>29.79</v>
      </c>
      <c r="M203" s="79">
        <v>275260</v>
      </c>
      <c r="N203" s="79">
        <v>50000</v>
      </c>
      <c r="O203" s="79">
        <v>50000</v>
      </c>
      <c r="P203" s="81">
        <f t="shared" si="10"/>
        <v>11178995.4</v>
      </c>
    </row>
    <row r="204" spans="1:16">
      <c r="A204" s="59">
        <v>203</v>
      </c>
      <c r="B204" s="59">
        <v>1106</v>
      </c>
      <c r="C204" s="59">
        <v>11</v>
      </c>
      <c r="D204" s="59">
        <v>203</v>
      </c>
      <c r="E204" s="59" t="s">
        <v>10</v>
      </c>
      <c r="F204" s="76">
        <f t="shared" si="11"/>
        <v>23.97</v>
      </c>
      <c r="G204" s="76">
        <v>6.32</v>
      </c>
      <c r="H204" s="77">
        <f t="shared" si="9"/>
        <v>30.29</v>
      </c>
      <c r="I204" s="59" t="s">
        <v>17</v>
      </c>
      <c r="J204" s="59" t="s">
        <v>18</v>
      </c>
      <c r="K204" s="59" t="s">
        <v>153</v>
      </c>
      <c r="L204" s="78">
        <f>VLOOKUP(D204,Worksheet!$A$2:$I$245,4,FALSE)</f>
        <v>30.29</v>
      </c>
      <c r="M204" s="79">
        <v>270716</v>
      </c>
      <c r="N204" s="79">
        <v>50000</v>
      </c>
      <c r="O204" s="79">
        <v>50000</v>
      </c>
      <c r="P204" s="81">
        <f t="shared" si="10"/>
        <v>11228987.640000001</v>
      </c>
    </row>
    <row r="205" spans="1:16">
      <c r="A205" s="59">
        <v>204</v>
      </c>
      <c r="B205" s="59">
        <v>1107</v>
      </c>
      <c r="C205" s="59">
        <v>11</v>
      </c>
      <c r="D205" s="59">
        <v>204</v>
      </c>
      <c r="E205" s="59" t="s">
        <v>19</v>
      </c>
      <c r="F205" s="76">
        <f t="shared" si="11"/>
        <v>40.160000000000004</v>
      </c>
      <c r="G205" s="76">
        <v>30.15</v>
      </c>
      <c r="H205" s="77">
        <f t="shared" si="9"/>
        <v>70.31</v>
      </c>
      <c r="I205" s="59" t="s">
        <v>17</v>
      </c>
      <c r="J205" s="59" t="s">
        <v>18</v>
      </c>
      <c r="K205" s="59" t="s">
        <v>153</v>
      </c>
      <c r="L205" s="78">
        <f>VLOOKUP(D205,Worksheet!$A$2:$I$245,4,FALSE)</f>
        <v>70.31</v>
      </c>
      <c r="M205" s="79">
        <v>263120</v>
      </c>
      <c r="N205" s="79">
        <v>50000</v>
      </c>
      <c r="O205" s="79">
        <v>50000</v>
      </c>
      <c r="P205" s="81">
        <f t="shared" si="10"/>
        <v>25530967.199999999</v>
      </c>
    </row>
    <row r="206" spans="1:16">
      <c r="A206" s="59">
        <v>205</v>
      </c>
      <c r="B206" s="59">
        <v>1108</v>
      </c>
      <c r="C206" s="59">
        <v>11</v>
      </c>
      <c r="D206" s="59">
        <v>205</v>
      </c>
      <c r="E206" s="59" t="s">
        <v>19</v>
      </c>
      <c r="F206" s="76">
        <f t="shared" si="11"/>
        <v>48.980000000000004</v>
      </c>
      <c r="G206" s="76">
        <v>35.909999999999997</v>
      </c>
      <c r="H206" s="77">
        <f t="shared" si="9"/>
        <v>84.89</v>
      </c>
      <c r="I206" s="59" t="s">
        <v>17</v>
      </c>
      <c r="J206" s="59" t="s">
        <v>18</v>
      </c>
      <c r="K206" s="59" t="s">
        <v>153</v>
      </c>
      <c r="L206" s="78">
        <f>VLOOKUP(D206,Worksheet!$A$2:$I$245,4,FALSE)</f>
        <v>84.89</v>
      </c>
      <c r="M206" s="79">
        <v>259159</v>
      </c>
      <c r="N206" s="79">
        <v>50000</v>
      </c>
      <c r="O206" s="79">
        <v>50000</v>
      </c>
      <c r="P206" s="81">
        <f t="shared" si="10"/>
        <v>30489007.510000002</v>
      </c>
    </row>
    <row r="207" spans="1:16">
      <c r="A207" s="59">
        <v>206</v>
      </c>
      <c r="B207" s="59">
        <v>1109</v>
      </c>
      <c r="C207" s="59">
        <v>11</v>
      </c>
      <c r="D207" s="59">
        <v>206</v>
      </c>
      <c r="E207" s="59" t="s">
        <v>13</v>
      </c>
      <c r="F207" s="76">
        <f t="shared" si="11"/>
        <v>15.97</v>
      </c>
      <c r="G207" s="76">
        <v>3.03</v>
      </c>
      <c r="H207" s="77">
        <f t="shared" si="9"/>
        <v>19</v>
      </c>
      <c r="I207" s="59" t="s">
        <v>17</v>
      </c>
      <c r="J207" s="59" t="s">
        <v>18</v>
      </c>
      <c r="K207" s="59" t="s">
        <v>153</v>
      </c>
      <c r="L207" s="78">
        <f>VLOOKUP(D207,Worksheet!$A$2:$I$245,4,FALSE)</f>
        <v>19</v>
      </c>
      <c r="M207" s="79">
        <v>331579</v>
      </c>
      <c r="N207" s="79">
        <v>50000</v>
      </c>
      <c r="O207" s="79">
        <v>50000</v>
      </c>
      <c r="P207" s="81">
        <f t="shared" si="10"/>
        <v>8200001</v>
      </c>
    </row>
    <row r="208" spans="1:16">
      <c r="A208" s="59">
        <v>207</v>
      </c>
      <c r="B208" s="59">
        <v>1110</v>
      </c>
      <c r="C208" s="59">
        <v>11</v>
      </c>
      <c r="D208" s="59">
        <v>207</v>
      </c>
      <c r="E208" s="59" t="s">
        <v>16</v>
      </c>
      <c r="F208" s="76">
        <f t="shared" si="11"/>
        <v>32.33</v>
      </c>
      <c r="G208" s="76">
        <v>18.22</v>
      </c>
      <c r="H208" s="77">
        <f t="shared" si="9"/>
        <v>50.55</v>
      </c>
      <c r="I208" s="59" t="s">
        <v>17</v>
      </c>
      <c r="J208" s="59" t="s">
        <v>18</v>
      </c>
      <c r="K208" s="59" t="s">
        <v>153</v>
      </c>
      <c r="L208" s="78">
        <f>VLOOKUP(D208,Worksheet!$A$2:$I$245,4,FALSE)</f>
        <v>50.55</v>
      </c>
      <c r="M208" s="79">
        <v>284866</v>
      </c>
      <c r="N208" s="79">
        <v>50000</v>
      </c>
      <c r="O208" s="79">
        <v>50000</v>
      </c>
      <c r="P208" s="81">
        <f t="shared" si="10"/>
        <v>19454976.300000001</v>
      </c>
    </row>
    <row r="209" spans="1:16">
      <c r="A209" s="59">
        <v>208</v>
      </c>
      <c r="B209" s="59">
        <v>1111</v>
      </c>
      <c r="C209" s="59">
        <v>11</v>
      </c>
      <c r="D209" s="59">
        <v>208</v>
      </c>
      <c r="E209" s="59" t="s">
        <v>13</v>
      </c>
      <c r="F209" s="76">
        <f t="shared" si="11"/>
        <v>16</v>
      </c>
      <c r="G209" s="76">
        <v>3.02</v>
      </c>
      <c r="H209" s="77">
        <f t="shared" si="9"/>
        <v>19.02</v>
      </c>
      <c r="I209" s="59" t="s">
        <v>17</v>
      </c>
      <c r="J209" s="59" t="s">
        <v>18</v>
      </c>
      <c r="K209" s="59" t="s">
        <v>153</v>
      </c>
      <c r="L209" s="78">
        <f>VLOOKUP(D209,Worksheet!$A$2:$I$245,4,FALSE)</f>
        <v>19.02</v>
      </c>
      <c r="M209" s="79">
        <v>325973</v>
      </c>
      <c r="N209" s="79">
        <v>50000</v>
      </c>
      <c r="O209" s="79">
        <v>50000</v>
      </c>
      <c r="P209" s="81">
        <f t="shared" si="10"/>
        <v>8102006.46</v>
      </c>
    </row>
    <row r="210" spans="1:16">
      <c r="A210" s="59">
        <v>209</v>
      </c>
      <c r="B210" s="59">
        <v>1112</v>
      </c>
      <c r="C210" s="59">
        <v>11</v>
      </c>
      <c r="D210" s="59">
        <v>209</v>
      </c>
      <c r="E210" s="59" t="s">
        <v>13</v>
      </c>
      <c r="F210" s="76">
        <f t="shared" si="11"/>
        <v>17</v>
      </c>
      <c r="G210" s="76">
        <v>1.95</v>
      </c>
      <c r="H210" s="77">
        <f t="shared" si="9"/>
        <v>18.95</v>
      </c>
      <c r="I210" s="59" t="s">
        <v>17</v>
      </c>
      <c r="J210" s="59" t="s">
        <v>18</v>
      </c>
      <c r="K210" s="59" t="s">
        <v>153</v>
      </c>
      <c r="L210" s="78">
        <f>VLOOKUP(D210,Worksheet!$A$2:$I$245,4,FALSE)</f>
        <v>18.95</v>
      </c>
      <c r="M210" s="79">
        <v>327177</v>
      </c>
      <c r="N210" s="79">
        <v>50000</v>
      </c>
      <c r="O210" s="79">
        <v>50000</v>
      </c>
      <c r="P210" s="81">
        <f t="shared" si="10"/>
        <v>8095004.1499999994</v>
      </c>
    </row>
    <row r="211" spans="1:16">
      <c r="A211" s="59">
        <v>210</v>
      </c>
      <c r="B211" s="59">
        <v>1113</v>
      </c>
      <c r="C211" s="59">
        <v>11</v>
      </c>
      <c r="D211" s="59">
        <v>210</v>
      </c>
      <c r="E211" s="59" t="s">
        <v>20</v>
      </c>
      <c r="F211" s="76">
        <f t="shared" si="11"/>
        <v>40.730000000000004</v>
      </c>
      <c r="G211" s="76">
        <v>28.2</v>
      </c>
      <c r="H211" s="77">
        <f t="shared" si="9"/>
        <v>68.930000000000007</v>
      </c>
      <c r="I211" s="59" t="s">
        <v>17</v>
      </c>
      <c r="J211" s="59" t="s">
        <v>18</v>
      </c>
      <c r="K211" s="59" t="s">
        <v>153</v>
      </c>
      <c r="L211" s="78">
        <f>VLOOKUP(D211,Worksheet!$A$2:$I$245,4,FALSE)</f>
        <v>68.930000000000007</v>
      </c>
      <c r="M211" s="79">
        <v>256782</v>
      </c>
      <c r="N211" s="79">
        <v>50000</v>
      </c>
      <c r="O211" s="79">
        <v>50000</v>
      </c>
      <c r="P211" s="81">
        <f t="shared" si="10"/>
        <v>24592983.260000002</v>
      </c>
    </row>
    <row r="212" spans="1:16">
      <c r="A212" s="59">
        <v>211</v>
      </c>
      <c r="B212" s="59">
        <v>1201</v>
      </c>
      <c r="C212" s="59">
        <v>12</v>
      </c>
      <c r="D212" s="59">
        <v>211</v>
      </c>
      <c r="E212" s="59" t="s">
        <v>14</v>
      </c>
      <c r="F212" s="76">
        <f t="shared" si="11"/>
        <v>40.540000000000006</v>
      </c>
      <c r="G212" s="76">
        <v>8.9499999999999993</v>
      </c>
      <c r="H212" s="77">
        <f t="shared" si="9"/>
        <v>49.49</v>
      </c>
      <c r="I212" s="59" t="s">
        <v>96</v>
      </c>
      <c r="J212" s="59" t="s">
        <v>12</v>
      </c>
      <c r="K212" s="59" t="s">
        <v>153</v>
      </c>
      <c r="L212" s="78">
        <f>VLOOKUP(D212,Worksheet!$A$2:$I$245,4,FALSE)</f>
        <v>49.49</v>
      </c>
      <c r="M212" s="79">
        <v>290968</v>
      </c>
      <c r="N212" s="79">
        <v>50000</v>
      </c>
      <c r="O212" s="79"/>
      <c r="P212" s="81">
        <f t="shared" si="10"/>
        <v>16874506.32</v>
      </c>
    </row>
    <row r="213" spans="1:16">
      <c r="A213" s="59">
        <v>212</v>
      </c>
      <c r="B213" s="59">
        <v>1202</v>
      </c>
      <c r="C213" s="59">
        <v>12</v>
      </c>
      <c r="D213" s="59">
        <v>212</v>
      </c>
      <c r="E213" s="59" t="s">
        <v>13</v>
      </c>
      <c r="F213" s="76">
        <f t="shared" si="11"/>
        <v>16</v>
      </c>
      <c r="G213" s="76">
        <v>2.95</v>
      </c>
      <c r="H213" s="77">
        <f t="shared" si="9"/>
        <v>18.95</v>
      </c>
      <c r="I213" s="59" t="s">
        <v>96</v>
      </c>
      <c r="J213" s="59" t="s">
        <v>12</v>
      </c>
      <c r="K213" s="59" t="s">
        <v>153</v>
      </c>
      <c r="L213" s="78">
        <f>VLOOKUP(D213,Worksheet!$A$2:$I$245,4,FALSE)</f>
        <v>18.95</v>
      </c>
      <c r="M213" s="79">
        <v>327177</v>
      </c>
      <c r="N213" s="79">
        <v>50000</v>
      </c>
      <c r="O213" s="79"/>
      <c r="P213" s="81">
        <f t="shared" si="10"/>
        <v>7147504.1499999994</v>
      </c>
    </row>
    <row r="214" spans="1:16">
      <c r="A214" s="59">
        <v>213</v>
      </c>
      <c r="B214" s="59">
        <v>1203</v>
      </c>
      <c r="C214" s="59">
        <v>12</v>
      </c>
      <c r="D214" s="59">
        <v>213</v>
      </c>
      <c r="E214" s="59" t="s">
        <v>13</v>
      </c>
      <c r="F214" s="76">
        <f t="shared" si="11"/>
        <v>16</v>
      </c>
      <c r="G214" s="76">
        <v>3.02</v>
      </c>
      <c r="H214" s="77">
        <f t="shared" si="9"/>
        <v>19.02</v>
      </c>
      <c r="I214" s="59" t="s">
        <v>96</v>
      </c>
      <c r="J214" s="59" t="s">
        <v>12</v>
      </c>
      <c r="K214" s="59" t="s">
        <v>153</v>
      </c>
      <c r="L214" s="78">
        <f>VLOOKUP(D214,Worksheet!$A$2:$I$245,4,FALSE)</f>
        <v>19.02</v>
      </c>
      <c r="M214" s="79">
        <v>325973</v>
      </c>
      <c r="N214" s="79">
        <v>50000</v>
      </c>
      <c r="O214" s="79"/>
      <c r="P214" s="81">
        <f t="shared" si="10"/>
        <v>7151006.46</v>
      </c>
    </row>
    <row r="215" spans="1:16">
      <c r="A215" s="59">
        <v>214</v>
      </c>
      <c r="B215" s="59">
        <v>1204</v>
      </c>
      <c r="C215" s="59">
        <v>12</v>
      </c>
      <c r="D215" s="59">
        <v>214</v>
      </c>
      <c r="E215" s="59" t="s">
        <v>13</v>
      </c>
      <c r="F215" s="76">
        <f t="shared" si="11"/>
        <v>16</v>
      </c>
      <c r="G215" s="76">
        <v>3.02</v>
      </c>
      <c r="H215" s="77">
        <f t="shared" si="9"/>
        <v>19.02</v>
      </c>
      <c r="I215" s="59" t="s">
        <v>96</v>
      </c>
      <c r="J215" s="59" t="s">
        <v>12</v>
      </c>
      <c r="K215" s="59" t="s">
        <v>153</v>
      </c>
      <c r="L215" s="78">
        <f>VLOOKUP(D215,Worksheet!$A$2:$I$245,4,FALSE)</f>
        <v>19.02</v>
      </c>
      <c r="M215" s="79">
        <v>328601</v>
      </c>
      <c r="N215" s="79">
        <v>50000</v>
      </c>
      <c r="O215" s="79"/>
      <c r="P215" s="81">
        <f t="shared" si="10"/>
        <v>7200991.0199999996</v>
      </c>
    </row>
    <row r="216" spans="1:16">
      <c r="A216" s="59">
        <v>215</v>
      </c>
      <c r="B216" s="59">
        <v>1205</v>
      </c>
      <c r="C216" s="59">
        <v>12</v>
      </c>
      <c r="D216" s="59">
        <v>215</v>
      </c>
      <c r="E216" s="59" t="s">
        <v>15</v>
      </c>
      <c r="F216" s="76">
        <f t="shared" si="11"/>
        <v>21.159999999999997</v>
      </c>
      <c r="G216" s="76">
        <v>8.58</v>
      </c>
      <c r="H216" s="77">
        <f t="shared" si="9"/>
        <v>29.74</v>
      </c>
      <c r="I216" s="59" t="s">
        <v>96</v>
      </c>
      <c r="J216" s="59" t="s">
        <v>12</v>
      </c>
      <c r="K216" s="59" t="s">
        <v>153</v>
      </c>
      <c r="L216" s="78">
        <f>VLOOKUP(D216,Worksheet!$A$2:$I$245,4,FALSE)</f>
        <v>29.74</v>
      </c>
      <c r="M216" s="79">
        <v>279085</v>
      </c>
      <c r="N216" s="79">
        <v>50000</v>
      </c>
      <c r="O216" s="79"/>
      <c r="P216" s="81">
        <f t="shared" si="10"/>
        <v>9786987.9000000004</v>
      </c>
    </row>
    <row r="217" spans="1:16">
      <c r="A217" s="59">
        <v>216</v>
      </c>
      <c r="B217" s="59">
        <v>1206</v>
      </c>
      <c r="C217" s="59">
        <v>12</v>
      </c>
      <c r="D217" s="59">
        <v>216</v>
      </c>
      <c r="E217" s="59" t="s">
        <v>10</v>
      </c>
      <c r="F217" s="76">
        <f t="shared" si="11"/>
        <v>24.16</v>
      </c>
      <c r="G217" s="76">
        <v>6.45</v>
      </c>
      <c r="H217" s="77">
        <f t="shared" si="9"/>
        <v>30.61</v>
      </c>
      <c r="I217" s="59" t="s">
        <v>96</v>
      </c>
      <c r="J217" s="59" t="s">
        <v>12</v>
      </c>
      <c r="K217" s="59" t="s">
        <v>153</v>
      </c>
      <c r="L217" s="78">
        <f>VLOOKUP(D217,Worksheet!$A$2:$I$245,4,FALSE)</f>
        <v>30.61</v>
      </c>
      <c r="M217" s="79">
        <v>271153</v>
      </c>
      <c r="N217" s="79">
        <v>50000</v>
      </c>
      <c r="O217" s="79"/>
      <c r="P217" s="81">
        <f t="shared" si="10"/>
        <v>9830493.3300000001</v>
      </c>
    </row>
    <row r="218" spans="1:16">
      <c r="A218" s="59">
        <v>217</v>
      </c>
      <c r="B218" s="59">
        <v>1207</v>
      </c>
      <c r="C218" s="59">
        <v>12</v>
      </c>
      <c r="D218" s="59">
        <v>217</v>
      </c>
      <c r="E218" s="59" t="s">
        <v>19</v>
      </c>
      <c r="F218" s="76">
        <f t="shared" si="11"/>
        <v>24.3</v>
      </c>
      <c r="G218" s="76">
        <v>26.91</v>
      </c>
      <c r="H218" s="77">
        <f t="shared" si="9"/>
        <v>51.21</v>
      </c>
      <c r="I218" s="59" t="s">
        <v>96</v>
      </c>
      <c r="J218" s="59" t="s">
        <v>12</v>
      </c>
      <c r="K218" s="59" t="s">
        <v>153</v>
      </c>
      <c r="L218" s="78">
        <f>VLOOKUP(D218,Worksheet!$A$2:$I$245,4,FALSE)</f>
        <v>51.21</v>
      </c>
      <c r="M218" s="79">
        <v>283148</v>
      </c>
      <c r="N218" s="79">
        <v>50000</v>
      </c>
      <c r="O218" s="79"/>
      <c r="P218" s="81">
        <f t="shared" si="10"/>
        <v>17060509.080000002</v>
      </c>
    </row>
    <row r="219" spans="1:16">
      <c r="A219" s="59">
        <v>218</v>
      </c>
      <c r="B219" s="59">
        <v>1208</v>
      </c>
      <c r="C219" s="59">
        <v>12</v>
      </c>
      <c r="D219" s="59">
        <v>218</v>
      </c>
      <c r="E219" s="59" t="s">
        <v>19</v>
      </c>
      <c r="F219" s="76">
        <f t="shared" si="11"/>
        <v>27.560000000000002</v>
      </c>
      <c r="G219" s="76">
        <v>32.65</v>
      </c>
      <c r="H219" s="77">
        <f t="shared" si="9"/>
        <v>60.21</v>
      </c>
      <c r="I219" s="59" t="s">
        <v>96</v>
      </c>
      <c r="J219" s="59" t="s">
        <v>12</v>
      </c>
      <c r="K219" s="59" t="s">
        <v>153</v>
      </c>
      <c r="L219" s="78">
        <f>VLOOKUP(D219,Worksheet!$A$2:$I$245,4,FALSE)</f>
        <v>60.21</v>
      </c>
      <c r="M219" s="79">
        <v>279023</v>
      </c>
      <c r="N219" s="79">
        <v>50000</v>
      </c>
      <c r="O219" s="79"/>
      <c r="P219" s="81">
        <f t="shared" si="10"/>
        <v>19810474.830000002</v>
      </c>
    </row>
    <row r="220" spans="1:16">
      <c r="A220" s="59">
        <v>219</v>
      </c>
      <c r="B220" s="59">
        <v>1209</v>
      </c>
      <c r="C220" s="59">
        <v>12</v>
      </c>
      <c r="D220" s="59">
        <v>219</v>
      </c>
      <c r="E220" s="59" t="s">
        <v>13</v>
      </c>
      <c r="F220" s="76">
        <f t="shared" si="11"/>
        <v>15.82</v>
      </c>
      <c r="G220" s="76">
        <v>3.05</v>
      </c>
      <c r="H220" s="77">
        <f t="shared" si="9"/>
        <v>18.87</v>
      </c>
      <c r="I220" s="59" t="s">
        <v>96</v>
      </c>
      <c r="J220" s="59" t="s">
        <v>12</v>
      </c>
      <c r="K220" s="59" t="s">
        <v>153</v>
      </c>
      <c r="L220" s="78">
        <f>VLOOKUP(D220,Worksheet!$A$2:$I$245,4,FALSE)</f>
        <v>18.87</v>
      </c>
      <c r="M220" s="79">
        <v>339163</v>
      </c>
      <c r="N220" s="79">
        <v>50000</v>
      </c>
      <c r="O220" s="79"/>
      <c r="P220" s="81">
        <f t="shared" si="10"/>
        <v>7343505.8100000005</v>
      </c>
    </row>
    <row r="221" spans="1:16">
      <c r="A221" s="59">
        <v>220</v>
      </c>
      <c r="B221" s="59">
        <v>1210</v>
      </c>
      <c r="C221" s="59">
        <v>12</v>
      </c>
      <c r="D221" s="59">
        <v>220</v>
      </c>
      <c r="E221" s="59" t="s">
        <v>16</v>
      </c>
      <c r="F221" s="76">
        <f t="shared" si="11"/>
        <v>32.58</v>
      </c>
      <c r="G221" s="76">
        <v>17.809999999999999</v>
      </c>
      <c r="H221" s="77">
        <f t="shared" si="9"/>
        <v>50.39</v>
      </c>
      <c r="I221" s="59" t="s">
        <v>96</v>
      </c>
      <c r="J221" s="59" t="s">
        <v>12</v>
      </c>
      <c r="K221" s="59" t="s">
        <v>153</v>
      </c>
      <c r="L221" s="78">
        <f>VLOOKUP(D221,Worksheet!$A$2:$I$245,4,FALSE)</f>
        <v>50.39</v>
      </c>
      <c r="M221" s="79">
        <v>289740</v>
      </c>
      <c r="N221" s="79">
        <v>50000</v>
      </c>
      <c r="O221" s="79"/>
      <c r="P221" s="81">
        <f t="shared" si="10"/>
        <v>17119498.600000001</v>
      </c>
    </row>
    <row r="222" spans="1:16">
      <c r="A222" s="59">
        <v>221</v>
      </c>
      <c r="B222" s="59">
        <v>1211</v>
      </c>
      <c r="C222" s="59">
        <v>12</v>
      </c>
      <c r="D222" s="59">
        <v>221</v>
      </c>
      <c r="E222" s="59" t="s">
        <v>13</v>
      </c>
      <c r="F222" s="76">
        <f t="shared" si="11"/>
        <v>16.12</v>
      </c>
      <c r="G222" s="76">
        <v>3.02</v>
      </c>
      <c r="H222" s="77">
        <f t="shared" si="9"/>
        <v>19.14</v>
      </c>
      <c r="I222" s="59" t="s">
        <v>96</v>
      </c>
      <c r="J222" s="59" t="s">
        <v>12</v>
      </c>
      <c r="K222" s="59" t="s">
        <v>153</v>
      </c>
      <c r="L222" s="78">
        <f>VLOOKUP(D222,Worksheet!$A$2:$I$245,4,FALSE)</f>
        <v>19.14</v>
      </c>
      <c r="M222" s="79">
        <v>329154</v>
      </c>
      <c r="N222" s="79">
        <v>50000</v>
      </c>
      <c r="O222" s="79"/>
      <c r="P222" s="81">
        <f t="shared" si="10"/>
        <v>7257007.5600000005</v>
      </c>
    </row>
    <row r="223" spans="1:16">
      <c r="A223" s="59">
        <v>222</v>
      </c>
      <c r="B223" s="59">
        <v>1212</v>
      </c>
      <c r="C223" s="59">
        <v>12</v>
      </c>
      <c r="D223" s="59">
        <v>222</v>
      </c>
      <c r="E223" s="59" t="s">
        <v>13</v>
      </c>
      <c r="F223" s="76">
        <f t="shared" si="11"/>
        <v>16.099999999999998</v>
      </c>
      <c r="G223" s="76">
        <v>2.96</v>
      </c>
      <c r="H223" s="77">
        <f t="shared" si="9"/>
        <v>19.059999999999999</v>
      </c>
      <c r="I223" s="59" t="s">
        <v>96</v>
      </c>
      <c r="J223" s="59" t="s">
        <v>12</v>
      </c>
      <c r="K223" s="59" t="s">
        <v>153</v>
      </c>
      <c r="L223" s="78">
        <f>VLOOKUP(D223,Worksheet!$A$2:$I$245,4,FALSE)</f>
        <v>19.059999999999999</v>
      </c>
      <c r="M223" s="79">
        <v>330535</v>
      </c>
      <c r="N223" s="79">
        <v>50000</v>
      </c>
      <c r="O223" s="79"/>
      <c r="P223" s="81">
        <f t="shared" si="10"/>
        <v>7252997.0999999996</v>
      </c>
    </row>
    <row r="224" spans="1:16">
      <c r="A224" s="59">
        <v>223</v>
      </c>
      <c r="B224" s="59">
        <v>1213</v>
      </c>
      <c r="C224" s="59">
        <v>12</v>
      </c>
      <c r="D224" s="59">
        <v>223</v>
      </c>
      <c r="E224" s="59" t="s">
        <v>14</v>
      </c>
      <c r="F224" s="76">
        <f t="shared" si="11"/>
        <v>40.839999999999996</v>
      </c>
      <c r="G224" s="76">
        <v>8.92</v>
      </c>
      <c r="H224" s="77">
        <f t="shared" si="9"/>
        <v>49.76</v>
      </c>
      <c r="I224" s="59" t="s">
        <v>96</v>
      </c>
      <c r="J224" s="59" t="s">
        <v>12</v>
      </c>
      <c r="K224" s="59" t="s">
        <v>153</v>
      </c>
      <c r="L224" s="78">
        <f>VLOOKUP(D224,Worksheet!$A$2:$I$245,4,FALSE)</f>
        <v>49.76</v>
      </c>
      <c r="M224" s="79">
        <v>289389</v>
      </c>
      <c r="N224" s="79">
        <v>50000</v>
      </c>
      <c r="O224" s="79"/>
      <c r="P224" s="81">
        <f t="shared" si="10"/>
        <v>16887996.640000001</v>
      </c>
    </row>
    <row r="225" spans="1:16">
      <c r="A225" s="59">
        <v>224</v>
      </c>
      <c r="B225" s="59">
        <v>1301</v>
      </c>
      <c r="C225" s="59">
        <v>13</v>
      </c>
      <c r="D225" s="59">
        <v>224</v>
      </c>
      <c r="E225" s="59" t="s">
        <v>14</v>
      </c>
      <c r="F225" s="76">
        <f t="shared" si="11"/>
        <v>40.51</v>
      </c>
      <c r="G225" s="76">
        <v>8.93</v>
      </c>
      <c r="H225" s="77">
        <f t="shared" si="9"/>
        <v>49.44</v>
      </c>
      <c r="I225" s="59" t="s">
        <v>96</v>
      </c>
      <c r="J225" s="59" t="s">
        <v>12</v>
      </c>
      <c r="K225" s="59" t="s">
        <v>95</v>
      </c>
      <c r="L225" s="78">
        <f>VLOOKUP(D225,Worksheet!$A$2:$I$245,4,FALSE)</f>
        <v>49.44</v>
      </c>
      <c r="M225" s="79">
        <v>321602</v>
      </c>
      <c r="N225" s="79">
        <v>50000</v>
      </c>
      <c r="O225" s="79"/>
      <c r="P225" s="81">
        <f t="shared" si="10"/>
        <v>18372002.879999999</v>
      </c>
    </row>
    <row r="226" spans="1:16">
      <c r="A226" s="59">
        <v>225</v>
      </c>
      <c r="B226" s="59">
        <v>1302</v>
      </c>
      <c r="C226" s="59">
        <v>13</v>
      </c>
      <c r="D226" s="59">
        <v>225</v>
      </c>
      <c r="E226" s="59" t="s">
        <v>13</v>
      </c>
      <c r="F226" s="76">
        <f t="shared" si="11"/>
        <v>16</v>
      </c>
      <c r="G226" s="76">
        <v>2.95</v>
      </c>
      <c r="H226" s="77">
        <f t="shared" si="9"/>
        <v>18.95</v>
      </c>
      <c r="I226" s="59" t="s">
        <v>96</v>
      </c>
      <c r="J226" s="59" t="s">
        <v>12</v>
      </c>
      <c r="K226" s="59" t="s">
        <v>153</v>
      </c>
      <c r="L226" s="78">
        <f>VLOOKUP(D226,Worksheet!$A$2:$I$245,4,FALSE)</f>
        <v>18.95</v>
      </c>
      <c r="M226" s="79">
        <v>411609</v>
      </c>
      <c r="N226" s="79">
        <v>50000</v>
      </c>
      <c r="O226" s="79"/>
      <c r="P226" s="81">
        <f t="shared" si="10"/>
        <v>8747490.5499999989</v>
      </c>
    </row>
    <row r="227" spans="1:16">
      <c r="A227" s="59">
        <v>226</v>
      </c>
      <c r="B227" s="59">
        <v>1303</v>
      </c>
      <c r="C227" s="59">
        <v>13</v>
      </c>
      <c r="D227" s="59">
        <v>226</v>
      </c>
      <c r="E227" s="59" t="s">
        <v>13</v>
      </c>
      <c r="F227" s="76">
        <f t="shared" si="11"/>
        <v>16</v>
      </c>
      <c r="G227" s="76">
        <v>3.02</v>
      </c>
      <c r="H227" s="77">
        <f t="shared" si="9"/>
        <v>19.02</v>
      </c>
      <c r="I227" s="59" t="s">
        <v>96</v>
      </c>
      <c r="J227" s="59" t="s">
        <v>12</v>
      </c>
      <c r="K227" s="59" t="s">
        <v>153</v>
      </c>
      <c r="L227" s="78">
        <f>VLOOKUP(D227,Worksheet!$A$2:$I$245,4,FALSE)</f>
        <v>19.02</v>
      </c>
      <c r="M227" s="79">
        <v>412723</v>
      </c>
      <c r="N227" s="79">
        <v>50000</v>
      </c>
      <c r="O227" s="79"/>
      <c r="P227" s="81">
        <f t="shared" si="10"/>
        <v>8800991.459999999</v>
      </c>
    </row>
    <row r="228" spans="1:16">
      <c r="A228" s="59">
        <v>227</v>
      </c>
      <c r="B228" s="59">
        <v>1304</v>
      </c>
      <c r="C228" s="59">
        <v>13</v>
      </c>
      <c r="D228" s="59">
        <v>227</v>
      </c>
      <c r="E228" s="59" t="s">
        <v>13</v>
      </c>
      <c r="F228" s="76">
        <f t="shared" si="11"/>
        <v>15.969999999999999</v>
      </c>
      <c r="G228" s="76">
        <v>3.02</v>
      </c>
      <c r="H228" s="77">
        <f t="shared" si="9"/>
        <v>18.989999999999998</v>
      </c>
      <c r="I228" s="59" t="s">
        <v>96</v>
      </c>
      <c r="J228" s="59" t="s">
        <v>12</v>
      </c>
      <c r="K228" s="59" t="s">
        <v>153</v>
      </c>
      <c r="L228" s="78">
        <f>VLOOKUP(D228,Worksheet!$A$2:$I$245,4,FALSE)</f>
        <v>18.989999999999998</v>
      </c>
      <c r="M228" s="79">
        <v>416008</v>
      </c>
      <c r="N228" s="79">
        <v>50000</v>
      </c>
      <c r="O228" s="79"/>
      <c r="P228" s="81">
        <f t="shared" si="10"/>
        <v>8849491.9199999999</v>
      </c>
    </row>
    <row r="229" spans="1:16">
      <c r="A229" s="59">
        <v>228</v>
      </c>
      <c r="B229" s="59">
        <v>1305</v>
      </c>
      <c r="C229" s="59">
        <v>13</v>
      </c>
      <c r="D229" s="59">
        <v>228</v>
      </c>
      <c r="E229" s="59" t="s">
        <v>15</v>
      </c>
      <c r="F229" s="76">
        <f t="shared" si="11"/>
        <v>21.14</v>
      </c>
      <c r="G229" s="76">
        <v>8.49</v>
      </c>
      <c r="H229" s="77">
        <f t="shared" si="9"/>
        <v>29.63</v>
      </c>
      <c r="I229" s="59" t="s">
        <v>96</v>
      </c>
      <c r="J229" s="59" t="s">
        <v>12</v>
      </c>
      <c r="K229" s="59" t="s">
        <v>95</v>
      </c>
      <c r="L229" s="78">
        <f>VLOOKUP(D229,Worksheet!$A$2:$I$245,4,FALSE)</f>
        <v>29.63</v>
      </c>
      <c r="M229" s="79">
        <v>408370</v>
      </c>
      <c r="N229" s="79">
        <v>50000</v>
      </c>
      <c r="O229" s="79"/>
      <c r="P229" s="81">
        <f t="shared" si="10"/>
        <v>13581503.1</v>
      </c>
    </row>
    <row r="230" spans="1:16">
      <c r="A230" s="59">
        <v>229</v>
      </c>
      <c r="B230" s="59">
        <v>1306</v>
      </c>
      <c r="C230" s="59">
        <v>13</v>
      </c>
      <c r="D230" s="59">
        <v>229</v>
      </c>
      <c r="E230" s="59" t="s">
        <v>19</v>
      </c>
      <c r="F230" s="76">
        <f t="shared" si="11"/>
        <v>39.49</v>
      </c>
      <c r="G230" s="76">
        <v>24.36</v>
      </c>
      <c r="H230" s="77">
        <f t="shared" si="9"/>
        <v>63.85</v>
      </c>
      <c r="I230" s="59" t="s">
        <v>96</v>
      </c>
      <c r="J230" s="59" t="s">
        <v>12</v>
      </c>
      <c r="K230" s="59" t="s">
        <v>95</v>
      </c>
      <c r="L230" s="78">
        <f>VLOOKUP(D230,Worksheet!$A$2:$I$245,4,FALSE)</f>
        <v>63.85</v>
      </c>
      <c r="M230" s="79">
        <v>350039</v>
      </c>
      <c r="N230" s="79">
        <v>50000</v>
      </c>
      <c r="O230" s="79"/>
      <c r="P230" s="81">
        <f t="shared" si="10"/>
        <v>25542490.150000002</v>
      </c>
    </row>
    <row r="231" spans="1:16">
      <c r="A231" s="59">
        <v>230</v>
      </c>
      <c r="B231" s="59">
        <v>1307</v>
      </c>
      <c r="C231" s="59">
        <v>13</v>
      </c>
      <c r="D231" s="59">
        <v>230</v>
      </c>
      <c r="E231" s="59" t="s">
        <v>19</v>
      </c>
      <c r="F231" s="76">
        <f t="shared" si="11"/>
        <v>36.160000000000004</v>
      </c>
      <c r="G231" s="76">
        <v>29.93</v>
      </c>
      <c r="H231" s="77">
        <f t="shared" si="9"/>
        <v>66.09</v>
      </c>
      <c r="I231" s="59" t="s">
        <v>96</v>
      </c>
      <c r="J231" s="59" t="s">
        <v>12</v>
      </c>
      <c r="K231" s="59" t="s">
        <v>92</v>
      </c>
      <c r="L231" s="78">
        <f>VLOOKUP(D231,Worksheet!$A$2:$I$245,4,FALSE)</f>
        <v>66.09</v>
      </c>
      <c r="M231" s="79">
        <v>275382</v>
      </c>
      <c r="N231" s="79">
        <v>50000</v>
      </c>
      <c r="O231" s="79"/>
      <c r="P231" s="81">
        <f t="shared" si="10"/>
        <v>21504496.380000003</v>
      </c>
    </row>
    <row r="232" spans="1:16">
      <c r="A232" s="59">
        <v>231</v>
      </c>
      <c r="B232" s="59">
        <v>1308</v>
      </c>
      <c r="C232" s="59">
        <v>13</v>
      </c>
      <c r="D232" s="59">
        <v>231</v>
      </c>
      <c r="E232" s="59" t="s">
        <v>16</v>
      </c>
      <c r="F232" s="76">
        <f t="shared" si="11"/>
        <v>32.33</v>
      </c>
      <c r="G232" s="76">
        <v>17.82</v>
      </c>
      <c r="H232" s="77">
        <f t="shared" si="9"/>
        <v>50.15</v>
      </c>
      <c r="I232" s="59" t="s">
        <v>96</v>
      </c>
      <c r="J232" s="59" t="s">
        <v>12</v>
      </c>
      <c r="K232" s="59" t="s">
        <v>95</v>
      </c>
      <c r="L232" s="78">
        <f>VLOOKUP(D232,Worksheet!$A$2:$I$245,4,FALSE)</f>
        <v>50.15</v>
      </c>
      <c r="M232" s="79">
        <v>368893</v>
      </c>
      <c r="N232" s="79">
        <v>50000</v>
      </c>
      <c r="O232" s="79"/>
      <c r="P232" s="81">
        <f t="shared" si="10"/>
        <v>21007483.949999999</v>
      </c>
    </row>
    <row r="233" spans="1:16">
      <c r="A233" s="59">
        <v>232</v>
      </c>
      <c r="B233" s="59">
        <v>1309</v>
      </c>
      <c r="C233" s="59">
        <v>13</v>
      </c>
      <c r="D233" s="59">
        <v>232</v>
      </c>
      <c r="E233" s="59" t="s">
        <v>13</v>
      </c>
      <c r="F233" s="76">
        <f t="shared" si="11"/>
        <v>16</v>
      </c>
      <c r="G233" s="76">
        <v>3.02</v>
      </c>
      <c r="H233" s="77">
        <f t="shared" si="9"/>
        <v>19.02</v>
      </c>
      <c r="I233" s="59" t="s">
        <v>96</v>
      </c>
      <c r="J233" s="59" t="s">
        <v>12</v>
      </c>
      <c r="K233" s="59" t="s">
        <v>153</v>
      </c>
      <c r="L233" s="78">
        <f>VLOOKUP(D233,Worksheet!$A$2:$I$245,4,FALSE)</f>
        <v>19.02</v>
      </c>
      <c r="M233" s="79">
        <v>425868</v>
      </c>
      <c r="N233" s="79">
        <v>50000</v>
      </c>
      <c r="O233" s="79"/>
      <c r="P233" s="81">
        <f t="shared" si="10"/>
        <v>9051009.3599999994</v>
      </c>
    </row>
    <row r="234" spans="1:16">
      <c r="A234" s="59">
        <v>233</v>
      </c>
      <c r="B234" s="59">
        <v>1310</v>
      </c>
      <c r="C234" s="59">
        <v>13</v>
      </c>
      <c r="D234" s="59">
        <v>233</v>
      </c>
      <c r="E234" s="59" t="s">
        <v>13</v>
      </c>
      <c r="F234" s="76">
        <f t="shared" si="11"/>
        <v>16</v>
      </c>
      <c r="G234" s="76">
        <v>2.95</v>
      </c>
      <c r="H234" s="77">
        <f t="shared" si="9"/>
        <v>18.95</v>
      </c>
      <c r="I234" s="59" t="s">
        <v>96</v>
      </c>
      <c r="J234" s="59" t="s">
        <v>12</v>
      </c>
      <c r="K234" s="59" t="s">
        <v>153</v>
      </c>
      <c r="L234" s="78">
        <f>VLOOKUP(D234,Worksheet!$A$2:$I$245,4,FALSE)</f>
        <v>18.95</v>
      </c>
      <c r="M234" s="79">
        <v>424802</v>
      </c>
      <c r="N234" s="79">
        <v>50000</v>
      </c>
      <c r="O234" s="79"/>
      <c r="P234" s="81">
        <f t="shared" si="10"/>
        <v>8997497.9000000004</v>
      </c>
    </row>
    <row r="235" spans="1:16">
      <c r="A235" s="59">
        <v>234</v>
      </c>
      <c r="B235" s="59">
        <v>1311</v>
      </c>
      <c r="C235" s="59">
        <v>13</v>
      </c>
      <c r="D235" s="59">
        <v>234</v>
      </c>
      <c r="E235" s="59" t="s">
        <v>14</v>
      </c>
      <c r="F235" s="76">
        <f t="shared" si="11"/>
        <v>40.68</v>
      </c>
      <c r="G235" s="76">
        <v>8.93</v>
      </c>
      <c r="H235" s="77">
        <f t="shared" si="9"/>
        <v>49.61</v>
      </c>
      <c r="I235" s="59" t="s">
        <v>96</v>
      </c>
      <c r="J235" s="59" t="s">
        <v>12</v>
      </c>
      <c r="K235" s="59" t="s">
        <v>95</v>
      </c>
      <c r="L235" s="78">
        <f>VLOOKUP(D235,Worksheet!$A$2:$I$245,4,FALSE)</f>
        <v>49.61</v>
      </c>
      <c r="M235" s="79">
        <v>326547</v>
      </c>
      <c r="N235" s="79">
        <v>50000</v>
      </c>
      <c r="O235" s="79"/>
      <c r="P235" s="81">
        <f t="shared" si="10"/>
        <v>18680496.669999998</v>
      </c>
    </row>
    <row r="236" spans="1:16">
      <c r="A236" s="59">
        <v>235</v>
      </c>
      <c r="B236" s="59">
        <v>1401</v>
      </c>
      <c r="C236" s="59">
        <v>14</v>
      </c>
      <c r="D236" s="59">
        <v>235</v>
      </c>
      <c r="E236" s="59" t="s">
        <v>14</v>
      </c>
      <c r="F236" s="76">
        <f t="shared" si="11"/>
        <v>40.49</v>
      </c>
      <c r="G236" s="76">
        <v>8.93</v>
      </c>
      <c r="H236" s="77">
        <f t="shared" si="9"/>
        <v>49.42</v>
      </c>
      <c r="I236" s="59" t="s">
        <v>96</v>
      </c>
      <c r="J236" s="59" t="s">
        <v>12</v>
      </c>
      <c r="K236" s="59" t="s">
        <v>153</v>
      </c>
      <c r="L236" s="78">
        <f>VLOOKUP(D236,Worksheet!$A$2:$I$245,4,FALSE)</f>
        <v>49.42</v>
      </c>
      <c r="M236" s="79">
        <v>323756</v>
      </c>
      <c r="N236" s="79">
        <v>50000</v>
      </c>
      <c r="O236" s="79"/>
      <c r="P236" s="81">
        <f t="shared" si="10"/>
        <v>18471021.52</v>
      </c>
    </row>
    <row r="237" spans="1:16">
      <c r="A237" s="59">
        <v>236</v>
      </c>
      <c r="B237" s="59">
        <v>1402</v>
      </c>
      <c r="C237" s="59">
        <v>14</v>
      </c>
      <c r="D237" s="59">
        <v>236</v>
      </c>
      <c r="E237" s="59" t="s">
        <v>13</v>
      </c>
      <c r="F237" s="76">
        <f t="shared" si="11"/>
        <v>16</v>
      </c>
      <c r="G237" s="76">
        <v>2.95</v>
      </c>
      <c r="H237" s="77">
        <f t="shared" si="9"/>
        <v>18.95</v>
      </c>
      <c r="I237" s="59" t="s">
        <v>96</v>
      </c>
      <c r="J237" s="59" t="s">
        <v>12</v>
      </c>
      <c r="K237" s="59" t="s">
        <v>153</v>
      </c>
      <c r="L237" s="78">
        <f>VLOOKUP(D237,Worksheet!$A$2:$I$245,4,FALSE)</f>
        <v>18.95</v>
      </c>
      <c r="M237" s="79">
        <v>416887</v>
      </c>
      <c r="N237" s="79">
        <v>50000</v>
      </c>
      <c r="O237" s="79"/>
      <c r="P237" s="81">
        <f t="shared" si="10"/>
        <v>8847508.6500000004</v>
      </c>
    </row>
    <row r="238" spans="1:16">
      <c r="A238" s="59">
        <v>237</v>
      </c>
      <c r="B238" s="59">
        <v>1403</v>
      </c>
      <c r="C238" s="59">
        <v>14</v>
      </c>
      <c r="D238" s="59">
        <v>237</v>
      </c>
      <c r="E238" s="59" t="s">
        <v>13</v>
      </c>
      <c r="F238" s="76">
        <f t="shared" si="11"/>
        <v>16</v>
      </c>
      <c r="G238" s="76">
        <v>3.02</v>
      </c>
      <c r="H238" s="77">
        <f t="shared" si="9"/>
        <v>19.02</v>
      </c>
      <c r="I238" s="59" t="s">
        <v>96</v>
      </c>
      <c r="J238" s="59" t="s">
        <v>12</v>
      </c>
      <c r="K238" s="59" t="s">
        <v>153</v>
      </c>
      <c r="L238" s="78">
        <f>VLOOKUP(D238,Worksheet!$A$2:$I$245,4,FALSE)</f>
        <v>19.02</v>
      </c>
      <c r="M238" s="79">
        <v>417981</v>
      </c>
      <c r="N238" s="79">
        <v>50000</v>
      </c>
      <c r="O238" s="79"/>
      <c r="P238" s="81">
        <f t="shared" si="10"/>
        <v>8900998.6199999992</v>
      </c>
    </row>
    <row r="239" spans="1:16">
      <c r="A239" s="59">
        <v>238</v>
      </c>
      <c r="B239" s="59">
        <v>1404</v>
      </c>
      <c r="C239" s="59">
        <v>14</v>
      </c>
      <c r="D239" s="59">
        <v>238</v>
      </c>
      <c r="E239" s="59" t="s">
        <v>13</v>
      </c>
      <c r="F239" s="76">
        <f t="shared" si="11"/>
        <v>16</v>
      </c>
      <c r="G239" s="76">
        <v>3.02</v>
      </c>
      <c r="H239" s="77">
        <f t="shared" si="9"/>
        <v>19.02</v>
      </c>
      <c r="I239" s="59" t="s">
        <v>96</v>
      </c>
      <c r="J239" s="59" t="s">
        <v>12</v>
      </c>
      <c r="K239" s="59" t="s">
        <v>153</v>
      </c>
      <c r="L239" s="78">
        <f>VLOOKUP(D239,Worksheet!$A$2:$I$245,4,FALSE)</f>
        <v>19.02</v>
      </c>
      <c r="M239" s="79">
        <v>420610</v>
      </c>
      <c r="N239" s="79">
        <v>50000</v>
      </c>
      <c r="O239" s="79"/>
      <c r="P239" s="81">
        <f t="shared" si="10"/>
        <v>8951002.1999999993</v>
      </c>
    </row>
    <row r="240" spans="1:16">
      <c r="A240" s="59">
        <v>239</v>
      </c>
      <c r="B240" s="59">
        <v>1405</v>
      </c>
      <c r="C240" s="59">
        <v>14</v>
      </c>
      <c r="D240" s="59">
        <v>239</v>
      </c>
      <c r="E240" s="59" t="s">
        <v>15</v>
      </c>
      <c r="F240" s="76">
        <f t="shared" si="11"/>
        <v>21.14</v>
      </c>
      <c r="G240" s="76">
        <v>8.44</v>
      </c>
      <c r="H240" s="77">
        <f t="shared" si="9"/>
        <v>29.58</v>
      </c>
      <c r="I240" s="59" t="s">
        <v>96</v>
      </c>
      <c r="J240" s="59" t="s">
        <v>12</v>
      </c>
      <c r="K240" s="59" t="s">
        <v>153</v>
      </c>
      <c r="L240" s="78">
        <f>VLOOKUP(D240,Worksheet!$A$2:$I$245,4,FALSE)</f>
        <v>29.58</v>
      </c>
      <c r="M240" s="79">
        <v>412441</v>
      </c>
      <c r="N240" s="79">
        <v>50000</v>
      </c>
      <c r="O240" s="79"/>
      <c r="P240" s="81">
        <f t="shared" si="10"/>
        <v>13679004.779999999</v>
      </c>
    </row>
    <row r="241" spans="1:16">
      <c r="A241" s="59">
        <v>240</v>
      </c>
      <c r="B241" s="59">
        <v>1406</v>
      </c>
      <c r="C241" s="59">
        <v>14</v>
      </c>
      <c r="D241" s="59">
        <v>240</v>
      </c>
      <c r="E241" s="59" t="s">
        <v>21</v>
      </c>
      <c r="F241" s="76">
        <f t="shared" si="11"/>
        <v>51.469999999999992</v>
      </c>
      <c r="G241" s="76">
        <f>18.57+15.03</f>
        <v>33.6</v>
      </c>
      <c r="H241" s="77">
        <f t="shared" si="9"/>
        <v>85.07</v>
      </c>
      <c r="I241" s="59" t="s">
        <v>96</v>
      </c>
      <c r="J241" s="59" t="s">
        <v>12</v>
      </c>
      <c r="K241" s="59" t="s">
        <v>153</v>
      </c>
      <c r="L241" s="78">
        <f>VLOOKUP(D241,Worksheet!$A$2:$I$245,4,FALSE)</f>
        <v>85.07</v>
      </c>
      <c r="M241" s="79">
        <v>350300</v>
      </c>
      <c r="N241" s="79">
        <v>50000</v>
      </c>
      <c r="O241" s="79"/>
      <c r="P241" s="81">
        <f t="shared" si="10"/>
        <v>34053521</v>
      </c>
    </row>
    <row r="242" spans="1:16">
      <c r="A242" s="59">
        <v>241</v>
      </c>
      <c r="B242" s="59">
        <v>1407</v>
      </c>
      <c r="C242" s="59">
        <v>14</v>
      </c>
      <c r="D242" s="59">
        <v>241</v>
      </c>
      <c r="E242" s="59" t="s">
        <v>16</v>
      </c>
      <c r="F242" s="76">
        <f t="shared" si="11"/>
        <v>32.269999999999996</v>
      </c>
      <c r="G242" s="76">
        <v>17.98</v>
      </c>
      <c r="H242" s="77">
        <f t="shared" si="9"/>
        <v>50.25</v>
      </c>
      <c r="I242" s="59" t="s">
        <v>96</v>
      </c>
      <c r="J242" s="59" t="s">
        <v>12</v>
      </c>
      <c r="K242" s="59" t="s">
        <v>153</v>
      </c>
      <c r="L242" s="78">
        <f>VLOOKUP(D242,Worksheet!$A$2:$I$245,4,FALSE)</f>
        <v>50.25</v>
      </c>
      <c r="M242" s="79">
        <v>370149</v>
      </c>
      <c r="N242" s="79">
        <v>50000</v>
      </c>
      <c r="O242" s="79"/>
      <c r="P242" s="81">
        <f t="shared" si="10"/>
        <v>21112487.25</v>
      </c>
    </row>
    <row r="243" spans="1:16">
      <c r="A243" s="59">
        <v>242</v>
      </c>
      <c r="B243" s="59">
        <v>1408</v>
      </c>
      <c r="C243" s="59">
        <v>14</v>
      </c>
      <c r="D243" s="59">
        <v>242</v>
      </c>
      <c r="E243" s="59" t="s">
        <v>13</v>
      </c>
      <c r="F243" s="76">
        <f t="shared" si="11"/>
        <v>16</v>
      </c>
      <c r="G243" s="76">
        <v>3.02</v>
      </c>
      <c r="H243" s="77">
        <f t="shared" si="9"/>
        <v>19.02</v>
      </c>
      <c r="I243" s="59" t="s">
        <v>96</v>
      </c>
      <c r="J243" s="59" t="s">
        <v>12</v>
      </c>
      <c r="K243" s="59" t="s">
        <v>153</v>
      </c>
      <c r="L243" s="78">
        <f>VLOOKUP(D243,Worksheet!$A$2:$I$245,4,FALSE)</f>
        <v>19.02</v>
      </c>
      <c r="M243" s="79">
        <v>431125</v>
      </c>
      <c r="N243" s="79">
        <v>50000</v>
      </c>
      <c r="O243" s="79"/>
      <c r="P243" s="81">
        <f t="shared" si="10"/>
        <v>9150997.5</v>
      </c>
    </row>
    <row r="244" spans="1:16">
      <c r="A244" s="59">
        <v>243</v>
      </c>
      <c r="B244" s="59">
        <v>1409</v>
      </c>
      <c r="C244" s="59">
        <v>14</v>
      </c>
      <c r="D244" s="59">
        <v>243</v>
      </c>
      <c r="E244" s="59" t="s">
        <v>13</v>
      </c>
      <c r="F244" s="76">
        <f t="shared" si="11"/>
        <v>15.980000000000002</v>
      </c>
      <c r="G244" s="76">
        <v>2.94</v>
      </c>
      <c r="H244" s="77">
        <f t="shared" si="9"/>
        <v>18.920000000000002</v>
      </c>
      <c r="I244" s="59" t="s">
        <v>96</v>
      </c>
      <c r="J244" s="59" t="s">
        <v>12</v>
      </c>
      <c r="K244" s="59" t="s">
        <v>153</v>
      </c>
      <c r="L244" s="78">
        <f>VLOOKUP(D244,Worksheet!$A$2:$I$245,4,FALSE)</f>
        <v>18.920000000000002</v>
      </c>
      <c r="M244" s="79">
        <v>430761</v>
      </c>
      <c r="N244" s="79">
        <v>50000</v>
      </c>
      <c r="O244" s="79"/>
      <c r="P244" s="81">
        <f t="shared" si="10"/>
        <v>9095998.120000001</v>
      </c>
    </row>
    <row r="245" spans="1:16">
      <c r="A245" s="59">
        <v>244</v>
      </c>
      <c r="B245" s="59">
        <v>1410</v>
      </c>
      <c r="C245" s="59">
        <v>14</v>
      </c>
      <c r="D245" s="59">
        <v>244</v>
      </c>
      <c r="E245" s="59" t="s">
        <v>14</v>
      </c>
      <c r="F245" s="76">
        <f t="shared" si="11"/>
        <v>40.659999999999997</v>
      </c>
      <c r="G245" s="76">
        <v>8.91</v>
      </c>
      <c r="H245" s="77">
        <f t="shared" si="9"/>
        <v>49.57</v>
      </c>
      <c r="I245" s="59" t="s">
        <v>96</v>
      </c>
      <c r="J245" s="59" t="s">
        <v>12</v>
      </c>
      <c r="K245" s="59" t="s">
        <v>153</v>
      </c>
      <c r="L245" s="78">
        <f>VLOOKUP(D245,Worksheet!$A$2:$I$245,4,FALSE)</f>
        <v>49.57</v>
      </c>
      <c r="M245" s="79">
        <v>328828</v>
      </c>
      <c r="N245" s="79">
        <v>50000</v>
      </c>
      <c r="O245" s="79"/>
      <c r="P245" s="81">
        <f t="shared" si="10"/>
        <v>18778503.960000001</v>
      </c>
    </row>
  </sheetData>
  <autoFilter ref="A1:N245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N2" sqref="N2:N245"/>
    </sheetView>
  </sheetViews>
  <sheetFormatPr defaultColWidth="8.625" defaultRowHeight="14.25"/>
  <cols>
    <col min="1" max="1" width="25.375" style="1" customWidth="1"/>
    <col min="2" max="2" width="23.375" style="1" bestFit="1" customWidth="1"/>
    <col min="3" max="3" width="16.5" style="1" bestFit="1" customWidth="1"/>
    <col min="4" max="4" width="19.625" style="1" bestFit="1" customWidth="1"/>
    <col min="5" max="5" width="18.625" style="2" customWidth="1"/>
    <col min="6" max="6" width="33" style="2" customWidth="1"/>
    <col min="7" max="16384" width="8.625" style="2"/>
  </cols>
  <sheetData>
    <row r="1" spans="1:6" ht="28.5">
      <c r="A1" s="1" t="s">
        <v>22</v>
      </c>
      <c r="B1" s="1" t="s">
        <v>23</v>
      </c>
      <c r="C1" s="1" t="s">
        <v>24</v>
      </c>
      <c r="D1" s="1" t="s">
        <v>25</v>
      </c>
      <c r="E1" s="1" t="s">
        <v>9</v>
      </c>
      <c r="F1" s="1" t="s">
        <v>26</v>
      </c>
    </row>
    <row r="2" spans="1:6" s="3" customFormat="1">
      <c r="A2" s="3" t="s">
        <v>13</v>
      </c>
      <c r="B2" s="1">
        <f>COUNTIFS(Экспликация!$E:$E,A2,Экспликация!J:J,E2)</f>
        <v>100</v>
      </c>
      <c r="C2" s="4">
        <f>D2/B2</f>
        <v>18.977000000000004</v>
      </c>
      <c r="D2" s="4">
        <f>SUMIFS(Экспликация!$H:$H,Экспликация!$E:$E,A2,Экспликация!J:J,E2)</f>
        <v>1897.7000000000003</v>
      </c>
      <c r="E2" s="1" t="s">
        <v>18</v>
      </c>
      <c r="F2" s="1" t="s">
        <v>17</v>
      </c>
    </row>
    <row r="3" spans="1:6" s="3" customFormat="1">
      <c r="A3" s="3" t="s">
        <v>10</v>
      </c>
      <c r="B3" s="1">
        <f>COUNTIFS(Экспликация!$E:$E,A3,Экспликация!J:J,"Invest")</f>
        <v>8</v>
      </c>
      <c r="C3" s="4">
        <f t="shared" ref="C3:C9" si="0">D3/B3</f>
        <v>31.006250000000001</v>
      </c>
      <c r="D3" s="4">
        <f>SUMIFS(Экспликация!$H:$H,Экспликация!$E:$E,A3,Экспликация!J:J,E3)</f>
        <v>248.05</v>
      </c>
      <c r="E3" s="1" t="s">
        <v>18</v>
      </c>
      <c r="F3" s="1" t="s">
        <v>17</v>
      </c>
    </row>
    <row r="4" spans="1:6" s="3" customFormat="1">
      <c r="A4" s="3" t="s">
        <v>15</v>
      </c>
      <c r="B4" s="1">
        <f>COUNTIFS(Экспликация!$E:$E,A4,Экспликация!J:J,"Invest")</f>
        <v>7</v>
      </c>
      <c r="C4" s="4">
        <f t="shared" si="0"/>
        <v>29.727142857142859</v>
      </c>
      <c r="D4" s="4">
        <f>SUMIFS(Экспликация!$H:$H,Экспликация!$E:$E,A4,Экспликация!J:J,E4)</f>
        <v>208.09</v>
      </c>
      <c r="E4" s="1" t="s">
        <v>18</v>
      </c>
      <c r="F4" s="1" t="s">
        <v>17</v>
      </c>
    </row>
    <row r="5" spans="1:6" s="3" customFormat="1">
      <c r="A5" s="3" t="s">
        <v>14</v>
      </c>
      <c r="B5" s="1">
        <f>COUNTIFS(Экспликация!$E:$E,A5,Экспликация!J:J,"Invest")</f>
        <v>12</v>
      </c>
      <c r="C5" s="4">
        <f t="shared" si="0"/>
        <v>50.341666666666669</v>
      </c>
      <c r="D5" s="4">
        <f>SUMIFS(Экспликация!$H:$H,Экспликация!$E:$E,A5,Экспликация!J:J,E5)</f>
        <v>604.1</v>
      </c>
      <c r="E5" s="1" t="s">
        <v>18</v>
      </c>
      <c r="F5" s="1" t="s">
        <v>17</v>
      </c>
    </row>
    <row r="6" spans="1:6" s="3" customFormat="1">
      <c r="A6" s="3" t="s">
        <v>16</v>
      </c>
      <c r="B6" s="1">
        <f>COUNTIFS(Экспликация!$E:$E,A6,Экспликация!J:J,"Invest")</f>
        <v>7</v>
      </c>
      <c r="C6" s="4">
        <f t="shared" si="0"/>
        <v>50.544285714285714</v>
      </c>
      <c r="D6" s="4">
        <f>SUMIFS(Экспликация!$H:$H,Экспликация!$E:$E,A6,Экспликация!J:J,E6)</f>
        <v>353.81</v>
      </c>
      <c r="E6" s="1" t="s">
        <v>18</v>
      </c>
      <c r="F6" s="1" t="s">
        <v>17</v>
      </c>
    </row>
    <row r="7" spans="1:6" s="3" customFormat="1">
      <c r="A7" s="3" t="s">
        <v>20</v>
      </c>
      <c r="B7" s="1">
        <f>COUNTIFS(Экспликация!$E:$E,A7,Экспликация!J:J,"Invest")</f>
        <v>4</v>
      </c>
      <c r="C7" s="4">
        <f t="shared" si="0"/>
        <v>69.022500000000008</v>
      </c>
      <c r="D7" s="4">
        <f>SUMIFS(Экспликация!$H:$H,Экспликация!$E:$E,A7,Экспликация!J:J,E7)</f>
        <v>276.09000000000003</v>
      </c>
      <c r="E7" s="1" t="s">
        <v>18</v>
      </c>
      <c r="F7" s="1" t="s">
        <v>17</v>
      </c>
    </row>
    <row r="8" spans="1:6" s="3" customFormat="1">
      <c r="A8" s="3" t="s">
        <v>19</v>
      </c>
      <c r="B8" s="1">
        <f>COUNTIFS(Экспликация!$E:$E,A8,Экспликация!J:J,"Invest")</f>
        <v>12</v>
      </c>
      <c r="C8" s="4">
        <f t="shared" si="0"/>
        <v>82.075000000000003</v>
      </c>
      <c r="D8" s="4">
        <f>SUMIFS(Экспликация!$H:$H,Экспликация!$E:$E,A8,Экспликация!J:J,E8)</f>
        <v>984.9</v>
      </c>
      <c r="E8" s="1" t="s">
        <v>18</v>
      </c>
      <c r="F8" s="1" t="s">
        <v>17</v>
      </c>
    </row>
    <row r="9" spans="1:6" s="8" customFormat="1">
      <c r="A9" s="5" t="s">
        <v>27</v>
      </c>
      <c r="B9" s="6">
        <f>SUM(B2:B8)</f>
        <v>150</v>
      </c>
      <c r="C9" s="7">
        <f t="shared" si="0"/>
        <v>30.484933333333338</v>
      </c>
      <c r="D9" s="7">
        <f>SUM(D2:D8)</f>
        <v>4572.7400000000007</v>
      </c>
    </row>
    <row r="10" spans="1:6" s="9" customFormat="1">
      <c r="A10" s="1"/>
      <c r="B10" s="1"/>
      <c r="C10" s="1"/>
      <c r="D10" s="1"/>
    </row>
    <row r="11" spans="1:6" s="3" customFormat="1">
      <c r="A11" s="3" t="s">
        <v>13</v>
      </c>
      <c r="B11" s="1">
        <f>COUNTIFS(Экспликация!$E:$E,A11,Экспликация!J:J,E11)</f>
        <v>61</v>
      </c>
      <c r="C11" s="4">
        <f>D11/B11</f>
        <v>18.948196721311476</v>
      </c>
      <c r="D11" s="4">
        <f>SUMIFS(Экспликация!$H:$H,Экспликация!$E:$E,A11,Экспликация!J:J,E11)</f>
        <v>1155.8399999999999</v>
      </c>
      <c r="E11" s="1" t="s">
        <v>12</v>
      </c>
      <c r="F11" s="1" t="s">
        <v>28</v>
      </c>
    </row>
    <row r="12" spans="1:6" s="3" customFormat="1">
      <c r="A12" s="3" t="s">
        <v>10</v>
      </c>
      <c r="B12" s="1">
        <f>COUNTIFS(Экспликация!$E:$E,A12,Экспликация!J:J,E12)</f>
        <v>7</v>
      </c>
      <c r="C12" s="4">
        <f t="shared" ref="C12:C17" si="1">D12/B12</f>
        <v>36.020000000000003</v>
      </c>
      <c r="D12" s="4">
        <f>SUMIFS(Экспликация!$H:$H,Экспликация!$E:$E,A12,Экспликация!J:J,E12)</f>
        <v>252.14000000000004</v>
      </c>
      <c r="E12" s="1" t="s">
        <v>12</v>
      </c>
      <c r="F12" s="1" t="s">
        <v>28</v>
      </c>
    </row>
    <row r="13" spans="1:6" s="3" customFormat="1">
      <c r="A13" s="3" t="s">
        <v>15</v>
      </c>
      <c r="B13" s="1">
        <f>COUNTIFS(Экспликация!$E:$E,A13,Экспликация!J:J,E13)</f>
        <v>4</v>
      </c>
      <c r="C13" s="4">
        <f t="shared" si="1"/>
        <v>29.68</v>
      </c>
      <c r="D13" s="4">
        <f>SUMIFS(Экспликация!$H:$H,Экспликация!$E:$E,A13,Экспликация!J:J,E13)</f>
        <v>118.72</v>
      </c>
      <c r="E13" s="1" t="s">
        <v>12</v>
      </c>
      <c r="F13" s="1" t="s">
        <v>28</v>
      </c>
    </row>
    <row r="14" spans="1:6" s="3" customFormat="1">
      <c r="A14" s="3" t="s">
        <v>14</v>
      </c>
      <c r="B14" s="1">
        <f>COUNTIFS(Экспликация!$E:$E,A14,Экспликация!J:J,E14)</f>
        <v>13</v>
      </c>
      <c r="C14" s="4">
        <f t="shared" si="1"/>
        <v>49.95461538461538</v>
      </c>
      <c r="D14" s="4">
        <f>SUMIFS(Экспликация!$H:$H,Экспликация!$E:$E,A14,Экспликация!J:J,E14)</f>
        <v>649.41</v>
      </c>
      <c r="E14" s="1" t="s">
        <v>12</v>
      </c>
      <c r="F14" s="1" t="s">
        <v>28</v>
      </c>
    </row>
    <row r="15" spans="1:6" s="3" customFormat="1">
      <c r="A15" s="3" t="s">
        <v>16</v>
      </c>
      <c r="B15" s="1">
        <f>COUNTIFS(Экспликация!$E:$E,A15,Экспликация!J:J,E15)</f>
        <v>4</v>
      </c>
      <c r="C15" s="4">
        <f t="shared" si="1"/>
        <v>50.317500000000003</v>
      </c>
      <c r="D15" s="4">
        <f>SUMIFS(Экспликация!$H:$H,Экспликация!$E:$E,A15,Экспликация!J:J,E15)</f>
        <v>201.27</v>
      </c>
      <c r="E15" s="1" t="s">
        <v>12</v>
      </c>
      <c r="F15" s="1" t="s">
        <v>28</v>
      </c>
    </row>
    <row r="16" spans="1:6" s="3" customFormat="1">
      <c r="A16" s="3" t="s">
        <v>21</v>
      </c>
      <c r="B16" s="1">
        <f>COUNTIFS(Экспликация!$E:$E,A16,Экспликация!J:J,E16)</f>
        <v>1</v>
      </c>
      <c r="C16" s="4">
        <f t="shared" si="1"/>
        <v>85.07</v>
      </c>
      <c r="D16" s="4">
        <f>SUMIFS(Экспликация!$H:$H,Экспликация!$E:$E,A16,Экспликация!J:J,E16)</f>
        <v>85.07</v>
      </c>
      <c r="E16" s="1" t="s">
        <v>12</v>
      </c>
      <c r="F16" s="1" t="s">
        <v>28</v>
      </c>
    </row>
    <row r="17" spans="1:6" s="3" customFormat="1">
      <c r="A17" s="3" t="s">
        <v>19</v>
      </c>
      <c r="B17" s="1">
        <f>COUNTIFS(Экспликация!$E:$E,A17,Экспликация!J:J,E17)</f>
        <v>4</v>
      </c>
      <c r="C17" s="4">
        <f t="shared" si="1"/>
        <v>60.34</v>
      </c>
      <c r="D17" s="4">
        <f>SUMIFS(Экспликация!$H:$H,Экспликация!$E:$E,A17,Экспликация!J:J,E17)</f>
        <v>241.36</v>
      </c>
      <c r="E17" s="1" t="s">
        <v>12</v>
      </c>
      <c r="F17" s="1" t="s">
        <v>28</v>
      </c>
    </row>
    <row r="18" spans="1:6" s="10" customFormat="1">
      <c r="A18" s="5" t="s">
        <v>27</v>
      </c>
      <c r="B18" s="6">
        <f>SUM(B11:B17)</f>
        <v>94</v>
      </c>
      <c r="C18" s="7">
        <f>D18/B18</f>
        <v>28.763936170212769</v>
      </c>
      <c r="D18" s="7">
        <f>SUM(D11:D17)</f>
        <v>2703.8100000000004</v>
      </c>
    </row>
    <row r="24" spans="1:6">
      <c r="B24" s="1" t="s">
        <v>29</v>
      </c>
      <c r="C24" s="1" t="s">
        <v>30</v>
      </c>
      <c r="D24" s="1" t="s">
        <v>31</v>
      </c>
    </row>
    <row r="25" spans="1:6">
      <c r="A25" s="1" t="s">
        <v>13</v>
      </c>
      <c r="B25" s="1">
        <f>_xlfn.MINIFS(Экспликация!H:H,Экспликация!J:J,Свод_Экспликация!E2,Экспликация!E:E,Свод_Экспликация!A25)</f>
        <v>18.68</v>
      </c>
      <c r="C25" s="1">
        <f>_xlfn.MAXIFS(Экспликация!H:H,Экспликация!J:J,Свод_Экспликация!E2,Экспликация!E:E,Свод_Экспликация!A25)</f>
        <v>19.12</v>
      </c>
      <c r="D25" s="4">
        <f>C2</f>
        <v>18.977000000000004</v>
      </c>
    </row>
    <row r="26" spans="1:6">
      <c r="A26" s="1" t="s">
        <v>10</v>
      </c>
      <c r="B26" s="1">
        <f>_xlfn.MINIFS(Экспликация!H:H,Экспликация!J:J,Свод_Экспликация!E3,Экспликация!E:E,Свод_Экспликация!A26)</f>
        <v>27.42</v>
      </c>
      <c r="C26" s="1">
        <f>_xlfn.MAXIFS(Экспликация!H:H,Экспликация!J:J,Свод_Экспликация!E3,Экспликация!E:E,Свод_Экспликация!A26)</f>
        <v>38.46</v>
      </c>
      <c r="D26" s="4">
        <f t="shared" ref="D26:D31" si="2">C3</f>
        <v>31.006250000000001</v>
      </c>
    </row>
    <row r="27" spans="1:6">
      <c r="A27" s="1" t="s">
        <v>15</v>
      </c>
      <c r="B27" s="1">
        <f>_xlfn.MINIFS(Экспликация!H:H,Экспликация!J:J,Свод_Экспликация!E4,Экспликация!E:E,Свод_Экспликация!A27)</f>
        <v>29.59</v>
      </c>
      <c r="C27" s="1">
        <f>_xlfn.MAXIFS(Экспликация!H:H,Экспликация!J:J,Свод_Экспликация!E4,Экспликация!E:E,Свод_Экспликация!A27)</f>
        <v>29.83</v>
      </c>
      <c r="D27" s="4">
        <f t="shared" si="2"/>
        <v>29.727142857142859</v>
      </c>
    </row>
    <row r="28" spans="1:6">
      <c r="A28" s="1" t="s">
        <v>14</v>
      </c>
      <c r="B28" s="1">
        <f>_xlfn.MINIFS(Экспликация!H:H,Экспликация!J:J,Свод_Экспликация!E5,Экспликация!E:E,Свод_Экспликация!A28)</f>
        <v>49.78</v>
      </c>
      <c r="C28" s="1">
        <f>_xlfn.MAXIFS(Экспликация!H:H,Экспликация!J:J,Свод_Экспликация!E5,Экспликация!E:E,Свод_Экспликация!A28)</f>
        <v>51.81</v>
      </c>
      <c r="D28" s="4">
        <f t="shared" si="2"/>
        <v>50.341666666666669</v>
      </c>
    </row>
    <row r="29" spans="1:6">
      <c r="A29" s="1" t="s">
        <v>16</v>
      </c>
      <c r="B29" s="1">
        <f>_xlfn.MINIFS(Экспликация!H:H,Экспликация!J:J,Свод_Экспликация!E6,Экспликация!E:E,Свод_Экспликация!A29)</f>
        <v>50.38</v>
      </c>
      <c r="C29" s="1">
        <f>_xlfn.MAXIFS(Экспликация!H:H,Экспликация!J:J,Свод_Экспликация!E6,Экспликация!E:E,Свод_Экспликация!A29)</f>
        <v>50.88</v>
      </c>
      <c r="D29" s="4">
        <f t="shared" si="2"/>
        <v>50.544285714285714</v>
      </c>
    </row>
    <row r="30" spans="1:6">
      <c r="A30" s="1" t="s">
        <v>20</v>
      </c>
      <c r="B30" s="1">
        <f>_xlfn.MINIFS(Экспликация!H:H,Экспликация!J:J,Свод_Экспликация!E7,Экспликация!E:E,Свод_Экспликация!A30)</f>
        <v>68.930000000000007</v>
      </c>
      <c r="C30" s="1">
        <f>_xlfn.MAXIFS(Экспликация!H:H,Экспликация!J:J,Свод_Экспликация!E7,Экспликация!E:E,Свод_Экспликация!A30)</f>
        <v>69.23</v>
      </c>
      <c r="D30" s="4">
        <f t="shared" si="2"/>
        <v>69.022500000000008</v>
      </c>
    </row>
    <row r="31" spans="1:6">
      <c r="A31" s="1" t="s">
        <v>19</v>
      </c>
      <c r="B31" s="1">
        <f>_xlfn.MINIFS(Экспликация!H:H,Экспликация!J:J,Свод_Экспликация!E8,Экспликация!E:E,Свод_Экспликация!A31)</f>
        <v>70.12</v>
      </c>
      <c r="C31" s="1">
        <f>_xlfn.MAXIFS(Экспликация!H:H,Экспликация!J:J,Свод_Экспликация!E8,Экспликация!E:E,Свод_Экспликация!A31)</f>
        <v>99.13</v>
      </c>
      <c r="D31" s="4">
        <f t="shared" si="2"/>
        <v>82.075000000000003</v>
      </c>
    </row>
    <row r="33" spans="1:4">
      <c r="B33" s="1" t="s">
        <v>29</v>
      </c>
      <c r="C33" s="1" t="s">
        <v>30</v>
      </c>
      <c r="D33" s="1" t="s">
        <v>31</v>
      </c>
    </row>
    <row r="34" spans="1:4">
      <c r="A34" s="3" t="s">
        <v>13</v>
      </c>
      <c r="B34" s="1">
        <f>_xlfn.MINIFS(Экспликация!H:H,Экспликация!J:J,Свод_Экспликация!E11,Экспликация!E:E,Свод_Экспликация!A34)</f>
        <v>18.670000000000002</v>
      </c>
      <c r="C34" s="1">
        <f>_xlfn.MAXIFS(Экспликация!H:H,Экспликация!J:J,Свод_Экспликация!E11,Экспликация!E:E,Свод_Экспликация!A34)</f>
        <v>19.14</v>
      </c>
      <c r="D34" s="4">
        <f>C11</f>
        <v>18.948196721311476</v>
      </c>
    </row>
    <row r="35" spans="1:4">
      <c r="A35" s="3" t="s">
        <v>10</v>
      </c>
      <c r="B35" s="1">
        <f>_xlfn.MINIFS(Экспликация!H:H,Экспликация!J:J,Свод_Экспликация!E12,Экспликация!E:E,Свод_Экспликация!A35)</f>
        <v>27.42</v>
      </c>
      <c r="C35" s="1">
        <f>_xlfn.MAXIFS(Экспликация!H:H,Экспликация!J:J,Свод_Экспликация!E12,Экспликация!E:E,Свод_Экспликация!A35)</f>
        <v>47.63</v>
      </c>
      <c r="D35" s="4">
        <f t="shared" ref="D35:D40" si="3">C12</f>
        <v>36.020000000000003</v>
      </c>
    </row>
    <row r="36" spans="1:4">
      <c r="A36" s="3" t="s">
        <v>15</v>
      </c>
      <c r="B36" s="1">
        <f>_xlfn.MINIFS(Экспликация!H:H,Экспликация!J:J,Свод_Экспликация!E13,Экспликация!E:E,Свод_Экспликация!A36)</f>
        <v>29.58</v>
      </c>
      <c r="C36" s="1">
        <f>_xlfn.MAXIFS(Экспликация!H:H,Экспликация!J:J,Свод_Экспликация!E13,Экспликация!E:E,Свод_Экспликация!A36)</f>
        <v>29.77</v>
      </c>
      <c r="D36" s="4">
        <f t="shared" si="3"/>
        <v>29.68</v>
      </c>
    </row>
    <row r="37" spans="1:4">
      <c r="A37" s="3" t="s">
        <v>14</v>
      </c>
      <c r="B37" s="1">
        <f>_xlfn.MINIFS(Экспликация!H:H,Экспликация!J:J,Свод_Экспликация!E14,Экспликация!E:E,Свод_Экспликация!A37)</f>
        <v>47.61</v>
      </c>
      <c r="C37" s="1">
        <f>_xlfn.MAXIFS(Экспликация!H:H,Экспликация!J:J,Свод_Экспликация!E14,Экспликация!E:E,Свод_Экспликация!A37)</f>
        <v>51.78</v>
      </c>
      <c r="D37" s="4">
        <f t="shared" si="3"/>
        <v>49.95461538461538</v>
      </c>
    </row>
    <row r="38" spans="1:4">
      <c r="A38" s="3" t="s">
        <v>16</v>
      </c>
      <c r="B38" s="1">
        <f>_xlfn.MINIFS(Экспликация!H:H,Экспликация!J:J,Свод_Экспликация!E15,Экспликация!E:E,Свод_Экспликация!A38)</f>
        <v>50.15</v>
      </c>
      <c r="C38" s="1">
        <f>_xlfn.MAXIFS(Экспликация!H:H,Экспликация!J:J,Свод_Экспликация!E15,Экспликация!E:E,Свод_Экспликация!A38)</f>
        <v>50.48</v>
      </c>
      <c r="D38" s="4">
        <f t="shared" si="3"/>
        <v>50.317500000000003</v>
      </c>
    </row>
    <row r="39" spans="1:4">
      <c r="A39" s="3" t="s">
        <v>21</v>
      </c>
      <c r="B39" s="1">
        <f>_xlfn.MINIFS(Экспликация!H:H,Экспликация!J:J,Свод_Экспликация!E16,Экспликация!E:E,Свод_Экспликация!A39)</f>
        <v>85.07</v>
      </c>
      <c r="C39" s="1">
        <f>_xlfn.MAXIFS(Экспликация!H:H,Экспликация!J:J,Свод_Экспликация!E16,Экспликация!E:E,Свод_Экспликация!A39)</f>
        <v>85.07</v>
      </c>
      <c r="D39" s="4">
        <f t="shared" si="3"/>
        <v>85.07</v>
      </c>
    </row>
    <row r="40" spans="1:4">
      <c r="A40" s="3" t="s">
        <v>19</v>
      </c>
      <c r="B40" s="1">
        <f>_xlfn.MINIFS(Экспликация!H:H,Экспликация!J:J,Свод_Экспликация!E17,Экспликация!E:E,Свод_Экспликация!A40)</f>
        <v>51.21</v>
      </c>
      <c r="C40" s="1">
        <f>_xlfn.MAXIFS(Экспликация!H:H,Экспликация!J:J,Свод_Экспликация!E17,Экспликация!E:E,Свод_Экспликация!A40)</f>
        <v>66.09</v>
      </c>
      <c r="D40" s="4">
        <f t="shared" si="3"/>
        <v>60.34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6"/>
  <sheetViews>
    <sheetView zoomScale="80" zoomScaleNormal="80" workbookViewId="0">
      <selection activeCell="L50" sqref="L50"/>
    </sheetView>
  </sheetViews>
  <sheetFormatPr defaultColWidth="10.875" defaultRowHeight="15"/>
  <cols>
    <col min="1" max="1" width="21.125" style="32" customWidth="1"/>
    <col min="2" max="2" width="6.5" style="32" customWidth="1"/>
    <col min="3" max="3" width="19.5" style="32" bestFit="1" customWidth="1"/>
    <col min="4" max="16384" width="10.875" style="32"/>
  </cols>
  <sheetData>
    <row r="1" spans="1:87">
      <c r="D1" s="101" t="s">
        <v>32</v>
      </c>
      <c r="E1" s="101"/>
      <c r="F1" s="101"/>
      <c r="G1" s="101"/>
      <c r="H1" s="101"/>
      <c r="I1" s="101"/>
      <c r="J1" s="101"/>
      <c r="K1" s="101" t="s">
        <v>33</v>
      </c>
      <c r="L1" s="101"/>
      <c r="M1" s="101"/>
      <c r="N1" s="101"/>
      <c r="O1" s="101"/>
      <c r="P1" s="101"/>
      <c r="Q1" s="101"/>
      <c r="R1" s="101" t="s">
        <v>34</v>
      </c>
      <c r="S1" s="101"/>
      <c r="T1" s="101"/>
      <c r="U1" s="101"/>
      <c r="V1" s="101"/>
      <c r="W1" s="101"/>
      <c r="X1" s="101"/>
      <c r="Y1" s="101" t="s">
        <v>35</v>
      </c>
      <c r="Z1" s="101"/>
      <c r="AA1" s="101"/>
      <c r="AB1" s="101"/>
      <c r="AC1" s="101"/>
      <c r="AD1" s="101"/>
      <c r="AE1" s="101"/>
      <c r="AF1" s="101" t="s">
        <v>36</v>
      </c>
      <c r="AG1" s="101"/>
      <c r="AH1" s="101"/>
      <c r="AI1" s="101"/>
      <c r="AJ1" s="101"/>
      <c r="AK1" s="101"/>
      <c r="AL1" s="101"/>
      <c r="AM1" s="101" t="s">
        <v>37</v>
      </c>
      <c r="AN1" s="101"/>
      <c r="AO1" s="101"/>
      <c r="AP1" s="101"/>
      <c r="AQ1" s="101"/>
      <c r="AR1" s="101"/>
      <c r="AS1" s="101"/>
      <c r="AT1" s="101" t="s">
        <v>38</v>
      </c>
      <c r="AU1" s="101"/>
      <c r="AV1" s="101"/>
      <c r="AW1" s="101"/>
      <c r="AX1" s="101"/>
      <c r="AY1" s="101"/>
      <c r="AZ1" s="101"/>
      <c r="BA1" s="101" t="s">
        <v>39</v>
      </c>
      <c r="BB1" s="101"/>
      <c r="BC1" s="101"/>
      <c r="BD1" s="101"/>
      <c r="BE1" s="101"/>
      <c r="BF1" s="101"/>
      <c r="BG1" s="101"/>
      <c r="BH1" s="101" t="s">
        <v>40</v>
      </c>
      <c r="BI1" s="101"/>
      <c r="BJ1" s="101"/>
      <c r="BK1" s="101"/>
      <c r="BL1" s="101"/>
      <c r="BM1" s="101"/>
      <c r="BN1" s="101"/>
      <c r="BO1" s="101" t="s">
        <v>41</v>
      </c>
      <c r="BP1" s="101"/>
      <c r="BQ1" s="101"/>
      <c r="BR1" s="101"/>
      <c r="BS1" s="101"/>
      <c r="BT1" s="101"/>
      <c r="BU1" s="101"/>
      <c r="BV1" s="101" t="s">
        <v>42</v>
      </c>
      <c r="BW1" s="101"/>
      <c r="BX1" s="101"/>
      <c r="BY1" s="101"/>
      <c r="BZ1" s="101"/>
      <c r="CA1" s="101"/>
      <c r="CB1" s="102"/>
      <c r="CC1" s="101" t="s">
        <v>43</v>
      </c>
      <c r="CD1" s="101"/>
      <c r="CE1" s="101"/>
      <c r="CF1" s="101"/>
      <c r="CG1" s="101"/>
      <c r="CH1" s="101"/>
      <c r="CI1" s="101"/>
    </row>
    <row r="2" spans="1:87">
      <c r="A2" s="32" t="s">
        <v>44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4">
        <v>10200</v>
      </c>
      <c r="O2" s="34">
        <v>10200</v>
      </c>
      <c r="P2" s="34">
        <v>10200</v>
      </c>
      <c r="Q2" s="34">
        <v>10600</v>
      </c>
      <c r="R2" s="33"/>
      <c r="S2" s="33"/>
      <c r="T2" s="33"/>
      <c r="U2" s="33"/>
      <c r="V2" s="33"/>
      <c r="W2" s="33"/>
      <c r="X2" s="34">
        <v>9025</v>
      </c>
      <c r="Y2" s="33"/>
      <c r="Z2" s="34">
        <v>7007</v>
      </c>
      <c r="AA2" s="34">
        <v>7608</v>
      </c>
      <c r="AB2" s="34">
        <v>7608</v>
      </c>
      <c r="AC2" s="34">
        <v>9090</v>
      </c>
      <c r="AD2" s="34">
        <v>9090</v>
      </c>
      <c r="AE2" s="34">
        <v>7608</v>
      </c>
      <c r="AF2" s="33"/>
      <c r="AG2" s="33"/>
      <c r="AH2" s="33"/>
      <c r="AI2" s="33"/>
      <c r="AJ2" s="34"/>
      <c r="AK2" s="34">
        <v>9188</v>
      </c>
      <c r="AL2" s="34">
        <v>6274</v>
      </c>
      <c r="AM2" s="33"/>
      <c r="AN2" s="33"/>
      <c r="AO2" s="33"/>
      <c r="AP2" s="33"/>
      <c r="AQ2" s="33"/>
      <c r="AR2" s="33"/>
      <c r="AS2" s="34"/>
      <c r="AT2" s="33"/>
      <c r="AU2" s="33"/>
      <c r="AV2" s="34"/>
      <c r="AW2" s="34"/>
      <c r="AX2" s="34"/>
      <c r="AY2" s="34"/>
      <c r="AZ2" s="34"/>
      <c r="BA2" s="33"/>
      <c r="BB2" s="33"/>
      <c r="BC2" s="33"/>
      <c r="BD2" s="33"/>
      <c r="BE2" s="33"/>
      <c r="BF2" s="34"/>
      <c r="BG2" s="34"/>
      <c r="BH2" s="33"/>
      <c r="BI2" s="33"/>
      <c r="BJ2" s="33"/>
      <c r="BK2" s="33"/>
      <c r="BL2" s="33"/>
      <c r="BM2" s="34"/>
      <c r="BN2" s="34"/>
      <c r="BO2" s="33"/>
      <c r="BP2" s="34"/>
      <c r="BQ2" s="34"/>
      <c r="BR2" s="34"/>
      <c r="BS2" s="34"/>
      <c r="BT2" s="34"/>
      <c r="BU2" s="34"/>
      <c r="BV2" s="33"/>
      <c r="BW2" s="33"/>
      <c r="BX2" s="33"/>
      <c r="BY2" s="34"/>
      <c r="BZ2" s="34"/>
      <c r="CA2" s="34"/>
      <c r="CB2" s="35"/>
      <c r="CC2" s="33"/>
      <c r="CD2" s="33"/>
      <c r="CE2" s="33"/>
      <c r="CF2" s="33"/>
      <c r="CG2" s="33"/>
      <c r="CH2" s="33"/>
      <c r="CI2" s="34"/>
    </row>
    <row r="3" spans="1:87">
      <c r="D3" s="36">
        <v>11300</v>
      </c>
      <c r="E3" s="36">
        <v>10600</v>
      </c>
      <c r="F3" s="36">
        <v>11900</v>
      </c>
      <c r="G3" s="36">
        <v>11900</v>
      </c>
      <c r="H3" s="36">
        <v>11400</v>
      </c>
      <c r="I3" s="36">
        <v>10600</v>
      </c>
      <c r="J3" s="36">
        <v>11400</v>
      </c>
      <c r="K3" s="36">
        <v>11200</v>
      </c>
      <c r="L3" s="36">
        <v>11200</v>
      </c>
      <c r="M3" s="36">
        <v>12900</v>
      </c>
      <c r="N3" s="36">
        <v>12900</v>
      </c>
      <c r="O3" s="36">
        <v>12900</v>
      </c>
      <c r="P3" s="36">
        <v>13000</v>
      </c>
      <c r="Q3" s="36">
        <v>11900</v>
      </c>
      <c r="R3" s="36">
        <v>8099</v>
      </c>
      <c r="S3" s="36">
        <v>9880</v>
      </c>
      <c r="T3" s="36">
        <v>9880</v>
      </c>
      <c r="U3" s="36">
        <v>9562</v>
      </c>
      <c r="V3" s="36">
        <v>10400</v>
      </c>
      <c r="W3" s="36">
        <v>10400</v>
      </c>
      <c r="X3" s="36">
        <v>8487</v>
      </c>
      <c r="Y3" s="36">
        <v>7608</v>
      </c>
      <c r="Z3" s="36">
        <v>7608</v>
      </c>
      <c r="AA3" s="36">
        <v>7608</v>
      </c>
      <c r="AB3" s="36">
        <v>7608</v>
      </c>
      <c r="AC3" s="36">
        <v>9090</v>
      </c>
      <c r="AD3" s="36">
        <v>9090</v>
      </c>
      <c r="AE3" s="36">
        <v>7608</v>
      </c>
      <c r="AF3" s="36"/>
      <c r="AG3" s="36"/>
      <c r="AH3" s="36"/>
      <c r="AI3" s="36"/>
      <c r="AJ3" s="36">
        <v>9188</v>
      </c>
      <c r="AK3" s="36">
        <v>9188</v>
      </c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7"/>
      <c r="CC3" s="36"/>
      <c r="CD3" s="36"/>
      <c r="CE3" s="36"/>
      <c r="CF3" s="36"/>
      <c r="CG3" s="36"/>
      <c r="CH3" s="36"/>
      <c r="CI3" s="36"/>
    </row>
    <row r="4" spans="1:87">
      <c r="D4" s="36">
        <v>11400</v>
      </c>
      <c r="E4" s="36">
        <v>11900</v>
      </c>
      <c r="F4" s="36">
        <v>11900</v>
      </c>
      <c r="G4" s="36">
        <v>11200</v>
      </c>
      <c r="H4" s="36">
        <v>11200</v>
      </c>
      <c r="I4" s="36">
        <v>11200</v>
      </c>
      <c r="J4" s="36">
        <v>11900</v>
      </c>
      <c r="K4" s="36">
        <v>11900</v>
      </c>
      <c r="L4" s="36">
        <v>11900</v>
      </c>
      <c r="M4" s="36">
        <v>11900</v>
      </c>
      <c r="N4" s="36">
        <v>11900</v>
      </c>
      <c r="O4" s="36">
        <v>12400</v>
      </c>
      <c r="P4" s="36">
        <v>12900</v>
      </c>
      <c r="Q4" s="36">
        <v>12400</v>
      </c>
      <c r="R4" s="36">
        <v>8892</v>
      </c>
      <c r="S4" s="36">
        <v>8892</v>
      </c>
      <c r="T4" s="36">
        <v>8487</v>
      </c>
      <c r="U4" s="36">
        <v>8892</v>
      </c>
      <c r="V4" s="36">
        <v>9880</v>
      </c>
      <c r="W4" s="36">
        <v>9880</v>
      </c>
      <c r="X4" s="36">
        <v>8892</v>
      </c>
      <c r="Y4" s="36">
        <v>7608</v>
      </c>
      <c r="Z4" s="36"/>
      <c r="AA4" s="36"/>
      <c r="AB4" s="36"/>
      <c r="AC4" s="36">
        <v>9090</v>
      </c>
      <c r="AD4" s="36">
        <v>9090</v>
      </c>
      <c r="AE4" s="36"/>
      <c r="AF4" s="36"/>
      <c r="AG4" s="36"/>
      <c r="AH4" s="36"/>
      <c r="AI4" s="36"/>
      <c r="AJ4" s="36">
        <v>9188</v>
      </c>
      <c r="AK4" s="36">
        <v>9188</v>
      </c>
      <c r="AL4" s="36"/>
      <c r="AM4" s="36"/>
      <c r="AN4" s="36"/>
      <c r="AO4" s="36"/>
      <c r="AP4" s="36"/>
      <c r="AQ4" s="36">
        <v>7608</v>
      </c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7"/>
      <c r="CC4" s="36"/>
      <c r="CD4" s="36"/>
      <c r="CE4" s="36"/>
      <c r="CF4" s="36"/>
      <c r="CG4" s="36"/>
      <c r="CH4" s="36"/>
      <c r="CI4" s="36"/>
    </row>
    <row r="5" spans="1:87">
      <c r="D5" s="36">
        <v>11200</v>
      </c>
      <c r="E5" s="36">
        <v>10300</v>
      </c>
      <c r="F5" s="36">
        <v>11200</v>
      </c>
      <c r="G5" s="36">
        <v>10900</v>
      </c>
      <c r="H5" s="36">
        <v>10300</v>
      </c>
      <c r="I5" s="36">
        <v>11200</v>
      </c>
      <c r="J5" s="36">
        <v>10800</v>
      </c>
      <c r="K5" s="36">
        <v>12400</v>
      </c>
      <c r="L5" s="36">
        <v>12400</v>
      </c>
      <c r="M5" s="36">
        <v>12400</v>
      </c>
      <c r="N5" s="36">
        <v>12900</v>
      </c>
      <c r="O5" s="36">
        <v>12900</v>
      </c>
      <c r="P5" s="36">
        <v>11900</v>
      </c>
      <c r="Q5" s="36">
        <v>11900</v>
      </c>
      <c r="R5" s="36">
        <v>8892</v>
      </c>
      <c r="S5" s="36">
        <v>8892</v>
      </c>
      <c r="T5" s="36">
        <v>8487</v>
      </c>
      <c r="U5" s="36">
        <v>8487</v>
      </c>
      <c r="V5" s="36">
        <v>9880</v>
      </c>
      <c r="W5" s="36">
        <v>9880</v>
      </c>
      <c r="X5" s="36">
        <v>8487</v>
      </c>
      <c r="Y5" s="36"/>
      <c r="Z5" s="36"/>
      <c r="AA5" s="36"/>
      <c r="AB5" s="36"/>
      <c r="AC5" s="36">
        <v>9090</v>
      </c>
      <c r="AD5" s="36">
        <v>9090</v>
      </c>
      <c r="AE5" s="36"/>
      <c r="AF5" s="36"/>
      <c r="AG5" s="36"/>
      <c r="AH5" s="36"/>
      <c r="AI5" s="36"/>
      <c r="AJ5" s="36">
        <v>9188</v>
      </c>
      <c r="AK5" s="36">
        <v>9188</v>
      </c>
      <c r="AL5" s="36"/>
      <c r="AM5" s="36"/>
      <c r="AN5" s="36"/>
      <c r="AO5" s="36"/>
      <c r="AP5" s="36"/>
      <c r="AQ5" s="36">
        <v>7608</v>
      </c>
      <c r="AR5" s="36">
        <v>8274</v>
      </c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7"/>
      <c r="CC5" s="36"/>
      <c r="CD5" s="36"/>
      <c r="CE5" s="36"/>
      <c r="CF5" s="36"/>
      <c r="CG5" s="36"/>
      <c r="CH5" s="36"/>
      <c r="CI5" s="36"/>
    </row>
    <row r="6" spans="1:87">
      <c r="D6" s="36">
        <v>10800</v>
      </c>
      <c r="E6" s="36">
        <v>10800</v>
      </c>
      <c r="F6" s="36">
        <v>9828</v>
      </c>
      <c r="G6" s="38"/>
      <c r="H6" s="38"/>
      <c r="I6" s="38"/>
      <c r="J6" s="38"/>
      <c r="K6" s="36">
        <v>9025</v>
      </c>
      <c r="L6" s="36">
        <v>10900</v>
      </c>
      <c r="M6" s="36">
        <v>9025</v>
      </c>
      <c r="N6" s="36">
        <v>9025</v>
      </c>
      <c r="O6" s="36">
        <v>10900</v>
      </c>
      <c r="P6" s="36">
        <v>10900</v>
      </c>
      <c r="Q6" s="38"/>
      <c r="R6" s="36">
        <v>8487</v>
      </c>
      <c r="S6" s="36">
        <v>8487</v>
      </c>
      <c r="T6" s="36">
        <v>8487</v>
      </c>
      <c r="U6" s="36">
        <v>8487</v>
      </c>
      <c r="V6" s="36">
        <v>9880</v>
      </c>
      <c r="W6" s="36">
        <v>9880</v>
      </c>
      <c r="X6" s="36">
        <v>8492</v>
      </c>
      <c r="Y6" s="36"/>
      <c r="Z6" s="36"/>
      <c r="AA6" s="36"/>
      <c r="AB6" s="36"/>
      <c r="AC6" s="38"/>
      <c r="AD6" s="38"/>
      <c r="AE6" s="38"/>
      <c r="AF6" s="36"/>
      <c r="AG6" s="36"/>
      <c r="AH6" s="36"/>
      <c r="AI6" s="36"/>
      <c r="AJ6" s="36">
        <v>9188</v>
      </c>
      <c r="AK6" s="36">
        <v>9188</v>
      </c>
      <c r="AL6" s="38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8"/>
      <c r="BG6" s="38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8"/>
      <c r="BS6" s="38"/>
      <c r="BT6" s="38"/>
      <c r="BU6" s="38"/>
      <c r="BV6" s="36"/>
      <c r="BW6" s="36"/>
      <c r="BX6" s="36"/>
      <c r="BY6" s="36"/>
      <c r="BZ6" s="36"/>
      <c r="CA6" s="36"/>
      <c r="CB6" s="39"/>
      <c r="CC6" s="36"/>
      <c r="CD6" s="36"/>
      <c r="CE6" s="36"/>
      <c r="CF6" s="36"/>
      <c r="CG6" s="36"/>
      <c r="CH6" s="36"/>
      <c r="CI6" s="36"/>
    </row>
    <row r="7" spans="1:87"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6">
        <v>8487</v>
      </c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6"/>
      <c r="AN7" s="36"/>
      <c r="AO7" s="38"/>
      <c r="AP7" s="38"/>
      <c r="AQ7" s="38"/>
      <c r="AR7" s="38"/>
      <c r="AS7" s="38"/>
      <c r="AT7" s="36"/>
      <c r="AU7" s="36"/>
      <c r="AV7" s="36"/>
      <c r="AW7" s="36"/>
      <c r="AX7" s="36"/>
      <c r="AY7" s="38"/>
      <c r="AZ7" s="38"/>
      <c r="BA7" s="38"/>
      <c r="BB7" s="38"/>
      <c r="BC7" s="38"/>
      <c r="BD7" s="38"/>
      <c r="BE7" s="38"/>
      <c r="BF7" s="38"/>
      <c r="BG7" s="38"/>
      <c r="BH7" s="36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9"/>
      <c r="CC7" s="36"/>
      <c r="CD7" s="38"/>
      <c r="CE7" s="38"/>
      <c r="CF7" s="38"/>
      <c r="CG7" s="38"/>
      <c r="CH7" s="38"/>
      <c r="CI7" s="38"/>
    </row>
    <row r="8" spans="1:87">
      <c r="D8" s="103">
        <f t="shared" ref="D8" si="0">AVERAGE(D2:J7)</f>
        <v>11130.333333333334</v>
      </c>
      <c r="E8" s="104"/>
      <c r="F8" s="104"/>
      <c r="G8" s="104"/>
      <c r="H8" s="104"/>
      <c r="I8" s="104"/>
      <c r="J8" s="105"/>
      <c r="K8" s="103">
        <f t="shared" ref="K8" si="1">AVERAGE(K2:Q7)</f>
        <v>11583.064516129032</v>
      </c>
      <c r="L8" s="104"/>
      <c r="M8" s="104"/>
      <c r="N8" s="104"/>
      <c r="O8" s="104"/>
      <c r="P8" s="104"/>
      <c r="Q8" s="105"/>
      <c r="R8" s="103">
        <f t="shared" ref="R8" si="2">AVERAGE(R2:X7)</f>
        <v>9108</v>
      </c>
      <c r="S8" s="104"/>
      <c r="T8" s="104"/>
      <c r="U8" s="104"/>
      <c r="V8" s="104"/>
      <c r="W8" s="104"/>
      <c r="X8" s="105"/>
      <c r="Y8" s="103">
        <f t="shared" ref="Y8" si="3">AVERAGE(Y2:AE7)</f>
        <v>8233.2777777777774</v>
      </c>
      <c r="Z8" s="104"/>
      <c r="AA8" s="104"/>
      <c r="AB8" s="104"/>
      <c r="AC8" s="104"/>
      <c r="AD8" s="104"/>
      <c r="AE8" s="105"/>
      <c r="AF8" s="103">
        <f t="shared" ref="AF8" si="4">AVERAGE(AF2:AL7)</f>
        <v>8896.6</v>
      </c>
      <c r="AG8" s="104"/>
      <c r="AH8" s="104"/>
      <c r="AI8" s="104"/>
      <c r="AJ8" s="104"/>
      <c r="AK8" s="104"/>
      <c r="AL8" s="105"/>
      <c r="AM8" s="103">
        <f t="shared" ref="AM8" si="5">AVERAGE(AM2:AS7)</f>
        <v>7830</v>
      </c>
      <c r="AN8" s="104"/>
      <c r="AO8" s="104"/>
      <c r="AP8" s="104"/>
      <c r="AQ8" s="104"/>
      <c r="AR8" s="104"/>
      <c r="AS8" s="105"/>
      <c r="AT8" s="103" t="e">
        <f t="shared" ref="AT8" si="6">AVERAGE(AT2:AZ7)</f>
        <v>#DIV/0!</v>
      </c>
      <c r="AU8" s="104"/>
      <c r="AV8" s="104"/>
      <c r="AW8" s="104"/>
      <c r="AX8" s="104"/>
      <c r="AY8" s="104"/>
      <c r="AZ8" s="105"/>
      <c r="BA8" s="103" t="e">
        <f t="shared" ref="BA8" si="7">AVERAGE(BA2:BG7)</f>
        <v>#DIV/0!</v>
      </c>
      <c r="BB8" s="104"/>
      <c r="BC8" s="104"/>
      <c r="BD8" s="104"/>
      <c r="BE8" s="104"/>
      <c r="BF8" s="104"/>
      <c r="BG8" s="105"/>
      <c r="BH8" s="103" t="e">
        <f t="shared" ref="BH8" si="8">AVERAGE(BH2:BN7)</f>
        <v>#DIV/0!</v>
      </c>
      <c r="BI8" s="104"/>
      <c r="BJ8" s="104"/>
      <c r="BK8" s="104"/>
      <c r="BL8" s="104"/>
      <c r="BM8" s="104"/>
      <c r="BN8" s="105"/>
      <c r="BO8" s="103" t="e">
        <f t="shared" ref="BO8" si="9">AVERAGE(BO2:BU7)</f>
        <v>#DIV/0!</v>
      </c>
      <c r="BP8" s="104"/>
      <c r="BQ8" s="104"/>
      <c r="BR8" s="104"/>
      <c r="BS8" s="104"/>
      <c r="BT8" s="104"/>
      <c r="BU8" s="105"/>
      <c r="BV8" s="103" t="e">
        <f t="shared" ref="BV8" si="10">AVERAGE(BV2:CB7)</f>
        <v>#DIV/0!</v>
      </c>
      <c r="BW8" s="104"/>
      <c r="BX8" s="104"/>
      <c r="BY8" s="104"/>
      <c r="BZ8" s="104"/>
      <c r="CA8" s="104"/>
      <c r="CB8" s="105"/>
      <c r="CC8" s="103" t="e">
        <f>AVERAGE(CC2:CI7)</f>
        <v>#DIV/0!</v>
      </c>
      <c r="CD8" s="104"/>
      <c r="CE8" s="104"/>
      <c r="CF8" s="104"/>
      <c r="CG8" s="104"/>
      <c r="CH8" s="104"/>
      <c r="CI8" s="105"/>
    </row>
    <row r="10" spans="1:87">
      <c r="A10" s="32" t="s">
        <v>45</v>
      </c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4">
        <v>8254</v>
      </c>
      <c r="O10" s="34">
        <v>8254</v>
      </c>
      <c r="P10" s="34">
        <v>8254</v>
      </c>
      <c r="Q10" s="34">
        <v>8254</v>
      </c>
      <c r="R10" s="33"/>
      <c r="S10" s="33"/>
      <c r="T10" s="33"/>
      <c r="U10" s="33"/>
      <c r="V10" s="33"/>
      <c r="W10" s="33"/>
      <c r="X10" s="34">
        <v>6603</v>
      </c>
      <c r="Y10" s="33"/>
      <c r="Z10" s="34">
        <v>3961</v>
      </c>
      <c r="AA10" s="34">
        <v>3961</v>
      </c>
      <c r="AB10" s="34">
        <v>3961</v>
      </c>
      <c r="AC10" s="34">
        <v>3961</v>
      </c>
      <c r="AD10" s="34">
        <v>3961</v>
      </c>
      <c r="AE10" s="34">
        <v>3961</v>
      </c>
      <c r="AF10" s="33"/>
      <c r="AG10" s="33"/>
      <c r="AH10" s="33"/>
      <c r="AI10" s="33"/>
      <c r="AJ10" s="34">
        <v>3961</v>
      </c>
      <c r="AK10" s="34">
        <v>3961</v>
      </c>
      <c r="AL10" s="34">
        <v>3961</v>
      </c>
      <c r="AM10" s="33"/>
      <c r="AN10" s="33"/>
      <c r="AO10" s="33"/>
      <c r="AP10" s="33"/>
      <c r="AQ10" s="33"/>
      <c r="AR10" s="33"/>
      <c r="AS10" s="34">
        <v>3961</v>
      </c>
      <c r="AT10" s="33"/>
      <c r="AU10" s="33"/>
      <c r="AV10" s="34"/>
      <c r="AW10" s="34"/>
      <c r="AX10" s="34"/>
      <c r="AY10" s="34"/>
      <c r="AZ10" s="34"/>
      <c r="BA10" s="33"/>
      <c r="BB10" s="33"/>
      <c r="BC10" s="33"/>
      <c r="BD10" s="33"/>
      <c r="BE10" s="33"/>
      <c r="BF10" s="34"/>
      <c r="BG10" s="34"/>
      <c r="BH10" s="33"/>
      <c r="BI10" s="33"/>
      <c r="BJ10" s="33"/>
      <c r="BK10" s="33"/>
      <c r="BL10" s="33"/>
      <c r="BM10" s="34"/>
      <c r="BN10" s="34"/>
      <c r="BO10" s="33"/>
      <c r="BP10" s="34"/>
      <c r="BQ10" s="34"/>
      <c r="BR10" s="34"/>
      <c r="BS10" s="34"/>
      <c r="BT10" s="34"/>
      <c r="BU10" s="34"/>
      <c r="BV10" s="33"/>
      <c r="BW10" s="33"/>
      <c r="BX10" s="33"/>
      <c r="BY10" s="34"/>
      <c r="BZ10" s="34"/>
      <c r="CA10" s="34"/>
      <c r="CB10" s="35"/>
      <c r="CC10" s="33"/>
      <c r="CD10" s="33"/>
      <c r="CE10" s="33"/>
      <c r="CF10" s="33"/>
      <c r="CG10" s="33"/>
      <c r="CH10" s="33"/>
      <c r="CI10" s="34"/>
    </row>
    <row r="11" spans="1:87">
      <c r="D11" s="36"/>
      <c r="E11" s="36"/>
      <c r="F11" s="36">
        <v>9410</v>
      </c>
      <c r="G11" s="36">
        <v>9410</v>
      </c>
      <c r="H11" s="36">
        <v>9410</v>
      </c>
      <c r="I11" s="36">
        <v>9410</v>
      </c>
      <c r="J11" s="36">
        <v>9410</v>
      </c>
      <c r="K11" s="36">
        <v>8254</v>
      </c>
      <c r="L11" s="36">
        <v>8254</v>
      </c>
      <c r="M11" s="36">
        <v>8254</v>
      </c>
      <c r="N11" s="36">
        <v>8254</v>
      </c>
      <c r="O11" s="36">
        <v>8254</v>
      </c>
      <c r="P11" s="36">
        <v>8254</v>
      </c>
      <c r="Q11" s="36">
        <v>8254</v>
      </c>
      <c r="R11" s="36">
        <v>6603</v>
      </c>
      <c r="S11" s="36">
        <v>6603</v>
      </c>
      <c r="T11" s="36">
        <v>6603</v>
      </c>
      <c r="U11" s="36">
        <v>6603</v>
      </c>
      <c r="V11" s="36">
        <v>6603</v>
      </c>
      <c r="W11" s="36">
        <v>6603</v>
      </c>
      <c r="X11" s="36">
        <v>6603</v>
      </c>
      <c r="Y11" s="34">
        <v>3961</v>
      </c>
      <c r="Z11" s="34">
        <v>3961</v>
      </c>
      <c r="AA11" s="34">
        <v>3961</v>
      </c>
      <c r="AB11" s="34">
        <v>3961</v>
      </c>
      <c r="AC11" s="34">
        <v>3961</v>
      </c>
      <c r="AD11" s="34">
        <v>3961</v>
      </c>
      <c r="AE11" s="34">
        <v>3961</v>
      </c>
      <c r="AF11" s="34">
        <v>3961</v>
      </c>
      <c r="AG11" s="34">
        <v>3961</v>
      </c>
      <c r="AH11" s="34">
        <v>3961</v>
      </c>
      <c r="AI11" s="34">
        <v>3961</v>
      </c>
      <c r="AJ11" s="34">
        <v>3961</v>
      </c>
      <c r="AK11" s="34">
        <v>3961</v>
      </c>
      <c r="AL11" s="34">
        <v>3961</v>
      </c>
      <c r="AM11" s="34">
        <v>3961</v>
      </c>
      <c r="AN11" s="34">
        <v>3961</v>
      </c>
      <c r="AO11" s="36">
        <v>3924</v>
      </c>
      <c r="AP11" s="36">
        <v>3924</v>
      </c>
      <c r="AQ11" s="36">
        <v>3924</v>
      </c>
      <c r="AR11" s="36">
        <v>3924</v>
      </c>
      <c r="AS11" s="34">
        <v>3961</v>
      </c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7"/>
      <c r="CC11" s="36"/>
      <c r="CD11" s="36"/>
      <c r="CE11" s="36"/>
      <c r="CF11" s="36"/>
      <c r="CG11" s="36"/>
      <c r="CH11" s="36"/>
      <c r="CI11" s="36"/>
    </row>
    <row r="12" spans="1:87">
      <c r="D12" s="36">
        <v>8254</v>
      </c>
      <c r="E12" s="36">
        <v>8254</v>
      </c>
      <c r="F12" s="36">
        <v>8254</v>
      </c>
      <c r="G12" s="36">
        <v>8254</v>
      </c>
      <c r="H12" s="36">
        <v>8254</v>
      </c>
      <c r="I12" s="36">
        <v>8254</v>
      </c>
      <c r="J12" s="36">
        <v>8254</v>
      </c>
      <c r="K12" s="36">
        <v>8254</v>
      </c>
      <c r="L12" s="36">
        <v>8254</v>
      </c>
      <c r="M12" s="36">
        <v>8254</v>
      </c>
      <c r="N12" s="36">
        <v>8254</v>
      </c>
      <c r="O12" s="36">
        <v>8254</v>
      </c>
      <c r="P12" s="36">
        <v>8254</v>
      </c>
      <c r="Q12" s="36">
        <v>8254</v>
      </c>
      <c r="R12" s="36">
        <v>6603</v>
      </c>
      <c r="S12" s="36">
        <v>6603</v>
      </c>
      <c r="T12" s="36">
        <v>6603</v>
      </c>
      <c r="U12" s="36">
        <v>6603</v>
      </c>
      <c r="V12" s="36">
        <v>6603</v>
      </c>
      <c r="W12" s="36">
        <v>6603</v>
      </c>
      <c r="X12" s="36">
        <v>6438</v>
      </c>
      <c r="Y12" s="34">
        <v>3961</v>
      </c>
      <c r="Z12" s="34">
        <v>3961</v>
      </c>
      <c r="AA12" s="34">
        <v>3961</v>
      </c>
      <c r="AB12" s="34">
        <v>3961</v>
      </c>
      <c r="AC12" s="34">
        <v>3961</v>
      </c>
      <c r="AD12" s="34">
        <v>3961</v>
      </c>
      <c r="AE12" s="34">
        <v>3961</v>
      </c>
      <c r="AF12" s="34">
        <v>3961</v>
      </c>
      <c r="AG12" s="34">
        <v>3961</v>
      </c>
      <c r="AH12" s="34">
        <v>3961</v>
      </c>
      <c r="AI12" s="34">
        <v>3961</v>
      </c>
      <c r="AJ12" s="34">
        <v>3961</v>
      </c>
      <c r="AK12" s="34">
        <v>3961</v>
      </c>
      <c r="AL12" s="34">
        <v>3961</v>
      </c>
      <c r="AM12" s="36">
        <v>3924</v>
      </c>
      <c r="AN12" s="36">
        <v>3924</v>
      </c>
      <c r="AO12" s="36">
        <v>3924</v>
      </c>
      <c r="AP12" s="36">
        <v>3924</v>
      </c>
      <c r="AQ12" s="36">
        <v>3924</v>
      </c>
      <c r="AR12" s="36">
        <v>3924</v>
      </c>
      <c r="AS12" s="36">
        <v>3924</v>
      </c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7"/>
      <c r="CC12" s="36"/>
      <c r="CD12" s="36"/>
      <c r="CE12" s="36"/>
      <c r="CF12" s="36"/>
      <c r="CG12" s="36"/>
      <c r="CH12" s="36"/>
      <c r="CI12" s="36"/>
    </row>
    <row r="13" spans="1:87">
      <c r="D13" s="36">
        <v>8254</v>
      </c>
      <c r="E13" s="36">
        <v>8254</v>
      </c>
      <c r="F13" s="36">
        <v>8254</v>
      </c>
      <c r="G13" s="36">
        <v>8254</v>
      </c>
      <c r="H13" s="36">
        <v>8254</v>
      </c>
      <c r="I13" s="36">
        <v>8254</v>
      </c>
      <c r="J13" s="36">
        <v>8254</v>
      </c>
      <c r="K13" s="36">
        <v>8254</v>
      </c>
      <c r="L13" s="36">
        <v>8254</v>
      </c>
      <c r="M13" s="36">
        <v>8254</v>
      </c>
      <c r="N13" s="36">
        <v>8254</v>
      </c>
      <c r="O13" s="36">
        <v>8254</v>
      </c>
      <c r="P13" s="36">
        <v>8254</v>
      </c>
      <c r="Q13" s="36">
        <v>8254</v>
      </c>
      <c r="R13" s="36">
        <v>6438</v>
      </c>
      <c r="S13" s="36">
        <v>6438</v>
      </c>
      <c r="T13" s="36">
        <v>6438</v>
      </c>
      <c r="U13" s="36">
        <v>6438</v>
      </c>
      <c r="V13" s="36">
        <v>6438</v>
      </c>
      <c r="W13" s="36">
        <v>6438</v>
      </c>
      <c r="X13" s="36">
        <v>6438</v>
      </c>
      <c r="Y13" s="34">
        <v>3961</v>
      </c>
      <c r="Z13" s="34">
        <v>3961</v>
      </c>
      <c r="AA13" s="34">
        <v>3961</v>
      </c>
      <c r="AB13" s="34">
        <v>3961</v>
      </c>
      <c r="AC13" s="34">
        <v>3961</v>
      </c>
      <c r="AD13" s="34">
        <v>3961</v>
      </c>
      <c r="AE13" s="34">
        <v>3961</v>
      </c>
      <c r="AF13" s="34">
        <v>3961</v>
      </c>
      <c r="AG13" s="34">
        <v>3961</v>
      </c>
      <c r="AH13" s="34">
        <v>3961</v>
      </c>
      <c r="AI13" s="34">
        <v>3961</v>
      </c>
      <c r="AJ13" s="34">
        <v>3961</v>
      </c>
      <c r="AK13" s="34">
        <v>3961</v>
      </c>
      <c r="AL13" s="34">
        <v>3961</v>
      </c>
      <c r="AM13" s="36">
        <v>3924</v>
      </c>
      <c r="AN13" s="36">
        <v>3924</v>
      </c>
      <c r="AO13" s="36">
        <v>3924</v>
      </c>
      <c r="AP13" s="36">
        <v>3924</v>
      </c>
      <c r="AQ13" s="36">
        <v>3924</v>
      </c>
      <c r="AR13" s="36">
        <v>3924</v>
      </c>
      <c r="AS13" s="36">
        <v>3924</v>
      </c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7"/>
      <c r="CC13" s="36"/>
      <c r="CD13" s="36"/>
      <c r="CE13" s="36"/>
      <c r="CF13" s="36"/>
      <c r="CG13" s="36"/>
      <c r="CH13" s="36"/>
      <c r="CI13" s="36"/>
    </row>
    <row r="14" spans="1:87">
      <c r="D14" s="36">
        <v>8254</v>
      </c>
      <c r="E14" s="36">
        <v>8254</v>
      </c>
      <c r="F14" s="36">
        <v>8254</v>
      </c>
      <c r="G14" s="38"/>
      <c r="H14" s="38"/>
      <c r="I14" s="38"/>
      <c r="J14" s="38"/>
      <c r="K14" s="36">
        <v>6603</v>
      </c>
      <c r="L14" s="36">
        <v>6603</v>
      </c>
      <c r="M14" s="36">
        <v>6603</v>
      </c>
      <c r="N14" s="36">
        <v>6603</v>
      </c>
      <c r="O14" s="36">
        <v>6603</v>
      </c>
      <c r="P14" s="36">
        <v>6603</v>
      </c>
      <c r="Q14" s="38"/>
      <c r="R14" s="36">
        <v>6438</v>
      </c>
      <c r="S14" s="36">
        <v>6438</v>
      </c>
      <c r="T14" s="36">
        <v>6438</v>
      </c>
      <c r="U14" s="36">
        <v>6438</v>
      </c>
      <c r="V14" s="36">
        <v>6438</v>
      </c>
      <c r="W14" s="36">
        <v>6438</v>
      </c>
      <c r="X14" s="36">
        <v>6438</v>
      </c>
      <c r="Y14" s="34">
        <v>3961</v>
      </c>
      <c r="Z14" s="34">
        <v>3961</v>
      </c>
      <c r="AA14" s="34">
        <v>3961</v>
      </c>
      <c r="AB14" s="34">
        <v>3961</v>
      </c>
      <c r="AC14" s="38"/>
      <c r="AD14" s="38"/>
      <c r="AE14" s="38"/>
      <c r="AF14" s="34">
        <v>3961</v>
      </c>
      <c r="AG14" s="34">
        <v>3961</v>
      </c>
      <c r="AH14" s="34">
        <v>3961</v>
      </c>
      <c r="AI14" s="34">
        <v>3961</v>
      </c>
      <c r="AJ14" s="34">
        <v>3961</v>
      </c>
      <c r="AK14" s="34">
        <v>3961</v>
      </c>
      <c r="AL14" s="38"/>
      <c r="AM14" s="36">
        <v>3924</v>
      </c>
      <c r="AN14" s="36">
        <v>3924</v>
      </c>
      <c r="AO14" s="36">
        <v>3924</v>
      </c>
      <c r="AP14" s="36">
        <v>3924</v>
      </c>
      <c r="AQ14" s="36">
        <v>3924</v>
      </c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8"/>
      <c r="BG14" s="38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8"/>
      <c r="BS14" s="38"/>
      <c r="BT14" s="38"/>
      <c r="BU14" s="38"/>
      <c r="BV14" s="36"/>
      <c r="BW14" s="36"/>
      <c r="BX14" s="36"/>
      <c r="BY14" s="36"/>
      <c r="BZ14" s="36"/>
      <c r="CA14" s="36"/>
      <c r="CB14" s="39"/>
      <c r="CC14" s="36"/>
      <c r="CD14" s="36"/>
      <c r="CE14" s="36"/>
      <c r="CF14" s="36"/>
      <c r="CG14" s="36"/>
      <c r="CH14" s="36"/>
      <c r="CI14" s="36"/>
    </row>
    <row r="15" spans="1:87"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6">
        <v>6438</v>
      </c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6"/>
      <c r="AN15" s="36"/>
      <c r="AO15" s="38"/>
      <c r="AP15" s="38"/>
      <c r="AQ15" s="38"/>
      <c r="AR15" s="38"/>
      <c r="AS15" s="38"/>
      <c r="AT15" s="36"/>
      <c r="AU15" s="36"/>
      <c r="AV15" s="36"/>
      <c r="AW15" s="36"/>
      <c r="AX15" s="36"/>
      <c r="AY15" s="38"/>
      <c r="AZ15" s="38"/>
      <c r="BA15" s="38"/>
      <c r="BB15" s="38"/>
      <c r="BC15" s="38"/>
      <c r="BD15" s="38"/>
      <c r="BE15" s="38"/>
      <c r="BF15" s="38"/>
      <c r="BG15" s="38"/>
      <c r="BH15" s="36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9"/>
      <c r="CC15" s="36"/>
      <c r="CD15" s="38"/>
      <c r="CE15" s="38"/>
      <c r="CF15" s="38"/>
      <c r="CG15" s="38"/>
      <c r="CH15" s="38"/>
      <c r="CI15" s="38"/>
    </row>
    <row r="16" spans="1:87">
      <c r="D16" s="103">
        <f t="shared" ref="D16" si="11">AVERAGE(D10:J15)</f>
        <v>8516.7272727272721</v>
      </c>
      <c r="E16" s="104"/>
      <c r="F16" s="104"/>
      <c r="G16" s="104"/>
      <c r="H16" s="104"/>
      <c r="I16" s="104"/>
      <c r="J16" s="105"/>
      <c r="K16" s="103">
        <f t="shared" ref="K16" si="12">AVERAGE(K10:Q15)</f>
        <v>7934.4516129032254</v>
      </c>
      <c r="L16" s="104"/>
      <c r="M16" s="104"/>
      <c r="N16" s="104"/>
      <c r="O16" s="104"/>
      <c r="P16" s="104"/>
      <c r="Q16" s="105"/>
      <c r="R16" s="103">
        <f t="shared" ref="R16" si="13">AVERAGE(R10:X15)</f>
        <v>6515</v>
      </c>
      <c r="S16" s="104"/>
      <c r="T16" s="104"/>
      <c r="U16" s="104"/>
      <c r="V16" s="104"/>
      <c r="W16" s="104"/>
      <c r="X16" s="105"/>
      <c r="Y16" s="103">
        <f t="shared" ref="Y16" si="14">AVERAGE(Y10:AE15)</f>
        <v>3961</v>
      </c>
      <c r="Z16" s="104"/>
      <c r="AA16" s="104"/>
      <c r="AB16" s="104"/>
      <c r="AC16" s="104"/>
      <c r="AD16" s="104"/>
      <c r="AE16" s="105"/>
      <c r="AF16" s="103">
        <f t="shared" ref="AF16" si="15">AVERAGE(AF10:AL15)</f>
        <v>3961</v>
      </c>
      <c r="AG16" s="104"/>
      <c r="AH16" s="104"/>
      <c r="AI16" s="104"/>
      <c r="AJ16" s="104"/>
      <c r="AK16" s="104"/>
      <c r="AL16" s="105"/>
      <c r="AM16" s="103">
        <f t="shared" ref="AM16" si="16">AVERAGE(AM10:AS15)</f>
        <v>3929.4814814814813</v>
      </c>
      <c r="AN16" s="104"/>
      <c r="AO16" s="104"/>
      <c r="AP16" s="104"/>
      <c r="AQ16" s="104"/>
      <c r="AR16" s="104"/>
      <c r="AS16" s="105"/>
      <c r="AT16" s="103" t="e">
        <f t="shared" ref="AT16" si="17">AVERAGE(AT10:AZ15)</f>
        <v>#DIV/0!</v>
      </c>
      <c r="AU16" s="104"/>
      <c r="AV16" s="104"/>
      <c r="AW16" s="104"/>
      <c r="AX16" s="104"/>
      <c r="AY16" s="104"/>
      <c r="AZ16" s="105"/>
      <c r="BA16" s="103" t="e">
        <f t="shared" ref="BA16" si="18">AVERAGE(BA10:BG15)</f>
        <v>#DIV/0!</v>
      </c>
      <c r="BB16" s="104"/>
      <c r="BC16" s="104"/>
      <c r="BD16" s="104"/>
      <c r="BE16" s="104"/>
      <c r="BF16" s="104"/>
      <c r="BG16" s="105"/>
      <c r="BH16" s="103" t="e">
        <f t="shared" ref="BH16" si="19">AVERAGE(BH10:BN15)</f>
        <v>#DIV/0!</v>
      </c>
      <c r="BI16" s="104"/>
      <c r="BJ16" s="104"/>
      <c r="BK16" s="104"/>
      <c r="BL16" s="104"/>
      <c r="BM16" s="104"/>
      <c r="BN16" s="105"/>
      <c r="BO16" s="103" t="e">
        <f t="shared" ref="BO16" si="20">AVERAGE(BO10:BU15)</f>
        <v>#DIV/0!</v>
      </c>
      <c r="BP16" s="104"/>
      <c r="BQ16" s="104"/>
      <c r="BR16" s="104"/>
      <c r="BS16" s="104"/>
      <c r="BT16" s="104"/>
      <c r="BU16" s="105"/>
      <c r="BV16" s="103" t="e">
        <f t="shared" ref="BV16" si="21">AVERAGE(BV10:CB15)</f>
        <v>#DIV/0!</v>
      </c>
      <c r="BW16" s="104"/>
      <c r="BX16" s="104"/>
      <c r="BY16" s="104"/>
      <c r="BZ16" s="104"/>
      <c r="CA16" s="104"/>
      <c r="CB16" s="105"/>
      <c r="CC16" s="103" t="e">
        <f>AVERAGE(CC10:CI15)</f>
        <v>#DIV/0!</v>
      </c>
      <c r="CD16" s="104"/>
      <c r="CE16" s="104"/>
      <c r="CF16" s="104"/>
      <c r="CG16" s="104"/>
      <c r="CH16" s="104"/>
      <c r="CI16" s="105"/>
    </row>
    <row r="18" spans="1:87">
      <c r="A18" s="32" t="s">
        <v>46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4">
        <v>13500</v>
      </c>
      <c r="O18" s="34">
        <v>13500</v>
      </c>
      <c r="P18" s="34">
        <v>13500</v>
      </c>
      <c r="Q18" s="34">
        <v>13500</v>
      </c>
      <c r="R18" s="33"/>
      <c r="S18" s="33"/>
      <c r="T18" s="33"/>
      <c r="U18" s="33"/>
      <c r="V18" s="33"/>
      <c r="W18" s="33"/>
      <c r="X18" s="34"/>
      <c r="Y18" s="33"/>
      <c r="Z18" s="34"/>
      <c r="AA18" s="34"/>
      <c r="AB18" s="34"/>
      <c r="AC18" s="34"/>
      <c r="AD18" s="34"/>
      <c r="AE18" s="34"/>
      <c r="AF18" s="33"/>
      <c r="AG18" s="33"/>
      <c r="AH18" s="33"/>
      <c r="AI18" s="33"/>
      <c r="AJ18" s="34">
        <v>7826</v>
      </c>
      <c r="AK18" s="34"/>
      <c r="AL18" s="34"/>
      <c r="AM18" s="33"/>
      <c r="AN18" s="33"/>
      <c r="AO18" s="33"/>
      <c r="AP18" s="33"/>
      <c r="AQ18" s="33"/>
      <c r="AR18" s="33"/>
      <c r="AS18" s="34"/>
      <c r="AT18" s="33"/>
      <c r="AU18" s="33"/>
      <c r="AV18" s="34"/>
      <c r="AW18" s="34"/>
      <c r="AX18" s="34"/>
      <c r="AY18" s="34"/>
      <c r="AZ18" s="34"/>
      <c r="BA18" s="33"/>
      <c r="BB18" s="33"/>
      <c r="BC18" s="33"/>
      <c r="BD18" s="33"/>
      <c r="BE18" s="33"/>
      <c r="BF18" s="34"/>
      <c r="BG18" s="34"/>
      <c r="BH18" s="33"/>
      <c r="BI18" s="33"/>
      <c r="BJ18" s="33"/>
      <c r="BK18" s="33"/>
      <c r="BL18" s="33"/>
      <c r="BM18" s="34"/>
      <c r="BN18" s="34"/>
      <c r="BO18" s="33"/>
      <c r="BP18" s="34"/>
      <c r="BQ18" s="34"/>
      <c r="BR18" s="34"/>
      <c r="BS18" s="34"/>
      <c r="BT18" s="34"/>
      <c r="BU18" s="34"/>
      <c r="BV18" s="33"/>
      <c r="BW18" s="33"/>
      <c r="BX18" s="33"/>
      <c r="BY18" s="34"/>
      <c r="BZ18" s="34"/>
      <c r="CA18" s="34"/>
      <c r="CB18" s="35"/>
      <c r="CC18" s="33"/>
      <c r="CD18" s="33"/>
      <c r="CE18" s="33"/>
      <c r="CF18" s="33"/>
      <c r="CG18" s="33"/>
      <c r="CH18" s="33"/>
      <c r="CI18" s="34"/>
    </row>
    <row r="19" spans="1:87">
      <c r="D19" s="36">
        <v>12400</v>
      </c>
      <c r="E19" s="36">
        <v>12400</v>
      </c>
      <c r="F19" s="36">
        <v>12400</v>
      </c>
      <c r="G19" s="36">
        <v>15200</v>
      </c>
      <c r="H19" s="36">
        <v>13200</v>
      </c>
      <c r="I19" s="36">
        <v>13200</v>
      </c>
      <c r="J19" s="36">
        <v>13200</v>
      </c>
      <c r="K19" s="36">
        <v>13500</v>
      </c>
      <c r="L19" s="36">
        <v>15500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6"/>
      <c r="AP19" s="36"/>
      <c r="AQ19" s="36"/>
      <c r="AR19" s="36"/>
      <c r="AS19" s="34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7"/>
      <c r="CC19" s="36"/>
      <c r="CD19" s="36"/>
      <c r="CE19" s="36"/>
      <c r="CF19" s="36"/>
      <c r="CG19" s="36"/>
      <c r="CH19" s="36"/>
      <c r="CI19" s="36"/>
    </row>
    <row r="20" spans="1:87">
      <c r="D20" s="36">
        <v>13200</v>
      </c>
      <c r="E20" s="36">
        <v>13200</v>
      </c>
      <c r="F20" s="36">
        <v>13200</v>
      </c>
      <c r="G20" s="36">
        <v>13200</v>
      </c>
      <c r="H20" s="36">
        <v>13200</v>
      </c>
      <c r="I20" s="36">
        <v>13200</v>
      </c>
      <c r="J20" s="36">
        <v>13500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7"/>
      <c r="CC20" s="36"/>
      <c r="CD20" s="36"/>
      <c r="CE20" s="36"/>
      <c r="CF20" s="36"/>
      <c r="CG20" s="36"/>
      <c r="CH20" s="36"/>
      <c r="CI20" s="36"/>
    </row>
    <row r="21" spans="1:87">
      <c r="D21" s="36">
        <v>15500</v>
      </c>
      <c r="E21" s="36">
        <v>13500</v>
      </c>
      <c r="F21" s="36">
        <v>13500</v>
      </c>
      <c r="G21" s="36">
        <v>13500</v>
      </c>
      <c r="H21" s="36">
        <v>13500</v>
      </c>
      <c r="I21" s="36">
        <v>13500</v>
      </c>
      <c r="J21" s="36">
        <v>13500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7"/>
      <c r="CC21" s="36"/>
      <c r="CD21" s="36"/>
      <c r="CE21" s="36"/>
      <c r="CF21" s="36"/>
      <c r="CG21" s="36"/>
      <c r="CH21" s="36"/>
      <c r="CI21" s="36"/>
    </row>
    <row r="22" spans="1:87">
      <c r="D22" s="36">
        <v>13500</v>
      </c>
      <c r="E22" s="36">
        <v>13500</v>
      </c>
      <c r="F22" s="36">
        <v>13500</v>
      </c>
      <c r="G22" s="38"/>
      <c r="H22" s="38"/>
      <c r="I22" s="38"/>
      <c r="J22" s="38"/>
      <c r="K22" s="36"/>
      <c r="L22" s="36"/>
      <c r="M22" s="36"/>
      <c r="N22" s="36"/>
      <c r="O22" s="36"/>
      <c r="P22" s="36">
        <v>13300</v>
      </c>
      <c r="Q22" s="38"/>
      <c r="R22" s="36"/>
      <c r="S22" s="36"/>
      <c r="T22" s="36"/>
      <c r="U22" s="36"/>
      <c r="V22" s="36">
        <v>9464</v>
      </c>
      <c r="W22" s="36"/>
      <c r="X22" s="36"/>
      <c r="Y22" s="34"/>
      <c r="Z22" s="34"/>
      <c r="AA22" s="34"/>
      <c r="AB22" s="34"/>
      <c r="AC22" s="38"/>
      <c r="AD22" s="38"/>
      <c r="AE22" s="38"/>
      <c r="AF22" s="34"/>
      <c r="AG22" s="34"/>
      <c r="AH22" s="34"/>
      <c r="AI22" s="34"/>
      <c r="AJ22" s="34"/>
      <c r="AK22" s="34"/>
      <c r="AL22" s="38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8"/>
      <c r="BG22" s="38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8"/>
      <c r="BS22" s="38"/>
      <c r="BT22" s="38"/>
      <c r="BU22" s="38"/>
      <c r="BV22" s="36"/>
      <c r="BW22" s="36"/>
      <c r="BX22" s="36"/>
      <c r="BY22" s="36"/>
      <c r="BZ22" s="36"/>
      <c r="CA22" s="36"/>
      <c r="CB22" s="39"/>
      <c r="CC22" s="36"/>
      <c r="CD22" s="36"/>
      <c r="CE22" s="36"/>
      <c r="CF22" s="36"/>
      <c r="CG22" s="36"/>
      <c r="CH22" s="36"/>
      <c r="CI22" s="36"/>
    </row>
    <row r="23" spans="1:87"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6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6"/>
      <c r="AN23" s="36"/>
      <c r="AO23" s="38"/>
      <c r="AP23" s="38"/>
      <c r="AQ23" s="38"/>
      <c r="AR23" s="38"/>
      <c r="AS23" s="38"/>
      <c r="AT23" s="36"/>
      <c r="AU23" s="36"/>
      <c r="AV23" s="36"/>
      <c r="AW23" s="36"/>
      <c r="AX23" s="36"/>
      <c r="AY23" s="38"/>
      <c r="AZ23" s="38"/>
      <c r="BA23" s="38"/>
      <c r="BB23" s="38"/>
      <c r="BC23" s="38"/>
      <c r="BD23" s="38"/>
      <c r="BE23" s="38"/>
      <c r="BF23" s="38"/>
      <c r="BG23" s="38"/>
      <c r="BH23" s="36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9"/>
      <c r="CC23" s="36"/>
      <c r="CD23" s="38"/>
      <c r="CE23" s="38"/>
      <c r="CF23" s="38"/>
      <c r="CG23" s="38"/>
      <c r="CH23" s="38"/>
      <c r="CI23" s="38"/>
    </row>
    <row r="24" spans="1:87">
      <c r="D24" s="103">
        <f t="shared" ref="D24" si="22">AVERAGE(D18:J23)</f>
        <v>13404.166666666666</v>
      </c>
      <c r="E24" s="104"/>
      <c r="F24" s="104"/>
      <c r="G24" s="104"/>
      <c r="H24" s="104"/>
      <c r="I24" s="104"/>
      <c r="J24" s="105"/>
      <c r="K24" s="103">
        <f t="shared" ref="K24" si="23">AVERAGE(K18:Q23)</f>
        <v>13757.142857142857</v>
      </c>
      <c r="L24" s="104"/>
      <c r="M24" s="104"/>
      <c r="N24" s="104"/>
      <c r="O24" s="104"/>
      <c r="P24" s="104"/>
      <c r="Q24" s="105"/>
      <c r="R24" s="103">
        <f t="shared" ref="R24" si="24">AVERAGE(R18:X23)</f>
        <v>9464</v>
      </c>
      <c r="S24" s="104"/>
      <c r="T24" s="104"/>
      <c r="U24" s="104"/>
      <c r="V24" s="104"/>
      <c r="W24" s="104"/>
      <c r="X24" s="105"/>
      <c r="Y24" s="103" t="e">
        <f t="shared" ref="Y24" si="25">AVERAGE(Y18:AE23)</f>
        <v>#DIV/0!</v>
      </c>
      <c r="Z24" s="104"/>
      <c r="AA24" s="104"/>
      <c r="AB24" s="104"/>
      <c r="AC24" s="104"/>
      <c r="AD24" s="104"/>
      <c r="AE24" s="105"/>
      <c r="AF24" s="103">
        <f t="shared" ref="AF24" si="26">AVERAGE(AF18:AL23)</f>
        <v>7826</v>
      </c>
      <c r="AG24" s="104"/>
      <c r="AH24" s="104"/>
      <c r="AI24" s="104"/>
      <c r="AJ24" s="104"/>
      <c r="AK24" s="104"/>
      <c r="AL24" s="105"/>
      <c r="AM24" s="103" t="e">
        <f t="shared" ref="AM24" si="27">AVERAGE(AM18:AS23)</f>
        <v>#DIV/0!</v>
      </c>
      <c r="AN24" s="104"/>
      <c r="AO24" s="104"/>
      <c r="AP24" s="104"/>
      <c r="AQ24" s="104"/>
      <c r="AR24" s="104"/>
      <c r="AS24" s="105"/>
      <c r="AT24" s="103" t="e">
        <f t="shared" ref="AT24" si="28">AVERAGE(AT18:AZ23)</f>
        <v>#DIV/0!</v>
      </c>
      <c r="AU24" s="104"/>
      <c r="AV24" s="104"/>
      <c r="AW24" s="104"/>
      <c r="AX24" s="104"/>
      <c r="AY24" s="104"/>
      <c r="AZ24" s="105"/>
      <c r="BA24" s="103" t="e">
        <f t="shared" ref="BA24" si="29">AVERAGE(BA18:BG23)</f>
        <v>#DIV/0!</v>
      </c>
      <c r="BB24" s="104"/>
      <c r="BC24" s="104"/>
      <c r="BD24" s="104"/>
      <c r="BE24" s="104"/>
      <c r="BF24" s="104"/>
      <c r="BG24" s="105"/>
      <c r="BH24" s="103" t="e">
        <f t="shared" ref="BH24" si="30">AVERAGE(BH18:BN23)</f>
        <v>#DIV/0!</v>
      </c>
      <c r="BI24" s="104"/>
      <c r="BJ24" s="104"/>
      <c r="BK24" s="104"/>
      <c r="BL24" s="104"/>
      <c r="BM24" s="104"/>
      <c r="BN24" s="105"/>
      <c r="BO24" s="103" t="e">
        <f t="shared" ref="BO24" si="31">AVERAGE(BO18:BU23)</f>
        <v>#DIV/0!</v>
      </c>
      <c r="BP24" s="104"/>
      <c r="BQ24" s="104"/>
      <c r="BR24" s="104"/>
      <c r="BS24" s="104"/>
      <c r="BT24" s="104"/>
      <c r="BU24" s="105"/>
      <c r="BV24" s="103" t="e">
        <f t="shared" ref="BV24" si="32">AVERAGE(BV18:CB23)</f>
        <v>#DIV/0!</v>
      </c>
      <c r="BW24" s="104"/>
      <c r="BX24" s="104"/>
      <c r="BY24" s="104"/>
      <c r="BZ24" s="104"/>
      <c r="CA24" s="104"/>
      <c r="CB24" s="105"/>
      <c r="CC24" s="103" t="e">
        <f>AVERAGE(CC18:CI23)</f>
        <v>#DIV/0!</v>
      </c>
      <c r="CD24" s="104"/>
      <c r="CE24" s="104"/>
      <c r="CF24" s="104"/>
      <c r="CG24" s="104"/>
      <c r="CH24" s="104"/>
      <c r="CI24" s="105"/>
    </row>
    <row r="26" spans="1:87">
      <c r="A26" s="32" t="s">
        <v>47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>
        <v>7735</v>
      </c>
      <c r="O26" s="34">
        <v>7735</v>
      </c>
      <c r="P26" s="34">
        <v>7735</v>
      </c>
      <c r="Q26" s="34">
        <v>7735</v>
      </c>
      <c r="R26" s="33"/>
      <c r="S26" s="33"/>
      <c r="T26" s="33"/>
      <c r="U26" s="33"/>
      <c r="V26" s="33"/>
      <c r="W26" s="33"/>
      <c r="X26" s="34">
        <v>7280</v>
      </c>
      <c r="Y26" s="33"/>
      <c r="Z26" s="34">
        <v>4277</v>
      </c>
      <c r="AA26" s="34"/>
      <c r="AB26" s="34"/>
      <c r="AC26" s="34"/>
      <c r="AD26" s="34"/>
      <c r="AE26" s="34"/>
      <c r="AF26" s="33"/>
      <c r="AG26" s="33"/>
      <c r="AH26" s="33"/>
      <c r="AI26" s="33"/>
      <c r="AJ26" s="34">
        <v>4277</v>
      </c>
      <c r="AK26" s="34"/>
      <c r="AL26" s="34"/>
      <c r="AM26" s="33"/>
      <c r="AN26" s="33"/>
      <c r="AO26" s="33"/>
      <c r="AP26" s="33"/>
      <c r="AQ26" s="33"/>
      <c r="AR26" s="33"/>
      <c r="AS26" s="34"/>
      <c r="AT26" s="33"/>
      <c r="AU26" s="33"/>
      <c r="AV26" s="34"/>
      <c r="AW26" s="34"/>
      <c r="AX26" s="34"/>
      <c r="AY26" s="34"/>
      <c r="AZ26" s="34"/>
      <c r="BA26" s="33"/>
      <c r="BB26" s="33"/>
      <c r="BC26" s="33"/>
      <c r="BD26" s="33"/>
      <c r="BE26" s="33"/>
      <c r="BF26" s="34"/>
      <c r="BG26" s="34"/>
      <c r="BH26" s="33"/>
      <c r="BI26" s="33"/>
      <c r="BJ26" s="33"/>
      <c r="BK26" s="33"/>
      <c r="BL26" s="33"/>
      <c r="BM26" s="34"/>
      <c r="BN26" s="34"/>
      <c r="BO26" s="33"/>
      <c r="BP26" s="34"/>
      <c r="BQ26" s="34"/>
      <c r="BR26" s="34"/>
      <c r="BS26" s="34"/>
      <c r="BT26" s="34"/>
      <c r="BU26" s="34"/>
      <c r="BV26" s="33"/>
      <c r="BW26" s="33"/>
      <c r="BX26" s="33"/>
      <c r="BY26" s="34"/>
      <c r="BZ26" s="34"/>
      <c r="CA26" s="34"/>
      <c r="CB26" s="35"/>
      <c r="CC26" s="33"/>
      <c r="CD26" s="33"/>
      <c r="CE26" s="33"/>
      <c r="CF26" s="33"/>
      <c r="CG26" s="33"/>
      <c r="CH26" s="33"/>
      <c r="CI26" s="34"/>
    </row>
    <row r="27" spans="1:87">
      <c r="D27" s="36">
        <v>6825</v>
      </c>
      <c r="E27" s="36">
        <v>6825</v>
      </c>
      <c r="F27" s="36">
        <v>8645</v>
      </c>
      <c r="G27" s="36">
        <v>7735</v>
      </c>
      <c r="H27" s="36">
        <v>7735</v>
      </c>
      <c r="I27" s="36">
        <v>7735</v>
      </c>
      <c r="J27" s="36">
        <v>7735</v>
      </c>
      <c r="K27" s="36">
        <v>8645</v>
      </c>
      <c r="L27" s="36">
        <v>8645</v>
      </c>
      <c r="M27" s="36"/>
      <c r="N27" s="36"/>
      <c r="O27" s="36"/>
      <c r="P27" s="36"/>
      <c r="Q27" s="36"/>
      <c r="R27" s="36">
        <v>7280</v>
      </c>
      <c r="S27" s="36"/>
      <c r="T27" s="36"/>
      <c r="U27" s="36"/>
      <c r="V27" s="36"/>
      <c r="W27" s="36"/>
      <c r="X27" s="36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6"/>
      <c r="AP27" s="36"/>
      <c r="AQ27" s="36"/>
      <c r="AR27" s="36"/>
      <c r="AS27" s="34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7"/>
      <c r="CC27" s="36"/>
      <c r="CD27" s="36"/>
      <c r="CE27" s="36"/>
      <c r="CF27" s="36"/>
      <c r="CG27" s="36"/>
      <c r="CH27" s="36"/>
      <c r="CI27" s="36"/>
    </row>
    <row r="28" spans="1:87">
      <c r="D28" s="36">
        <v>7735</v>
      </c>
      <c r="E28" s="36">
        <v>7735</v>
      </c>
      <c r="F28" s="36">
        <v>7735</v>
      </c>
      <c r="G28" s="36">
        <v>7735</v>
      </c>
      <c r="H28" s="36">
        <v>7735</v>
      </c>
      <c r="I28" s="36">
        <v>7735</v>
      </c>
      <c r="J28" s="36">
        <v>7735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7"/>
      <c r="CC28" s="36"/>
      <c r="CD28" s="36"/>
      <c r="CE28" s="36"/>
      <c r="CF28" s="36"/>
      <c r="CG28" s="36"/>
      <c r="CH28" s="36"/>
      <c r="CI28" s="36"/>
    </row>
    <row r="29" spans="1:87">
      <c r="D29" s="36">
        <v>7735</v>
      </c>
      <c r="E29" s="36">
        <v>8645</v>
      </c>
      <c r="F29" s="36">
        <v>8645</v>
      </c>
      <c r="G29" s="36">
        <v>8645</v>
      </c>
      <c r="H29" s="36">
        <v>10500</v>
      </c>
      <c r="I29" s="36">
        <v>10500</v>
      </c>
      <c r="J29" s="36">
        <v>10500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7"/>
      <c r="CC29" s="36"/>
      <c r="CD29" s="36"/>
      <c r="CE29" s="36"/>
      <c r="CF29" s="36"/>
      <c r="CG29" s="36"/>
      <c r="CH29" s="36"/>
      <c r="CI29" s="36"/>
    </row>
    <row r="30" spans="1:87">
      <c r="D30" s="36">
        <v>8645</v>
      </c>
      <c r="E30" s="36">
        <v>8645</v>
      </c>
      <c r="F30" s="36">
        <v>7735</v>
      </c>
      <c r="G30" s="38"/>
      <c r="H30" s="38"/>
      <c r="I30" s="38"/>
      <c r="J30" s="38"/>
      <c r="K30" s="36"/>
      <c r="L30" s="36"/>
      <c r="M30" s="36">
        <v>9555</v>
      </c>
      <c r="N30" s="36"/>
      <c r="O30" s="36"/>
      <c r="P30" s="36">
        <v>9555</v>
      </c>
      <c r="Q30" s="38"/>
      <c r="R30" s="36"/>
      <c r="S30" s="36"/>
      <c r="T30" s="36"/>
      <c r="U30" s="36"/>
      <c r="V30" s="36"/>
      <c r="W30" s="36"/>
      <c r="X30" s="36"/>
      <c r="Y30" s="34"/>
      <c r="Z30" s="34"/>
      <c r="AA30" s="34"/>
      <c r="AB30" s="34"/>
      <c r="AC30" s="38"/>
      <c r="AD30" s="38"/>
      <c r="AE30" s="38"/>
      <c r="AF30" s="34"/>
      <c r="AG30" s="34"/>
      <c r="AH30" s="34"/>
      <c r="AI30" s="34"/>
      <c r="AJ30" s="34"/>
      <c r="AK30" s="34"/>
      <c r="AL30" s="38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8"/>
      <c r="BG30" s="38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8"/>
      <c r="BS30" s="38"/>
      <c r="BT30" s="38"/>
      <c r="BU30" s="38"/>
      <c r="BV30" s="36"/>
      <c r="BW30" s="36"/>
      <c r="BX30" s="36"/>
      <c r="BY30" s="36"/>
      <c r="BZ30" s="36"/>
      <c r="CA30" s="36"/>
      <c r="CB30" s="39"/>
      <c r="CC30" s="36"/>
      <c r="CD30" s="36"/>
      <c r="CE30" s="36"/>
      <c r="CF30" s="36"/>
      <c r="CG30" s="36"/>
      <c r="CH30" s="36"/>
      <c r="CI30" s="36"/>
    </row>
    <row r="31" spans="1:87"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6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6"/>
      <c r="AN31" s="36"/>
      <c r="AO31" s="38"/>
      <c r="AP31" s="38"/>
      <c r="AQ31" s="38"/>
      <c r="AR31" s="38"/>
      <c r="AS31" s="38"/>
      <c r="AT31" s="36"/>
      <c r="AU31" s="36"/>
      <c r="AV31" s="36"/>
      <c r="AW31" s="36"/>
      <c r="AX31" s="36"/>
      <c r="AY31" s="38"/>
      <c r="AZ31" s="38"/>
      <c r="BA31" s="38"/>
      <c r="BB31" s="38"/>
      <c r="BC31" s="38"/>
      <c r="BD31" s="38"/>
      <c r="BE31" s="38"/>
      <c r="BF31" s="38"/>
      <c r="BG31" s="38"/>
      <c r="BH31" s="36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9"/>
      <c r="CC31" s="36"/>
      <c r="CD31" s="38"/>
      <c r="CE31" s="38"/>
      <c r="CF31" s="38"/>
      <c r="CG31" s="38"/>
      <c r="CH31" s="38"/>
      <c r="CI31" s="38"/>
    </row>
    <row r="32" spans="1:87">
      <c r="D32" s="103">
        <f t="shared" ref="D32" si="33">AVERAGE(D26:J31)</f>
        <v>8232.2916666666661</v>
      </c>
      <c r="E32" s="104"/>
      <c r="F32" s="104"/>
      <c r="G32" s="104"/>
      <c r="H32" s="104"/>
      <c r="I32" s="104"/>
      <c r="J32" s="105"/>
      <c r="K32" s="103">
        <f t="shared" ref="K32" si="34">AVERAGE(K26:Q31)</f>
        <v>8417.5</v>
      </c>
      <c r="L32" s="104"/>
      <c r="M32" s="104"/>
      <c r="N32" s="104"/>
      <c r="O32" s="104"/>
      <c r="P32" s="104"/>
      <c r="Q32" s="105"/>
      <c r="R32" s="103">
        <f t="shared" ref="R32" si="35">AVERAGE(R26:X31)</f>
        <v>7280</v>
      </c>
      <c r="S32" s="104"/>
      <c r="T32" s="104"/>
      <c r="U32" s="104"/>
      <c r="V32" s="104"/>
      <c r="W32" s="104"/>
      <c r="X32" s="105"/>
      <c r="Y32" s="103">
        <f t="shared" ref="Y32" si="36">AVERAGE(Y26:AE31)</f>
        <v>4277</v>
      </c>
      <c r="Z32" s="104"/>
      <c r="AA32" s="104"/>
      <c r="AB32" s="104"/>
      <c r="AC32" s="104"/>
      <c r="AD32" s="104"/>
      <c r="AE32" s="105"/>
      <c r="AF32" s="103">
        <f t="shared" ref="AF32" si="37">AVERAGE(AF26:AL31)</f>
        <v>4277</v>
      </c>
      <c r="AG32" s="104"/>
      <c r="AH32" s="104"/>
      <c r="AI32" s="104"/>
      <c r="AJ32" s="104"/>
      <c r="AK32" s="104"/>
      <c r="AL32" s="105"/>
      <c r="AM32" s="103" t="e">
        <f t="shared" ref="AM32" si="38">AVERAGE(AM26:AS31)</f>
        <v>#DIV/0!</v>
      </c>
      <c r="AN32" s="104"/>
      <c r="AO32" s="104"/>
      <c r="AP32" s="104"/>
      <c r="AQ32" s="104"/>
      <c r="AR32" s="104"/>
      <c r="AS32" s="105"/>
      <c r="AT32" s="103" t="e">
        <f t="shared" ref="AT32" si="39">AVERAGE(AT26:AZ31)</f>
        <v>#DIV/0!</v>
      </c>
      <c r="AU32" s="104"/>
      <c r="AV32" s="104"/>
      <c r="AW32" s="104"/>
      <c r="AX32" s="104"/>
      <c r="AY32" s="104"/>
      <c r="AZ32" s="105"/>
      <c r="BA32" s="103" t="e">
        <f t="shared" ref="BA32" si="40">AVERAGE(BA26:BG31)</f>
        <v>#DIV/0!</v>
      </c>
      <c r="BB32" s="104"/>
      <c r="BC32" s="104"/>
      <c r="BD32" s="104"/>
      <c r="BE32" s="104"/>
      <c r="BF32" s="104"/>
      <c r="BG32" s="105"/>
      <c r="BH32" s="103" t="e">
        <f t="shared" ref="BH32" si="41">AVERAGE(BH26:BN31)</f>
        <v>#DIV/0!</v>
      </c>
      <c r="BI32" s="104"/>
      <c r="BJ32" s="104"/>
      <c r="BK32" s="104"/>
      <c r="BL32" s="104"/>
      <c r="BM32" s="104"/>
      <c r="BN32" s="105"/>
      <c r="BO32" s="103" t="e">
        <f t="shared" ref="BO32" si="42">AVERAGE(BO26:BU31)</f>
        <v>#DIV/0!</v>
      </c>
      <c r="BP32" s="104"/>
      <c r="BQ32" s="104"/>
      <c r="BR32" s="104"/>
      <c r="BS32" s="104"/>
      <c r="BT32" s="104"/>
      <c r="BU32" s="105"/>
      <c r="BV32" s="103" t="e">
        <f t="shared" ref="BV32" si="43">AVERAGE(BV26:CB31)</f>
        <v>#DIV/0!</v>
      </c>
      <c r="BW32" s="104"/>
      <c r="BX32" s="104"/>
      <c r="BY32" s="104"/>
      <c r="BZ32" s="104"/>
      <c r="CA32" s="104"/>
      <c r="CB32" s="105"/>
      <c r="CC32" s="103" t="e">
        <f>AVERAGE(CC26:CI31)</f>
        <v>#DIV/0!</v>
      </c>
      <c r="CD32" s="104"/>
      <c r="CE32" s="104"/>
      <c r="CF32" s="104"/>
      <c r="CG32" s="104"/>
      <c r="CH32" s="104"/>
      <c r="CI32" s="105"/>
    </row>
    <row r="34" spans="1:87">
      <c r="A34" s="32" t="s">
        <v>48</v>
      </c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4">
        <v>21900</v>
      </c>
      <c r="O34" s="34">
        <v>21900</v>
      </c>
      <c r="P34" s="34">
        <v>21900</v>
      </c>
      <c r="Q34" s="34">
        <v>21900</v>
      </c>
      <c r="R34" s="33"/>
      <c r="S34" s="33"/>
      <c r="T34" s="33"/>
      <c r="U34" s="33"/>
      <c r="V34" s="33"/>
      <c r="W34" s="33"/>
      <c r="X34" s="34"/>
      <c r="Y34" s="33"/>
      <c r="Z34" s="34"/>
      <c r="AA34" s="34"/>
      <c r="AB34" s="34"/>
      <c r="AC34" s="34"/>
      <c r="AD34" s="34"/>
      <c r="AE34" s="34">
        <v>13100</v>
      </c>
      <c r="AF34" s="33"/>
      <c r="AG34" s="33"/>
      <c r="AH34" s="33"/>
      <c r="AI34" s="33"/>
      <c r="AJ34" s="34">
        <v>12400</v>
      </c>
      <c r="AK34" s="34"/>
      <c r="AL34" s="34"/>
      <c r="AM34" s="33"/>
      <c r="AN34" s="33"/>
      <c r="AO34" s="33"/>
      <c r="AP34" s="33"/>
      <c r="AQ34" s="33"/>
      <c r="AR34" s="33"/>
      <c r="AS34" s="34"/>
      <c r="AT34" s="33"/>
      <c r="AU34" s="33"/>
      <c r="AV34" s="34"/>
      <c r="AW34" s="34"/>
      <c r="AX34" s="34"/>
      <c r="AY34" s="34"/>
      <c r="AZ34" s="34"/>
      <c r="BA34" s="33"/>
      <c r="BB34" s="33"/>
      <c r="BC34" s="33"/>
      <c r="BD34" s="33"/>
      <c r="BE34" s="33"/>
      <c r="BF34" s="34"/>
      <c r="BG34" s="34"/>
      <c r="BH34" s="33"/>
      <c r="BI34" s="33"/>
      <c r="BJ34" s="33"/>
      <c r="BK34" s="33"/>
      <c r="BL34" s="33"/>
      <c r="BM34" s="34"/>
      <c r="BN34" s="34"/>
      <c r="BO34" s="33"/>
      <c r="BP34" s="34"/>
      <c r="BQ34" s="34"/>
      <c r="BR34" s="34"/>
      <c r="BS34" s="34"/>
      <c r="BT34" s="34"/>
      <c r="BU34" s="34"/>
      <c r="BV34" s="33"/>
      <c r="BW34" s="33"/>
      <c r="BX34" s="33"/>
      <c r="BY34" s="34"/>
      <c r="BZ34" s="34"/>
      <c r="CA34" s="34"/>
      <c r="CB34" s="35"/>
      <c r="CC34" s="33"/>
      <c r="CD34" s="33"/>
      <c r="CE34" s="33"/>
      <c r="CF34" s="33"/>
      <c r="CG34" s="33"/>
      <c r="CH34" s="33"/>
      <c r="CI34" s="34"/>
    </row>
    <row r="35" spans="1:87">
      <c r="D35" s="36">
        <v>19200</v>
      </c>
      <c r="E35" s="36">
        <v>19200</v>
      </c>
      <c r="F35" s="36">
        <v>19200</v>
      </c>
      <c r="G35" s="36">
        <v>19200</v>
      </c>
      <c r="H35" s="36">
        <v>19200</v>
      </c>
      <c r="I35" s="36">
        <v>19200</v>
      </c>
      <c r="J35" s="36">
        <v>19200</v>
      </c>
      <c r="K35" s="36">
        <v>21900</v>
      </c>
      <c r="L35" s="36">
        <v>21900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4">
        <v>13100</v>
      </c>
      <c r="Z35" s="34">
        <v>13100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6"/>
      <c r="AP35" s="36"/>
      <c r="AQ35" s="36"/>
      <c r="AR35" s="36"/>
      <c r="AS35" s="34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7"/>
      <c r="CC35" s="36"/>
      <c r="CD35" s="36"/>
      <c r="CE35" s="36"/>
      <c r="CF35" s="36"/>
      <c r="CG35" s="36"/>
      <c r="CH35" s="36"/>
      <c r="CI35" s="36"/>
    </row>
    <row r="36" spans="1:87">
      <c r="D36" s="36">
        <v>21900</v>
      </c>
      <c r="E36" s="36">
        <v>21900</v>
      </c>
      <c r="F36" s="36">
        <v>21900</v>
      </c>
      <c r="G36" s="36">
        <v>21900</v>
      </c>
      <c r="H36" s="36">
        <v>21900</v>
      </c>
      <c r="I36" s="36">
        <v>21900</v>
      </c>
      <c r="J36" s="36">
        <v>21900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7"/>
      <c r="CC36" s="36"/>
      <c r="CD36" s="36"/>
      <c r="CE36" s="36"/>
      <c r="CF36" s="36"/>
      <c r="CG36" s="36"/>
      <c r="CH36" s="36"/>
      <c r="CI36" s="36"/>
    </row>
    <row r="37" spans="1:87">
      <c r="D37" s="36">
        <v>21900</v>
      </c>
      <c r="E37" s="36">
        <v>21900</v>
      </c>
      <c r="F37" s="36">
        <v>21900</v>
      </c>
      <c r="G37" s="36">
        <v>21900</v>
      </c>
      <c r="H37" s="36">
        <v>21900</v>
      </c>
      <c r="I37" s="36">
        <v>21900</v>
      </c>
      <c r="J37" s="36">
        <v>21900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7"/>
      <c r="CC37" s="36"/>
      <c r="CD37" s="36"/>
      <c r="CE37" s="36"/>
      <c r="CF37" s="36"/>
      <c r="CG37" s="36"/>
      <c r="CH37" s="36"/>
      <c r="CI37" s="36"/>
    </row>
    <row r="38" spans="1:87">
      <c r="D38" s="36">
        <v>21900</v>
      </c>
      <c r="E38" s="36">
        <v>21900</v>
      </c>
      <c r="F38" s="36">
        <v>21900</v>
      </c>
      <c r="G38" s="38"/>
      <c r="H38" s="38"/>
      <c r="I38" s="38"/>
      <c r="J38" s="38"/>
      <c r="K38" s="36"/>
      <c r="L38" s="36"/>
      <c r="M38" s="36"/>
      <c r="N38" s="36"/>
      <c r="O38" s="36"/>
      <c r="P38" s="36">
        <v>17100</v>
      </c>
      <c r="Q38" s="38"/>
      <c r="R38" s="36"/>
      <c r="S38" s="36"/>
      <c r="T38" s="36"/>
      <c r="U38" s="36"/>
      <c r="V38" s="36"/>
      <c r="W38" s="36"/>
      <c r="X38" s="36"/>
      <c r="Y38" s="34"/>
      <c r="Z38" s="34"/>
      <c r="AA38" s="34"/>
      <c r="AB38" s="34"/>
      <c r="AC38" s="38"/>
      <c r="AD38" s="38"/>
      <c r="AE38" s="38"/>
      <c r="AF38" s="34"/>
      <c r="AG38" s="34"/>
      <c r="AH38" s="34"/>
      <c r="AI38" s="34"/>
      <c r="AJ38" s="34"/>
      <c r="AK38" s="34"/>
      <c r="AL38" s="38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8"/>
      <c r="BG38" s="38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8"/>
      <c r="BS38" s="38"/>
      <c r="BT38" s="38"/>
      <c r="BU38" s="38"/>
      <c r="BV38" s="36"/>
      <c r="BW38" s="36"/>
      <c r="BX38" s="36"/>
      <c r="BY38" s="36"/>
      <c r="BZ38" s="36"/>
      <c r="CA38" s="36"/>
      <c r="CB38" s="39"/>
      <c r="CC38" s="36"/>
      <c r="CD38" s="36"/>
      <c r="CE38" s="36"/>
      <c r="CF38" s="36"/>
      <c r="CG38" s="36"/>
      <c r="CH38" s="36"/>
      <c r="CI38" s="36"/>
    </row>
    <row r="39" spans="1:87"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6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6"/>
      <c r="AN39" s="36"/>
      <c r="AO39" s="38"/>
      <c r="AP39" s="38"/>
      <c r="AQ39" s="38"/>
      <c r="AR39" s="38"/>
      <c r="AS39" s="38"/>
      <c r="AT39" s="36"/>
      <c r="AU39" s="36"/>
      <c r="AV39" s="36"/>
      <c r="AW39" s="36"/>
      <c r="AX39" s="36"/>
      <c r="AY39" s="38"/>
      <c r="AZ39" s="38"/>
      <c r="BA39" s="38"/>
      <c r="BB39" s="38"/>
      <c r="BC39" s="38"/>
      <c r="BD39" s="38"/>
      <c r="BE39" s="38"/>
      <c r="BF39" s="38"/>
      <c r="BG39" s="38"/>
      <c r="BH39" s="36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9"/>
      <c r="CC39" s="36"/>
      <c r="CD39" s="38"/>
      <c r="CE39" s="38"/>
      <c r="CF39" s="38"/>
      <c r="CG39" s="38"/>
      <c r="CH39" s="38"/>
      <c r="CI39" s="38"/>
    </row>
    <row r="40" spans="1:87">
      <c r="D40" s="103">
        <f t="shared" ref="D40" si="44">AVERAGE(D34:J39)</f>
        <v>21112.5</v>
      </c>
      <c r="E40" s="104"/>
      <c r="F40" s="104"/>
      <c r="G40" s="104"/>
      <c r="H40" s="104"/>
      <c r="I40" s="104"/>
      <c r="J40" s="105"/>
      <c r="K40" s="103">
        <f t="shared" ref="K40" si="45">AVERAGE(K34:Q39)</f>
        <v>21214.285714285714</v>
      </c>
      <c r="L40" s="104"/>
      <c r="M40" s="104"/>
      <c r="N40" s="104"/>
      <c r="O40" s="104"/>
      <c r="P40" s="104"/>
      <c r="Q40" s="105"/>
      <c r="R40" s="103" t="e">
        <f t="shared" ref="R40" si="46">AVERAGE(R34:X39)</f>
        <v>#DIV/0!</v>
      </c>
      <c r="S40" s="104"/>
      <c r="T40" s="104"/>
      <c r="U40" s="104"/>
      <c r="V40" s="104"/>
      <c r="W40" s="104"/>
      <c r="X40" s="105"/>
      <c r="Y40" s="103">
        <f t="shared" ref="Y40" si="47">AVERAGE(Y34:AE39)</f>
        <v>13100</v>
      </c>
      <c r="Z40" s="104"/>
      <c r="AA40" s="104"/>
      <c r="AB40" s="104"/>
      <c r="AC40" s="104"/>
      <c r="AD40" s="104"/>
      <c r="AE40" s="105"/>
      <c r="AF40" s="103">
        <f t="shared" ref="AF40" si="48">AVERAGE(AF34:AL39)</f>
        <v>12400</v>
      </c>
      <c r="AG40" s="104"/>
      <c r="AH40" s="104"/>
      <c r="AI40" s="104"/>
      <c r="AJ40" s="104"/>
      <c r="AK40" s="104"/>
      <c r="AL40" s="105"/>
      <c r="AM40" s="103" t="e">
        <f t="shared" ref="AM40" si="49">AVERAGE(AM34:AS39)</f>
        <v>#DIV/0!</v>
      </c>
      <c r="AN40" s="104"/>
      <c r="AO40" s="104"/>
      <c r="AP40" s="104"/>
      <c r="AQ40" s="104"/>
      <c r="AR40" s="104"/>
      <c r="AS40" s="105"/>
      <c r="AT40" s="103" t="e">
        <f t="shared" ref="AT40" si="50">AVERAGE(AT34:AZ39)</f>
        <v>#DIV/0!</v>
      </c>
      <c r="AU40" s="104"/>
      <c r="AV40" s="104"/>
      <c r="AW40" s="104"/>
      <c r="AX40" s="104"/>
      <c r="AY40" s="104"/>
      <c r="AZ40" s="105"/>
      <c r="BA40" s="103" t="e">
        <f t="shared" ref="BA40" si="51">AVERAGE(BA34:BG39)</f>
        <v>#DIV/0!</v>
      </c>
      <c r="BB40" s="104"/>
      <c r="BC40" s="104"/>
      <c r="BD40" s="104"/>
      <c r="BE40" s="104"/>
      <c r="BF40" s="104"/>
      <c r="BG40" s="105"/>
      <c r="BH40" s="103" t="e">
        <f t="shared" ref="BH40" si="52">AVERAGE(BH34:BN39)</f>
        <v>#DIV/0!</v>
      </c>
      <c r="BI40" s="104"/>
      <c r="BJ40" s="104"/>
      <c r="BK40" s="104"/>
      <c r="BL40" s="104"/>
      <c r="BM40" s="104"/>
      <c r="BN40" s="105"/>
      <c r="BO40" s="103" t="e">
        <f t="shared" ref="BO40" si="53">AVERAGE(BO34:BU39)</f>
        <v>#DIV/0!</v>
      </c>
      <c r="BP40" s="104"/>
      <c r="BQ40" s="104"/>
      <c r="BR40" s="104"/>
      <c r="BS40" s="104"/>
      <c r="BT40" s="104"/>
      <c r="BU40" s="105"/>
      <c r="BV40" s="103" t="e">
        <f t="shared" ref="BV40" si="54">AVERAGE(BV34:CB39)</f>
        <v>#DIV/0!</v>
      </c>
      <c r="BW40" s="104"/>
      <c r="BX40" s="104"/>
      <c r="BY40" s="104"/>
      <c r="BZ40" s="104"/>
      <c r="CA40" s="104"/>
      <c r="CB40" s="105"/>
      <c r="CC40" s="103" t="e">
        <f>AVERAGE(CC34:CI39)</f>
        <v>#DIV/0!</v>
      </c>
      <c r="CD40" s="104"/>
      <c r="CE40" s="104"/>
      <c r="CF40" s="104"/>
      <c r="CG40" s="104"/>
      <c r="CH40" s="104"/>
      <c r="CI40" s="105"/>
    </row>
    <row r="42" spans="1:87">
      <c r="A42" s="32" t="s">
        <v>49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4">
        <v>12500</v>
      </c>
      <c r="O42" s="34">
        <v>12500</v>
      </c>
      <c r="P42" s="34">
        <v>12500</v>
      </c>
      <c r="Q42" s="34">
        <v>12500</v>
      </c>
      <c r="R42" s="33"/>
      <c r="S42" s="33"/>
      <c r="T42" s="33"/>
      <c r="U42" s="33"/>
      <c r="V42" s="33"/>
      <c r="W42" s="33"/>
      <c r="X42" s="34">
        <v>11500</v>
      </c>
      <c r="Y42" s="33"/>
      <c r="Z42" s="34"/>
      <c r="AA42" s="34"/>
      <c r="AB42" s="34"/>
      <c r="AC42" s="34"/>
      <c r="AD42" s="34"/>
      <c r="AE42" s="34"/>
      <c r="AF42" s="33"/>
      <c r="AG42" s="33"/>
      <c r="AH42" s="33"/>
      <c r="AI42" s="33"/>
      <c r="AJ42" s="34">
        <v>7500</v>
      </c>
      <c r="AK42" s="34"/>
      <c r="AL42" s="34"/>
      <c r="AM42" s="33"/>
      <c r="AN42" s="33"/>
      <c r="AO42" s="33"/>
      <c r="AP42" s="33"/>
      <c r="AQ42" s="33"/>
      <c r="AR42" s="33"/>
      <c r="AS42" s="34"/>
      <c r="AT42" s="33"/>
      <c r="AU42" s="33"/>
      <c r="AV42" s="34"/>
      <c r="AW42" s="34"/>
      <c r="AX42" s="34"/>
      <c r="AY42" s="34"/>
      <c r="AZ42" s="34"/>
      <c r="BA42" s="33"/>
      <c r="BB42" s="33"/>
      <c r="BC42" s="33"/>
      <c r="BD42" s="33"/>
      <c r="BE42" s="33"/>
      <c r="BF42" s="34"/>
      <c r="BG42" s="34"/>
      <c r="BH42" s="33"/>
      <c r="BI42" s="33"/>
      <c r="BJ42" s="33"/>
      <c r="BK42" s="33"/>
      <c r="BL42" s="33"/>
      <c r="BM42" s="34"/>
      <c r="BN42" s="34"/>
      <c r="BO42" s="33"/>
      <c r="BP42" s="34"/>
      <c r="BQ42" s="34"/>
      <c r="BR42" s="34"/>
      <c r="BS42" s="34"/>
      <c r="BT42" s="34"/>
      <c r="BU42" s="34"/>
      <c r="BV42" s="33"/>
      <c r="BW42" s="33"/>
      <c r="BX42" s="33"/>
      <c r="BY42" s="34"/>
      <c r="BZ42" s="34"/>
      <c r="CA42" s="34"/>
      <c r="CB42" s="35"/>
      <c r="CC42" s="33"/>
      <c r="CD42" s="33"/>
      <c r="CE42" s="33"/>
      <c r="CF42" s="33"/>
      <c r="CG42" s="33"/>
      <c r="CH42" s="33"/>
      <c r="CI42" s="34"/>
    </row>
    <row r="43" spans="1:87">
      <c r="D43" s="36">
        <v>10500</v>
      </c>
      <c r="E43" s="36">
        <v>10500</v>
      </c>
      <c r="F43" s="36">
        <v>10500</v>
      </c>
      <c r="G43" s="36">
        <v>10500</v>
      </c>
      <c r="H43" s="36">
        <v>10500</v>
      </c>
      <c r="I43" s="36">
        <v>10500</v>
      </c>
      <c r="J43" s="36">
        <v>10500</v>
      </c>
      <c r="K43" s="36">
        <v>12500</v>
      </c>
      <c r="L43" s="36">
        <v>12500</v>
      </c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6"/>
      <c r="AP43" s="36"/>
      <c r="AQ43" s="36"/>
      <c r="AR43" s="36"/>
      <c r="AS43" s="34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7"/>
      <c r="CC43" s="36"/>
      <c r="CD43" s="36"/>
      <c r="CE43" s="36"/>
      <c r="CF43" s="36"/>
      <c r="CG43" s="36"/>
      <c r="CH43" s="36"/>
      <c r="CI43" s="36"/>
    </row>
    <row r="44" spans="1:87">
      <c r="D44" s="36">
        <v>10500</v>
      </c>
      <c r="E44" s="36">
        <v>10500</v>
      </c>
      <c r="F44" s="36">
        <v>10500</v>
      </c>
      <c r="G44" s="36">
        <v>10500</v>
      </c>
      <c r="H44" s="36">
        <v>10500</v>
      </c>
      <c r="I44" s="36">
        <v>10500</v>
      </c>
      <c r="J44" s="36">
        <v>10500</v>
      </c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7"/>
      <c r="CC44" s="36"/>
      <c r="CD44" s="36"/>
      <c r="CE44" s="36"/>
      <c r="CF44" s="36"/>
      <c r="CG44" s="36"/>
      <c r="CH44" s="36"/>
      <c r="CI44" s="36"/>
    </row>
    <row r="45" spans="1:87">
      <c r="D45" s="36">
        <v>12500</v>
      </c>
      <c r="E45" s="36">
        <v>12500</v>
      </c>
      <c r="F45" s="36">
        <v>12500</v>
      </c>
      <c r="G45" s="36">
        <v>12500</v>
      </c>
      <c r="H45" s="36">
        <v>12500</v>
      </c>
      <c r="I45" s="36">
        <v>12500</v>
      </c>
      <c r="J45" s="36">
        <v>12500</v>
      </c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7"/>
      <c r="CC45" s="36"/>
      <c r="CD45" s="36"/>
      <c r="CE45" s="36"/>
      <c r="CF45" s="36"/>
      <c r="CG45" s="36"/>
      <c r="CH45" s="36"/>
      <c r="CI45" s="36"/>
    </row>
    <row r="46" spans="1:87">
      <c r="D46" s="36">
        <v>12500</v>
      </c>
      <c r="E46" s="36">
        <v>12500</v>
      </c>
      <c r="F46" s="36">
        <v>12500</v>
      </c>
      <c r="G46" s="38"/>
      <c r="H46" s="38"/>
      <c r="I46" s="38"/>
      <c r="J46" s="38"/>
      <c r="K46" s="36"/>
      <c r="L46" s="36"/>
      <c r="M46" s="36"/>
      <c r="N46" s="36"/>
      <c r="O46" s="36"/>
      <c r="P46" s="36">
        <v>9958</v>
      </c>
      <c r="Q46" s="38"/>
      <c r="R46" s="36"/>
      <c r="S46" s="36"/>
      <c r="T46" s="36"/>
      <c r="U46" s="36"/>
      <c r="V46" s="36"/>
      <c r="W46" s="36"/>
      <c r="X46" s="36"/>
      <c r="Y46" s="34"/>
      <c r="Z46" s="34"/>
      <c r="AA46" s="34"/>
      <c r="AB46" s="34"/>
      <c r="AC46" s="38"/>
      <c r="AD46" s="38"/>
      <c r="AE46" s="38"/>
      <c r="AF46" s="34"/>
      <c r="AG46" s="34"/>
      <c r="AH46" s="34"/>
      <c r="AI46" s="34"/>
      <c r="AJ46" s="34"/>
      <c r="AK46" s="34"/>
      <c r="AL46" s="38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8"/>
      <c r="BG46" s="38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8"/>
      <c r="BS46" s="38"/>
      <c r="BT46" s="38"/>
      <c r="BU46" s="38"/>
      <c r="BV46" s="36"/>
      <c r="BW46" s="36"/>
      <c r="BX46" s="36"/>
      <c r="BY46" s="36"/>
      <c r="BZ46" s="36"/>
      <c r="CA46" s="36"/>
      <c r="CB46" s="39"/>
      <c r="CC46" s="36"/>
      <c r="CD46" s="36"/>
      <c r="CE46" s="36"/>
      <c r="CF46" s="36"/>
      <c r="CG46" s="36"/>
      <c r="CH46" s="36"/>
      <c r="CI46" s="36"/>
    </row>
    <row r="47" spans="1:87"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6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6"/>
      <c r="AN47" s="36"/>
      <c r="AO47" s="38"/>
      <c r="AP47" s="38"/>
      <c r="AQ47" s="38"/>
      <c r="AR47" s="38"/>
      <c r="AS47" s="38"/>
      <c r="AT47" s="36"/>
      <c r="AU47" s="36"/>
      <c r="AV47" s="36"/>
      <c r="AW47" s="36"/>
      <c r="AX47" s="36"/>
      <c r="AY47" s="38"/>
      <c r="AZ47" s="38"/>
      <c r="BA47" s="38"/>
      <c r="BB47" s="38"/>
      <c r="BC47" s="38"/>
      <c r="BD47" s="38"/>
      <c r="BE47" s="38"/>
      <c r="BF47" s="38"/>
      <c r="BG47" s="38"/>
      <c r="BH47" s="36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9"/>
      <c r="CC47" s="36"/>
      <c r="CD47" s="38"/>
      <c r="CE47" s="38"/>
      <c r="CF47" s="38"/>
      <c r="CG47" s="38"/>
      <c r="CH47" s="38"/>
      <c r="CI47" s="38"/>
    </row>
    <row r="48" spans="1:87">
      <c r="D48" s="103">
        <f t="shared" ref="D48" si="55">AVERAGE(D42:J47)</f>
        <v>11333.333333333334</v>
      </c>
      <c r="E48" s="104"/>
      <c r="F48" s="104"/>
      <c r="G48" s="104"/>
      <c r="H48" s="104"/>
      <c r="I48" s="104"/>
      <c r="J48" s="105"/>
      <c r="K48" s="103">
        <f t="shared" ref="K48" si="56">AVERAGE(K42:Q47)</f>
        <v>12136.857142857143</v>
      </c>
      <c r="L48" s="104"/>
      <c r="M48" s="104"/>
      <c r="N48" s="104"/>
      <c r="O48" s="104"/>
      <c r="P48" s="104"/>
      <c r="Q48" s="105"/>
      <c r="R48" s="103">
        <f t="shared" ref="R48" si="57">AVERAGE(R42:X47)</f>
        <v>11500</v>
      </c>
      <c r="S48" s="104"/>
      <c r="T48" s="104"/>
      <c r="U48" s="104"/>
      <c r="V48" s="104"/>
      <c r="W48" s="104"/>
      <c r="X48" s="105"/>
      <c r="Y48" s="103" t="e">
        <f t="shared" ref="Y48" si="58">AVERAGE(Y42:AE47)</f>
        <v>#DIV/0!</v>
      </c>
      <c r="Z48" s="104"/>
      <c r="AA48" s="104"/>
      <c r="AB48" s="104"/>
      <c r="AC48" s="104"/>
      <c r="AD48" s="104"/>
      <c r="AE48" s="105"/>
      <c r="AF48" s="103">
        <f t="shared" ref="AF48" si="59">AVERAGE(AF42:AL47)</f>
        <v>7500</v>
      </c>
      <c r="AG48" s="104"/>
      <c r="AH48" s="104"/>
      <c r="AI48" s="104"/>
      <c r="AJ48" s="104"/>
      <c r="AK48" s="104"/>
      <c r="AL48" s="105"/>
      <c r="AM48" s="103" t="e">
        <f t="shared" ref="AM48" si="60">AVERAGE(AM42:AS47)</f>
        <v>#DIV/0!</v>
      </c>
      <c r="AN48" s="104"/>
      <c r="AO48" s="104"/>
      <c r="AP48" s="104"/>
      <c r="AQ48" s="104"/>
      <c r="AR48" s="104"/>
      <c r="AS48" s="105"/>
      <c r="AT48" s="103" t="e">
        <f t="shared" ref="AT48" si="61">AVERAGE(AT42:AZ47)</f>
        <v>#DIV/0!</v>
      </c>
      <c r="AU48" s="104"/>
      <c r="AV48" s="104"/>
      <c r="AW48" s="104"/>
      <c r="AX48" s="104"/>
      <c r="AY48" s="104"/>
      <c r="AZ48" s="105"/>
      <c r="BA48" s="103" t="e">
        <f t="shared" ref="BA48" si="62">AVERAGE(BA42:BG47)</f>
        <v>#DIV/0!</v>
      </c>
      <c r="BB48" s="104"/>
      <c r="BC48" s="104"/>
      <c r="BD48" s="104"/>
      <c r="BE48" s="104"/>
      <c r="BF48" s="104"/>
      <c r="BG48" s="105"/>
      <c r="BH48" s="103" t="e">
        <f t="shared" ref="BH48" si="63">AVERAGE(BH42:BN47)</f>
        <v>#DIV/0!</v>
      </c>
      <c r="BI48" s="104"/>
      <c r="BJ48" s="104"/>
      <c r="BK48" s="104"/>
      <c r="BL48" s="104"/>
      <c r="BM48" s="104"/>
      <c r="BN48" s="105"/>
      <c r="BO48" s="103" t="e">
        <f t="shared" ref="BO48" si="64">AVERAGE(BO42:BU47)</f>
        <v>#DIV/0!</v>
      </c>
      <c r="BP48" s="104"/>
      <c r="BQ48" s="104"/>
      <c r="BR48" s="104"/>
      <c r="BS48" s="104"/>
      <c r="BT48" s="104"/>
      <c r="BU48" s="105"/>
      <c r="BV48" s="103" t="e">
        <f t="shared" ref="BV48" si="65">AVERAGE(BV42:CB47)</f>
        <v>#DIV/0!</v>
      </c>
      <c r="BW48" s="104"/>
      <c r="BX48" s="104"/>
      <c r="BY48" s="104"/>
      <c r="BZ48" s="104"/>
      <c r="CA48" s="104"/>
      <c r="CB48" s="105"/>
      <c r="CC48" s="103" t="e">
        <f>AVERAGE(CC42:CI47)</f>
        <v>#DIV/0!</v>
      </c>
      <c r="CD48" s="104"/>
      <c r="CE48" s="104"/>
      <c r="CF48" s="104"/>
      <c r="CG48" s="104"/>
      <c r="CH48" s="104"/>
      <c r="CI48" s="105"/>
    </row>
    <row r="50" spans="1:87">
      <c r="A50" s="32" t="s">
        <v>50</v>
      </c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4">
        <v>15700</v>
      </c>
      <c r="O50" s="34">
        <v>19800</v>
      </c>
      <c r="P50" s="34">
        <v>1570</v>
      </c>
      <c r="Q50" s="34">
        <v>15700</v>
      </c>
      <c r="R50" s="33"/>
      <c r="S50" s="33"/>
      <c r="T50" s="33"/>
      <c r="U50" s="33"/>
      <c r="V50" s="33"/>
      <c r="W50" s="33"/>
      <c r="X50" s="34"/>
      <c r="Y50" s="33"/>
      <c r="Z50" s="34"/>
      <c r="AA50" s="34"/>
      <c r="AB50" s="34"/>
      <c r="AC50" s="34"/>
      <c r="AD50" s="34"/>
      <c r="AE50" s="34"/>
      <c r="AF50" s="33"/>
      <c r="AG50" s="33"/>
      <c r="AH50" s="33"/>
      <c r="AI50" s="33"/>
      <c r="AJ50" s="34"/>
      <c r="AK50" s="34"/>
      <c r="AL50" s="34"/>
      <c r="AM50" s="33"/>
      <c r="AN50" s="33"/>
      <c r="AO50" s="33"/>
      <c r="AP50" s="33"/>
      <c r="AQ50" s="33"/>
      <c r="AR50" s="33"/>
      <c r="AS50" s="34"/>
      <c r="AT50" s="33"/>
      <c r="AU50" s="33"/>
      <c r="AV50" s="34"/>
      <c r="AW50" s="34"/>
      <c r="AX50" s="34"/>
      <c r="AY50" s="34"/>
      <c r="AZ50" s="34"/>
      <c r="BA50" s="33"/>
      <c r="BB50" s="33"/>
      <c r="BC50" s="33"/>
      <c r="BD50" s="33"/>
      <c r="BE50" s="33"/>
      <c r="BF50" s="34"/>
      <c r="BG50" s="34"/>
      <c r="BH50" s="33"/>
      <c r="BI50" s="33"/>
      <c r="BJ50" s="33"/>
      <c r="BK50" s="33"/>
      <c r="BL50" s="33"/>
      <c r="BM50" s="34"/>
      <c r="BN50" s="34"/>
      <c r="BO50" s="33"/>
      <c r="BP50" s="34"/>
      <c r="BQ50" s="34"/>
      <c r="BR50" s="34"/>
      <c r="BS50" s="34"/>
      <c r="BT50" s="34"/>
      <c r="BU50" s="34"/>
      <c r="BV50" s="33"/>
      <c r="BW50" s="33"/>
      <c r="BX50" s="33"/>
      <c r="BY50" s="34"/>
      <c r="BZ50" s="34"/>
      <c r="CA50" s="34"/>
      <c r="CB50" s="35"/>
      <c r="CC50" s="33"/>
      <c r="CD50" s="33"/>
      <c r="CE50" s="33"/>
      <c r="CF50" s="33"/>
      <c r="CG50" s="33"/>
      <c r="CH50" s="33"/>
      <c r="CI50" s="34"/>
    </row>
    <row r="51" spans="1:87">
      <c r="D51" s="36">
        <v>15700</v>
      </c>
      <c r="E51" s="36">
        <v>15700</v>
      </c>
      <c r="F51" s="36">
        <v>15700</v>
      </c>
      <c r="G51" s="36">
        <v>15700</v>
      </c>
      <c r="H51" s="36">
        <v>15700</v>
      </c>
      <c r="I51" s="36">
        <v>19800</v>
      </c>
      <c r="J51" s="36">
        <v>15700</v>
      </c>
      <c r="K51" s="36">
        <v>15700</v>
      </c>
      <c r="L51" s="36">
        <v>20700</v>
      </c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6"/>
      <c r="AP51" s="36"/>
      <c r="AQ51" s="36"/>
      <c r="AR51" s="36"/>
      <c r="AS51" s="34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7"/>
      <c r="CC51" s="36"/>
      <c r="CD51" s="36"/>
      <c r="CE51" s="36"/>
      <c r="CF51" s="36"/>
      <c r="CG51" s="36"/>
      <c r="CH51" s="36"/>
      <c r="CI51" s="36"/>
    </row>
    <row r="52" spans="1:87">
      <c r="D52" s="36">
        <v>15700</v>
      </c>
      <c r="E52" s="36">
        <v>15700</v>
      </c>
      <c r="F52" s="36">
        <v>15700</v>
      </c>
      <c r="G52" s="36">
        <v>15700</v>
      </c>
      <c r="H52" s="36">
        <v>15700</v>
      </c>
      <c r="I52" s="36">
        <v>15700</v>
      </c>
      <c r="J52" s="36">
        <v>15700</v>
      </c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7"/>
      <c r="CC52" s="36"/>
      <c r="CD52" s="36"/>
      <c r="CE52" s="36"/>
      <c r="CF52" s="36"/>
      <c r="CG52" s="36"/>
      <c r="CH52" s="36"/>
      <c r="CI52" s="36"/>
    </row>
    <row r="53" spans="1:87">
      <c r="D53" s="36">
        <v>15700</v>
      </c>
      <c r="E53" s="36">
        <v>20700</v>
      </c>
      <c r="F53" s="36">
        <v>15700</v>
      </c>
      <c r="G53" s="36">
        <v>15700</v>
      </c>
      <c r="H53" s="36">
        <v>15700</v>
      </c>
      <c r="I53" s="36">
        <v>15700</v>
      </c>
      <c r="J53" s="36">
        <v>15700</v>
      </c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7"/>
      <c r="CC53" s="36"/>
      <c r="CD53" s="36"/>
      <c r="CE53" s="36"/>
      <c r="CF53" s="36"/>
      <c r="CG53" s="36"/>
      <c r="CH53" s="36"/>
      <c r="CI53" s="36"/>
    </row>
    <row r="54" spans="1:87">
      <c r="D54" s="36">
        <v>15700</v>
      </c>
      <c r="E54" s="36">
        <v>15700</v>
      </c>
      <c r="F54" s="36">
        <v>15700</v>
      </c>
      <c r="G54" s="38"/>
      <c r="H54" s="38"/>
      <c r="I54" s="38"/>
      <c r="J54" s="38"/>
      <c r="K54" s="36"/>
      <c r="L54" s="36"/>
      <c r="M54" s="36"/>
      <c r="N54" s="36"/>
      <c r="O54" s="36"/>
      <c r="P54" s="36"/>
      <c r="Q54" s="38"/>
      <c r="R54" s="36"/>
      <c r="S54" s="36"/>
      <c r="T54" s="36"/>
      <c r="U54" s="36"/>
      <c r="V54" s="36"/>
      <c r="W54" s="36"/>
      <c r="X54" s="36"/>
      <c r="Y54" s="34"/>
      <c r="Z54" s="34"/>
      <c r="AA54" s="34"/>
      <c r="AB54" s="34"/>
      <c r="AC54" s="38"/>
      <c r="AD54" s="38"/>
      <c r="AE54" s="38"/>
      <c r="AF54" s="34"/>
      <c r="AG54" s="34"/>
      <c r="AH54" s="34"/>
      <c r="AI54" s="34"/>
      <c r="AJ54" s="34"/>
      <c r="AK54" s="34"/>
      <c r="AL54" s="38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8"/>
      <c r="BG54" s="38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8"/>
      <c r="BS54" s="38"/>
      <c r="BT54" s="38"/>
      <c r="BU54" s="38"/>
      <c r="BV54" s="36"/>
      <c r="BW54" s="36"/>
      <c r="BX54" s="36"/>
      <c r="BY54" s="36"/>
      <c r="BZ54" s="36"/>
      <c r="CA54" s="36"/>
      <c r="CB54" s="39"/>
      <c r="CC54" s="36"/>
      <c r="CD54" s="36"/>
      <c r="CE54" s="36"/>
      <c r="CF54" s="36"/>
      <c r="CG54" s="36"/>
      <c r="CH54" s="36"/>
      <c r="CI54" s="36"/>
    </row>
    <row r="55" spans="1:87"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6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6"/>
      <c r="AN55" s="36"/>
      <c r="AO55" s="38"/>
      <c r="AP55" s="38"/>
      <c r="AQ55" s="38"/>
      <c r="AR55" s="38"/>
      <c r="AS55" s="38"/>
      <c r="AT55" s="36"/>
      <c r="AU55" s="36"/>
      <c r="AV55" s="36"/>
      <c r="AW55" s="36"/>
      <c r="AX55" s="36"/>
      <c r="AY55" s="38"/>
      <c r="AZ55" s="38"/>
      <c r="BA55" s="38"/>
      <c r="BB55" s="38"/>
      <c r="BC55" s="38"/>
      <c r="BD55" s="38"/>
      <c r="BE55" s="38"/>
      <c r="BF55" s="38"/>
      <c r="BG55" s="38"/>
      <c r="BH55" s="36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9"/>
      <c r="CC55" s="36"/>
      <c r="CD55" s="38"/>
      <c r="CE55" s="38"/>
      <c r="CF55" s="38"/>
      <c r="CG55" s="38"/>
      <c r="CH55" s="38"/>
      <c r="CI55" s="38"/>
    </row>
    <row r="56" spans="1:87">
      <c r="D56" s="103">
        <f t="shared" ref="D56" si="66">AVERAGE(D50:J55)</f>
        <v>16079.166666666666</v>
      </c>
      <c r="E56" s="104"/>
      <c r="F56" s="104"/>
      <c r="G56" s="104"/>
      <c r="H56" s="104"/>
      <c r="I56" s="104"/>
      <c r="J56" s="105"/>
      <c r="K56" s="103">
        <f t="shared" ref="K56" si="67">AVERAGE(K50:Q55)</f>
        <v>14861.666666666666</v>
      </c>
      <c r="L56" s="104"/>
      <c r="M56" s="104"/>
      <c r="N56" s="104"/>
      <c r="O56" s="104"/>
      <c r="P56" s="104"/>
      <c r="Q56" s="105"/>
      <c r="R56" s="103" t="e">
        <f t="shared" ref="R56" si="68">AVERAGE(R50:X55)</f>
        <v>#DIV/0!</v>
      </c>
      <c r="S56" s="104"/>
      <c r="T56" s="104"/>
      <c r="U56" s="104"/>
      <c r="V56" s="104"/>
      <c r="W56" s="104"/>
      <c r="X56" s="105"/>
      <c r="Y56" s="103" t="e">
        <f t="shared" ref="Y56" si="69">AVERAGE(Y50:AE55)</f>
        <v>#DIV/0!</v>
      </c>
      <c r="Z56" s="104"/>
      <c r="AA56" s="104"/>
      <c r="AB56" s="104"/>
      <c r="AC56" s="104"/>
      <c r="AD56" s="104"/>
      <c r="AE56" s="105"/>
      <c r="AF56" s="103" t="e">
        <f t="shared" ref="AF56" si="70">AVERAGE(AF50:AL55)</f>
        <v>#DIV/0!</v>
      </c>
      <c r="AG56" s="104"/>
      <c r="AH56" s="104"/>
      <c r="AI56" s="104"/>
      <c r="AJ56" s="104"/>
      <c r="AK56" s="104"/>
      <c r="AL56" s="105"/>
      <c r="AM56" s="103" t="e">
        <f t="shared" ref="AM56" si="71">AVERAGE(AM50:AS55)</f>
        <v>#DIV/0!</v>
      </c>
      <c r="AN56" s="104"/>
      <c r="AO56" s="104"/>
      <c r="AP56" s="104"/>
      <c r="AQ56" s="104"/>
      <c r="AR56" s="104"/>
      <c r="AS56" s="105"/>
      <c r="AT56" s="103" t="e">
        <f t="shared" ref="AT56" si="72">AVERAGE(AT50:AZ55)</f>
        <v>#DIV/0!</v>
      </c>
      <c r="AU56" s="104"/>
      <c r="AV56" s="104"/>
      <c r="AW56" s="104"/>
      <c r="AX56" s="104"/>
      <c r="AY56" s="104"/>
      <c r="AZ56" s="105"/>
      <c r="BA56" s="103" t="e">
        <f t="shared" ref="BA56" si="73">AVERAGE(BA50:BG55)</f>
        <v>#DIV/0!</v>
      </c>
      <c r="BB56" s="104"/>
      <c r="BC56" s="104"/>
      <c r="BD56" s="104"/>
      <c r="BE56" s="104"/>
      <c r="BF56" s="104"/>
      <c r="BG56" s="105"/>
      <c r="BH56" s="103" t="e">
        <f t="shared" ref="BH56" si="74">AVERAGE(BH50:BN55)</f>
        <v>#DIV/0!</v>
      </c>
      <c r="BI56" s="104"/>
      <c r="BJ56" s="104"/>
      <c r="BK56" s="104"/>
      <c r="BL56" s="104"/>
      <c r="BM56" s="104"/>
      <c r="BN56" s="105"/>
      <c r="BO56" s="103" t="e">
        <f t="shared" ref="BO56" si="75">AVERAGE(BO50:BU55)</f>
        <v>#DIV/0!</v>
      </c>
      <c r="BP56" s="104"/>
      <c r="BQ56" s="104"/>
      <c r="BR56" s="104"/>
      <c r="BS56" s="104"/>
      <c r="BT56" s="104"/>
      <c r="BU56" s="105"/>
      <c r="BV56" s="103" t="e">
        <f t="shared" ref="BV56" si="76">AVERAGE(BV50:CB55)</f>
        <v>#DIV/0!</v>
      </c>
      <c r="BW56" s="104"/>
      <c r="BX56" s="104"/>
      <c r="BY56" s="104"/>
      <c r="BZ56" s="104"/>
      <c r="CA56" s="104"/>
      <c r="CB56" s="105"/>
      <c r="CC56" s="103" t="e">
        <f>AVERAGE(CC50:CI55)</f>
        <v>#DIV/0!</v>
      </c>
      <c r="CD56" s="104"/>
      <c r="CE56" s="104"/>
      <c r="CF56" s="104"/>
      <c r="CG56" s="104"/>
      <c r="CH56" s="104"/>
      <c r="CI56" s="105"/>
    </row>
  </sheetData>
  <mergeCells count="96">
    <mergeCell ref="CC56:CI56"/>
    <mergeCell ref="D56:J56"/>
    <mergeCell ref="K56:Q56"/>
    <mergeCell ref="R56:X56"/>
    <mergeCell ref="Y56:AE56"/>
    <mergeCell ref="AF56:AL56"/>
    <mergeCell ref="AM56:AS56"/>
    <mergeCell ref="AT56:AZ56"/>
    <mergeCell ref="BA56:BG56"/>
    <mergeCell ref="BH56:BN56"/>
    <mergeCell ref="BO56:BU56"/>
    <mergeCell ref="BV56:CB56"/>
    <mergeCell ref="CC48:CI48"/>
    <mergeCell ref="D48:J48"/>
    <mergeCell ref="K48:Q48"/>
    <mergeCell ref="R48:X48"/>
    <mergeCell ref="Y48:AE48"/>
    <mergeCell ref="AF48:AL48"/>
    <mergeCell ref="AM48:AS48"/>
    <mergeCell ref="AT48:AZ48"/>
    <mergeCell ref="BA48:BG48"/>
    <mergeCell ref="BH48:BN48"/>
    <mergeCell ref="BO48:BU48"/>
    <mergeCell ref="BV48:CB48"/>
    <mergeCell ref="CC40:CI40"/>
    <mergeCell ref="D40:J40"/>
    <mergeCell ref="K40:Q40"/>
    <mergeCell ref="R40:X40"/>
    <mergeCell ref="Y40:AE40"/>
    <mergeCell ref="AF40:AL40"/>
    <mergeCell ref="AM40:AS40"/>
    <mergeCell ref="AT40:AZ40"/>
    <mergeCell ref="BA40:BG40"/>
    <mergeCell ref="BH40:BN40"/>
    <mergeCell ref="BO40:BU40"/>
    <mergeCell ref="BV40:CB40"/>
    <mergeCell ref="CC32:CI32"/>
    <mergeCell ref="D32:J32"/>
    <mergeCell ref="K32:Q32"/>
    <mergeCell ref="R32:X32"/>
    <mergeCell ref="Y32:AE32"/>
    <mergeCell ref="AF32:AL32"/>
    <mergeCell ref="AM32:AS32"/>
    <mergeCell ref="AT32:AZ32"/>
    <mergeCell ref="BA32:BG32"/>
    <mergeCell ref="BH32:BN32"/>
    <mergeCell ref="BO32:BU32"/>
    <mergeCell ref="BV32:CB32"/>
    <mergeCell ref="CC24:CI24"/>
    <mergeCell ref="D24:J24"/>
    <mergeCell ref="K24:Q24"/>
    <mergeCell ref="R24:X24"/>
    <mergeCell ref="Y24:AE24"/>
    <mergeCell ref="AF24:AL24"/>
    <mergeCell ref="AM24:AS24"/>
    <mergeCell ref="AT24:AZ24"/>
    <mergeCell ref="BA24:BG24"/>
    <mergeCell ref="BH24:BN24"/>
    <mergeCell ref="BO24:BU24"/>
    <mergeCell ref="BV24:CB24"/>
    <mergeCell ref="CC16:CI16"/>
    <mergeCell ref="D16:J16"/>
    <mergeCell ref="K16:Q16"/>
    <mergeCell ref="R16:X16"/>
    <mergeCell ref="Y16:AE16"/>
    <mergeCell ref="AF16:AL16"/>
    <mergeCell ref="AM16:AS16"/>
    <mergeCell ref="AT16:AZ16"/>
    <mergeCell ref="BA16:BG16"/>
    <mergeCell ref="BH16:BN16"/>
    <mergeCell ref="BO16:BU16"/>
    <mergeCell ref="BV16:CB16"/>
    <mergeCell ref="CC8:CI8"/>
    <mergeCell ref="D8:J8"/>
    <mergeCell ref="K8:Q8"/>
    <mergeCell ref="R8:X8"/>
    <mergeCell ref="Y8:AE8"/>
    <mergeCell ref="AF8:AL8"/>
    <mergeCell ref="AM8:AS8"/>
    <mergeCell ref="AT8:AZ8"/>
    <mergeCell ref="BA8:BG8"/>
    <mergeCell ref="BH8:BN8"/>
    <mergeCell ref="BO8:BU8"/>
    <mergeCell ref="BV8:CB8"/>
    <mergeCell ref="CC1:CI1"/>
    <mergeCell ref="D1:J1"/>
    <mergeCell ref="K1:Q1"/>
    <mergeCell ref="R1:X1"/>
    <mergeCell ref="Y1:AE1"/>
    <mergeCell ref="AF1:AL1"/>
    <mergeCell ref="AM1:AS1"/>
    <mergeCell ref="AT1:AZ1"/>
    <mergeCell ref="BA1:BG1"/>
    <mergeCell ref="BH1:BN1"/>
    <mergeCell ref="BO1:BU1"/>
    <mergeCell ref="BV1:C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zoomScale="50" zoomScaleNormal="50" workbookViewId="0">
      <selection activeCell="U62" sqref="U61:U62"/>
    </sheetView>
  </sheetViews>
  <sheetFormatPr defaultColWidth="8.625" defaultRowHeight="14.25"/>
  <cols>
    <col min="1" max="3" width="27.625" style="11" customWidth="1"/>
    <col min="4" max="15" width="13" style="11" customWidth="1"/>
    <col min="16" max="16" width="18.375" style="11" customWidth="1"/>
    <col min="17" max="16384" width="8.625" style="11"/>
  </cols>
  <sheetData>
    <row r="1" spans="1:16">
      <c r="B1" s="11" t="s">
        <v>51</v>
      </c>
      <c r="C1" s="11" t="s">
        <v>52</v>
      </c>
      <c r="D1" s="11" t="s">
        <v>53</v>
      </c>
      <c r="E1" s="11" t="s">
        <v>54</v>
      </c>
      <c r="F1" s="11" t="s">
        <v>55</v>
      </c>
      <c r="G1" s="11" t="s">
        <v>56</v>
      </c>
      <c r="H1" s="11" t="s">
        <v>57</v>
      </c>
      <c r="I1" s="11" t="s">
        <v>58</v>
      </c>
      <c r="J1" s="11" t="s">
        <v>59</v>
      </c>
      <c r="K1" s="11" t="s">
        <v>60</v>
      </c>
      <c r="L1" s="11" t="s">
        <v>61</v>
      </c>
      <c r="M1" s="11" t="s">
        <v>62</v>
      </c>
      <c r="N1" s="11" t="s">
        <v>63</v>
      </c>
      <c r="O1" s="11" t="s">
        <v>64</v>
      </c>
      <c r="P1" s="11" t="s">
        <v>65</v>
      </c>
    </row>
    <row r="2" spans="1:16">
      <c r="A2" s="12" t="str">
        <f>'Rate Shopper Алушта'!A2</f>
        <v>CIPRESSO</v>
      </c>
      <c r="B2" s="12">
        <v>4</v>
      </c>
      <c r="C2" s="12">
        <v>36</v>
      </c>
      <c r="D2" s="13">
        <f>IFERROR('Rate Shopper Алушта'!D8,"н/д")</f>
        <v>11130.333333333334</v>
      </c>
      <c r="E2" s="13">
        <f>IFERROR('Rate Shopper Алушта'!K8,"н/д")</f>
        <v>11583.064516129032</v>
      </c>
      <c r="F2" s="13">
        <f>IFERROR('Rate Shopper Алушта'!R8,"н/д")</f>
        <v>9108</v>
      </c>
      <c r="G2" s="13">
        <f>IFERROR('Rate Shopper Алушта'!Y8,"н/д")</f>
        <v>8233.2777777777774</v>
      </c>
      <c r="H2" s="13">
        <f>IFERROR('Rate Shopper Алушта'!AF8,"н/д")</f>
        <v>8896.6</v>
      </c>
      <c r="I2" s="13">
        <f>IFERROR('Rate Shopper Алушта'!AM8,"н/д")</f>
        <v>7830</v>
      </c>
      <c r="J2" s="13" t="str">
        <f>IFERROR('Rate Shopper Алушта'!AT8,"н/д")</f>
        <v>н/д</v>
      </c>
      <c r="K2" s="13" t="str">
        <f>IFERROR('Rate Shopper Алушта'!BA8,"н/д")</f>
        <v>н/д</v>
      </c>
      <c r="L2" s="13" t="str">
        <f>IFERROR('Rate Shopper Алушта'!BH8,"н/д")</f>
        <v>н/д</v>
      </c>
      <c r="M2" s="13" t="str">
        <f>IFERROR('Rate Shopper Алушта'!BO8,"н/д")</f>
        <v>н/д</v>
      </c>
      <c r="N2" s="13" t="str">
        <f>IFERROR('Rate Shopper Алушта'!BV8,"н/д")</f>
        <v>н/д</v>
      </c>
      <c r="O2" s="13" t="str">
        <f>IFERROR('Rate Shopper Алушта'!CC8,"н/д")</f>
        <v>н/д</v>
      </c>
      <c r="P2" s="13">
        <f>AVERAGE(D2:O2)</f>
        <v>9463.5459378733558</v>
      </c>
    </row>
    <row r="3" spans="1:16">
      <c r="A3" s="12" t="str">
        <f>'Rate Shopper Алушта'!A10</f>
        <v>Бартон Парк</v>
      </c>
      <c r="B3" s="12">
        <v>4</v>
      </c>
      <c r="C3" s="12">
        <v>55</v>
      </c>
      <c r="D3" s="13">
        <f>IFERROR('Rate Shopper Алушта'!D16,"н/д")</f>
        <v>8516.7272727272721</v>
      </c>
      <c r="E3" s="13">
        <f>IFERROR('Rate Shopper Алушта'!K16,"н/д")</f>
        <v>7934.4516129032254</v>
      </c>
      <c r="F3" s="13">
        <f>IFERROR('Rate Shopper Алушта'!R16,"н/д")</f>
        <v>6515</v>
      </c>
      <c r="G3" s="13">
        <f>IFERROR('Rate Shopper Алушта'!Y16,"н/д")</f>
        <v>3961</v>
      </c>
      <c r="H3" s="13">
        <f>IFERROR('Rate Shopper Алушта'!AF16,"н/д")</f>
        <v>3961</v>
      </c>
      <c r="I3" s="13">
        <f>IFERROR('Rate Shopper Алушта'!AM16,"н/д")</f>
        <v>3929.4814814814813</v>
      </c>
      <c r="J3" s="13" t="str">
        <f>IFERROR('Rate Shopper Алушта'!AT16,"н/д")</f>
        <v>н/д</v>
      </c>
      <c r="K3" s="13" t="str">
        <f>IFERROR('Rate Shopper Алушта'!BA16,"н/д")</f>
        <v>н/д</v>
      </c>
      <c r="L3" s="13" t="str">
        <f>IFERROR('Rate Shopper Алушта'!BH16,"н/д")</f>
        <v>н/д</v>
      </c>
      <c r="M3" s="13" t="str">
        <f>IFERROR('Rate Shopper Алушта'!BO16,"н/д")</f>
        <v>н/д</v>
      </c>
      <c r="N3" s="13" t="str">
        <f>IFERROR('Rate Shopper Алушта'!BV16,"н/д")</f>
        <v>н/д</v>
      </c>
      <c r="O3" s="13" t="str">
        <f>IFERROR('Rate Shopper Алушта'!CC16,"н/д")</f>
        <v>н/д</v>
      </c>
      <c r="P3" s="13">
        <f t="shared" ref="P3:P8" si="0">AVERAGE(D3:O3)</f>
        <v>5802.9433945186638</v>
      </c>
    </row>
    <row r="4" spans="1:16">
      <c r="A4" s="12" t="str">
        <f>'Rate Shopper Алушта'!A18</f>
        <v>Курорт-отель Демерджи</v>
      </c>
      <c r="B4" s="12">
        <v>3</v>
      </c>
      <c r="C4" s="12">
        <v>131</v>
      </c>
      <c r="D4" s="13">
        <f>IFERROR('Rate Shopper Алушта'!D24,"н/д")</f>
        <v>13404.166666666666</v>
      </c>
      <c r="E4" s="13">
        <f>IFERROR('Rate Shopper Алушта'!K24,"н/д")</f>
        <v>13757.142857142857</v>
      </c>
      <c r="F4" s="13">
        <f>IFERROR('Rate Shopper Алушта'!R24,"н/д")</f>
        <v>9464</v>
      </c>
      <c r="G4" s="13" t="str">
        <f>IFERROR('Rate Shopper Алушта'!Y24,"н/д")</f>
        <v>н/д</v>
      </c>
      <c r="H4" s="13">
        <f>IFERROR('Rate Shopper Алушта'!AF24,"н/д")</f>
        <v>7826</v>
      </c>
      <c r="I4" s="13" t="str">
        <f>IFERROR('Rate Shopper Алушта'!AM24,"н/д")</f>
        <v>н/д</v>
      </c>
      <c r="J4" s="13" t="str">
        <f>IFERROR('Rate Shopper Алушта'!AT24,"н/д")</f>
        <v>н/д</v>
      </c>
      <c r="K4" s="13" t="str">
        <f>IFERROR('Rate Shopper Алушта'!BA24,"н/д")</f>
        <v>н/д</v>
      </c>
      <c r="L4" s="13" t="str">
        <f>IFERROR('Rate Shopper Алушта'!BH24,"н/д")</f>
        <v>н/д</v>
      </c>
      <c r="M4" s="13" t="str">
        <f>IFERROR('Rate Shopper Алушта'!BO24,"н/д")</f>
        <v>н/д</v>
      </c>
      <c r="N4" s="13" t="str">
        <f>IFERROR('Rate Shopper Алушта'!BV24,"н/д")</f>
        <v>н/д</v>
      </c>
      <c r="O4" s="13" t="str">
        <f>IFERROR('Rate Shopper Алушта'!CC24,"н/д")</f>
        <v>н/д</v>
      </c>
      <c r="P4" s="13">
        <f t="shared" si="0"/>
        <v>11112.827380952382</v>
      </c>
    </row>
    <row r="5" spans="1:16">
      <c r="A5" s="12" t="str">
        <f>'Rate Shopper Алушта'!A26</f>
        <v>Гранатовое поместье</v>
      </c>
      <c r="B5" s="12">
        <v>3</v>
      </c>
      <c r="C5" s="12">
        <v>18</v>
      </c>
      <c r="D5" s="13">
        <f>IFERROR('Rate Shopper Алушта'!D32,"н/д")</f>
        <v>8232.2916666666661</v>
      </c>
      <c r="E5" s="13">
        <f>IFERROR('Rate Shopper Алушта'!K32,"н/д")</f>
        <v>8417.5</v>
      </c>
      <c r="F5" s="13">
        <f>IFERROR('Rate Shopper Алушта'!R32,"н/д")</f>
        <v>7280</v>
      </c>
      <c r="G5" s="13">
        <f>IFERROR('Rate Shopper Алушта'!Y32,"н/д")</f>
        <v>4277</v>
      </c>
      <c r="H5" s="13">
        <f>IFERROR('Rate Shopper Алушта'!AF32,"н/д")</f>
        <v>4277</v>
      </c>
      <c r="I5" s="13" t="str">
        <f>IFERROR('Rate Shopper Алушта'!AM32,"н/д")</f>
        <v>н/д</v>
      </c>
      <c r="J5" s="13" t="str">
        <f>IFERROR('Rate Shopper Алушта'!AT32,"н/д")</f>
        <v>н/д</v>
      </c>
      <c r="K5" s="13" t="str">
        <f>IFERROR('Rate Shopper Алушта'!BA32,"н/д")</f>
        <v>н/д</v>
      </c>
      <c r="L5" s="13" t="str">
        <f>IFERROR('Rate Shopper Алушта'!BH32,"н/д")</f>
        <v>н/д</v>
      </c>
      <c r="M5" s="13" t="str">
        <f>IFERROR('Rate Shopper Алушта'!BO32,"н/д")</f>
        <v>н/д</v>
      </c>
      <c r="N5" s="13" t="str">
        <f>IFERROR('Rate Shopper Алушта'!BV32,"н/д")</f>
        <v>н/д</v>
      </c>
      <c r="O5" s="13" t="str">
        <f>IFERROR('Rate Shopper Алушта'!CC32,"н/д")</f>
        <v>н/д</v>
      </c>
      <c r="P5" s="13">
        <f t="shared" si="0"/>
        <v>6496.7583333333332</v>
      </c>
    </row>
    <row r="6" spans="1:16">
      <c r="A6" s="12" t="str">
        <f>'Rate Shopper Алушта'!A34</f>
        <v>Море, спа-отель</v>
      </c>
      <c r="B6" s="12">
        <v>5</v>
      </c>
      <c r="C6" s="12">
        <v>354</v>
      </c>
      <c r="D6" s="13">
        <f>IFERROR('Rate Shopper Алушта'!D40,"н/д")</f>
        <v>21112.5</v>
      </c>
      <c r="E6" s="13">
        <f>IFERROR('Rate Shopper Алушта'!K40,"н/д")</f>
        <v>21214.285714285714</v>
      </c>
      <c r="F6" s="13" t="str">
        <f>IFERROR('Rate Shopper Алушта'!R40,"н/д")</f>
        <v>н/д</v>
      </c>
      <c r="G6" s="13">
        <f>IFERROR('Rate Shopper Алушта'!Y40,"н/д")</f>
        <v>13100</v>
      </c>
      <c r="H6" s="13">
        <f>IFERROR('Rate Shopper Алушта'!AF40,"н/д")</f>
        <v>12400</v>
      </c>
      <c r="I6" s="13" t="str">
        <f>IFERROR('Rate Shopper Алушта'!AM40,"н/д")</f>
        <v>н/д</v>
      </c>
      <c r="J6" s="13" t="str">
        <f>IFERROR('Rate Shopper Алушта'!AT40,"н/д")</f>
        <v>н/д</v>
      </c>
      <c r="K6" s="13" t="str">
        <f>IFERROR('Rate Shopper Алушта'!BA40,"н/д")</f>
        <v>н/д</v>
      </c>
      <c r="L6" s="13" t="str">
        <f>IFERROR('Rate Shopper Алушта'!BH40,"н/д")</f>
        <v>н/д</v>
      </c>
      <c r="M6" s="13" t="str">
        <f>IFERROR('Rate Shopper Алушта'!BO40,"н/д")</f>
        <v>н/д</v>
      </c>
      <c r="N6" s="13" t="str">
        <f>IFERROR('Rate Shopper Алушта'!BV40,"н/д")</f>
        <v>н/д</v>
      </c>
      <c r="O6" s="13" t="str">
        <f>IFERROR('Rate Shopper Алушта'!CC40,"н/д")</f>
        <v>н/д</v>
      </c>
      <c r="P6" s="13">
        <f t="shared" si="0"/>
        <v>16956.696428571428</v>
      </c>
    </row>
    <row r="7" spans="1:16">
      <c r="A7" s="12" t="str">
        <f>'Rate Shopper Алушта'!A42</f>
        <v>Калипсо</v>
      </c>
      <c r="B7" s="12">
        <v>3</v>
      </c>
      <c r="C7" s="12">
        <v>30</v>
      </c>
      <c r="D7" s="13">
        <f>IFERROR('Rate Shopper Алушта'!D48,"н/д")</f>
        <v>11333.333333333334</v>
      </c>
      <c r="E7" s="13">
        <f>IFERROR('Rate Shopper Алушта'!K48,"н/д")</f>
        <v>12136.857142857143</v>
      </c>
      <c r="F7" s="13">
        <f>IFERROR('Rate Shopper Алушта'!R48,"н/д")</f>
        <v>11500</v>
      </c>
      <c r="G7" s="13" t="str">
        <f>IFERROR('Rate Shopper Алушта'!Y48,"н/д")</f>
        <v>н/д</v>
      </c>
      <c r="H7" s="13">
        <f>IFERROR('Rate Shopper Алушта'!AF48,"н/д")</f>
        <v>7500</v>
      </c>
      <c r="I7" s="13" t="str">
        <f>IFERROR('Rate Shopper Алушта'!AM48,"н/д")</f>
        <v>н/д</v>
      </c>
      <c r="J7" s="13" t="str">
        <f>IFERROR('Rate Shopper Алушта'!AT48,"н/д")</f>
        <v>н/д</v>
      </c>
      <c r="K7" s="13" t="str">
        <f>IFERROR('Rate Shopper Алушта'!BA48,"н/д")</f>
        <v>н/д</v>
      </c>
      <c r="L7" s="13" t="str">
        <f>IFERROR('Rate Shopper Алушта'!BH48,"н/д")</f>
        <v>н/д</v>
      </c>
      <c r="M7" s="13" t="str">
        <f>IFERROR('Rate Shopper Алушта'!BO48,"н/д")</f>
        <v>н/д</v>
      </c>
      <c r="N7" s="13" t="str">
        <f>IFERROR('Rate Shopper Алушта'!BV48,"н/д")</f>
        <v>н/д</v>
      </c>
      <c r="O7" s="13" t="str">
        <f>IFERROR('Rate Shopper Алушта'!CC48,"н/д")</f>
        <v>н/д</v>
      </c>
      <c r="P7" s="13">
        <f t="shared" si="0"/>
        <v>10617.547619047618</v>
      </c>
    </row>
    <row r="8" spans="1:16">
      <c r="A8" s="12" t="str">
        <f>'Rate Shopper Алушта'!A50</f>
        <v>Вилла "ИваМария"</v>
      </c>
      <c r="B8" s="12">
        <v>4</v>
      </c>
      <c r="C8" s="12">
        <v>55</v>
      </c>
      <c r="D8" s="13">
        <f>IFERROR('Rate Shopper Алушта'!D56,"н/д")</f>
        <v>16079.166666666666</v>
      </c>
      <c r="E8" s="13">
        <f>IFERROR('Rate Shopper Алушта'!K56,"н/д")</f>
        <v>14861.666666666666</v>
      </c>
      <c r="F8" s="13" t="str">
        <f>IFERROR('Rate Shopper Алушта'!R56,"н/д")</f>
        <v>н/д</v>
      </c>
      <c r="G8" s="13" t="str">
        <f>IFERROR('Rate Shopper Алушта'!Y56,"н/д")</f>
        <v>н/д</v>
      </c>
      <c r="H8" s="13" t="str">
        <f>IFERROR('Rate Shopper Алушта'!AF56,"н/д")</f>
        <v>н/д</v>
      </c>
      <c r="I8" s="13" t="str">
        <f>IFERROR('Rate Shopper Алушта'!AM56,"н/д")</f>
        <v>н/д</v>
      </c>
      <c r="J8" s="13" t="str">
        <f>IFERROR('Rate Shopper Алушта'!AT56,"н/д")</f>
        <v>н/д</v>
      </c>
      <c r="K8" s="13" t="str">
        <f>IFERROR('Rate Shopper Алушта'!BA56,"н/д")</f>
        <v>н/д</v>
      </c>
      <c r="L8" s="13" t="str">
        <f>IFERROR('Rate Shopper Алушта'!BH56,"н/д")</f>
        <v>н/д</v>
      </c>
      <c r="M8" s="13" t="str">
        <f>IFERROR('Rate Shopper Алушта'!BO56,"н/д")</f>
        <v>н/д</v>
      </c>
      <c r="N8" s="13" t="str">
        <f>IFERROR('Rate Shopper Алушта'!BV56,"н/д")</f>
        <v>н/д</v>
      </c>
      <c r="O8" s="13" t="str">
        <f>IFERROR('Rate Shopper Алушта'!CC56,"н/д")</f>
        <v>н/д</v>
      </c>
      <c r="P8" s="13">
        <f t="shared" si="0"/>
        <v>15470.416666666666</v>
      </c>
    </row>
    <row r="9" spans="1:16">
      <c r="D9" s="13">
        <f>IFERROR(AVERAGE(D2:D8),"н/д")</f>
        <v>12829.788419913419</v>
      </c>
      <c r="E9" s="13">
        <f t="shared" ref="E9:O9" si="1">IFERROR(AVERAGE(E2:E8),"н/д")</f>
        <v>12843.566929997805</v>
      </c>
      <c r="F9" s="13">
        <f t="shared" si="1"/>
        <v>8773.4</v>
      </c>
      <c r="G9" s="13">
        <f t="shared" si="1"/>
        <v>7392.8194444444443</v>
      </c>
      <c r="H9" s="13">
        <f t="shared" si="1"/>
        <v>7476.7666666666664</v>
      </c>
      <c r="I9" s="13">
        <f t="shared" si="1"/>
        <v>5879.7407407407409</v>
      </c>
      <c r="J9" s="13" t="str">
        <f t="shared" si="1"/>
        <v>н/д</v>
      </c>
      <c r="K9" s="13" t="str">
        <f t="shared" si="1"/>
        <v>н/д</v>
      </c>
      <c r="L9" s="13" t="str">
        <f t="shared" si="1"/>
        <v>н/д</v>
      </c>
      <c r="M9" s="13" t="str">
        <f t="shared" si="1"/>
        <v>н/д</v>
      </c>
      <c r="N9" s="13" t="str">
        <f t="shared" si="1"/>
        <v>н/д</v>
      </c>
      <c r="O9" s="13" t="str">
        <f t="shared" si="1"/>
        <v>н/д</v>
      </c>
      <c r="P9" s="13">
        <f>AVERAGE(P2:P8)</f>
        <v>10845.81939442335</v>
      </c>
    </row>
    <row r="11" spans="1:16">
      <c r="D11" s="13">
        <f>IFERROR(AVERAGEIF($B$2:$B$8,"&gt;3",D2:D9),"н/д")</f>
        <v>14209.681818181818</v>
      </c>
      <c r="E11" s="13">
        <f t="shared" ref="E11:P11" si="2">IFERROR(AVERAGEIF($B$2:$B$8,"&gt;3",E2:E9),"н/д")</f>
        <v>13898.367127496158</v>
      </c>
      <c r="F11" s="13">
        <f t="shared" si="2"/>
        <v>7811.5</v>
      </c>
      <c r="G11" s="13">
        <f t="shared" si="2"/>
        <v>8431.4259259259252</v>
      </c>
      <c r="H11" s="13">
        <f t="shared" si="2"/>
        <v>8419.1999999999989</v>
      </c>
      <c r="I11" s="13">
        <f t="shared" si="2"/>
        <v>5879.7407407407409</v>
      </c>
      <c r="J11" s="13" t="str">
        <f t="shared" si="2"/>
        <v>н/д</v>
      </c>
      <c r="K11" s="13" t="str">
        <f t="shared" si="2"/>
        <v>н/д</v>
      </c>
      <c r="L11" s="13" t="str">
        <f t="shared" si="2"/>
        <v>н/д</v>
      </c>
      <c r="M11" s="13" t="str">
        <f t="shared" si="2"/>
        <v>н/д</v>
      </c>
      <c r="N11" s="13" t="str">
        <f t="shared" si="2"/>
        <v>н/д</v>
      </c>
      <c r="O11" s="13" t="str">
        <f t="shared" si="2"/>
        <v>н/д</v>
      </c>
      <c r="P11" s="13">
        <f t="shared" si="2"/>
        <v>11923.400606907528</v>
      </c>
    </row>
    <row r="12" spans="1:16">
      <c r="D12" s="13">
        <f>IFERROR(AVERAGEIF($B$2:$B$8,"&lt;4",D2:D8),"н/д")</f>
        <v>10989.930555555555</v>
      </c>
      <c r="E12" s="13">
        <f t="shared" ref="E12:P12" si="3">IFERROR(AVERAGEIF($B$2:$B$8,"&lt;4",E2:E8),"н/д")</f>
        <v>11437.166666666666</v>
      </c>
      <c r="F12" s="13">
        <f t="shared" si="3"/>
        <v>9414.6666666666661</v>
      </c>
      <c r="G12" s="13">
        <f t="shared" si="3"/>
        <v>4277</v>
      </c>
      <c r="H12" s="13">
        <f t="shared" si="3"/>
        <v>6534.333333333333</v>
      </c>
      <c r="I12" s="13" t="str">
        <f t="shared" si="3"/>
        <v>н/д</v>
      </c>
      <c r="J12" s="13" t="str">
        <f t="shared" si="3"/>
        <v>н/д</v>
      </c>
      <c r="K12" s="13" t="str">
        <f t="shared" si="3"/>
        <v>н/д</v>
      </c>
      <c r="L12" s="13" t="str">
        <f t="shared" si="3"/>
        <v>н/д</v>
      </c>
      <c r="M12" s="13" t="str">
        <f t="shared" si="3"/>
        <v>н/д</v>
      </c>
      <c r="N12" s="13" t="str">
        <f t="shared" si="3"/>
        <v>н/д</v>
      </c>
      <c r="O12" s="13" t="str">
        <f t="shared" si="3"/>
        <v>н/д</v>
      </c>
      <c r="P12" s="13">
        <f t="shared" si="3"/>
        <v>9409.0444444444438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3"/>
  <sheetViews>
    <sheetView workbookViewId="0">
      <selection activeCell="M4" sqref="M4"/>
    </sheetView>
  </sheetViews>
  <sheetFormatPr defaultColWidth="10.875" defaultRowHeight="12"/>
  <cols>
    <col min="1" max="16384" width="10.875" style="17"/>
  </cols>
  <sheetData>
    <row r="2" spans="1:16">
      <c r="A2" s="14" t="s">
        <v>66</v>
      </c>
      <c r="B2" s="15" t="s">
        <v>67</v>
      </c>
      <c r="C2" s="16" t="s">
        <v>59</v>
      </c>
      <c r="D2" s="16" t="s">
        <v>60</v>
      </c>
      <c r="E2" s="16" t="s">
        <v>61</v>
      </c>
      <c r="F2" s="16" t="s">
        <v>62</v>
      </c>
      <c r="G2" s="16" t="s">
        <v>63</v>
      </c>
      <c r="H2" s="16" t="s">
        <v>64</v>
      </c>
      <c r="I2" s="16" t="s">
        <v>53</v>
      </c>
      <c r="J2" s="16" t="s">
        <v>54</v>
      </c>
      <c r="K2" s="16" t="s">
        <v>55</v>
      </c>
      <c r="L2" s="16" t="s">
        <v>56</v>
      </c>
      <c r="M2" s="16" t="s">
        <v>57</v>
      </c>
      <c r="N2" s="16" t="s">
        <v>58</v>
      </c>
    </row>
    <row r="3" spans="1:16">
      <c r="A3" s="18">
        <v>2024</v>
      </c>
      <c r="B3" s="15"/>
      <c r="C3" s="19">
        <v>8216.653939948088</v>
      </c>
      <c r="D3" s="19">
        <v>6749.1293148950945</v>
      </c>
      <c r="E3" s="19">
        <v>5217.4243633923052</v>
      </c>
      <c r="F3" s="19">
        <v>6136.4987169003662</v>
      </c>
      <c r="G3" s="19">
        <v>8014.1084507867326</v>
      </c>
      <c r="H3" s="19">
        <v>10945.62567395041</v>
      </c>
      <c r="I3" s="19">
        <v>14209.681818181818</v>
      </c>
      <c r="J3" s="19">
        <v>13898.367127496158</v>
      </c>
      <c r="K3" s="19">
        <v>7811.5</v>
      </c>
      <c r="L3" s="19">
        <v>8431.4259259259252</v>
      </c>
      <c r="M3" s="19">
        <v>8419.1999999999989</v>
      </c>
      <c r="N3" s="19">
        <v>5879.7407407407409</v>
      </c>
      <c r="O3" s="20">
        <f>AVERAGE(C3:N3)</f>
        <v>8660.7796726848028</v>
      </c>
      <c r="P3" s="17">
        <f>O3*O9</f>
        <v>4099.435711737473</v>
      </c>
    </row>
    <row r="4" spans="1:16">
      <c r="A4" s="18">
        <v>2023</v>
      </c>
      <c r="B4" s="15"/>
      <c r="C4" s="19">
        <v>7531.9327782857472</v>
      </c>
      <c r="D4" s="19">
        <v>7362.686525340102</v>
      </c>
      <c r="E4" s="19">
        <v>6166.0469749181784</v>
      </c>
      <c r="F4" s="19">
        <v>7266.9063752767497</v>
      </c>
      <c r="G4" s="19">
        <v>9756.3059400881957</v>
      </c>
      <c r="H4" s="19">
        <v>12725.40220630007</v>
      </c>
      <c r="I4" s="19">
        <v>15476.500000000004</v>
      </c>
      <c r="J4" s="19">
        <v>16142.951612903225</v>
      </c>
      <c r="K4" s="19">
        <v>8250.6666666666679</v>
      </c>
      <c r="L4" s="19">
        <v>5533.9354838709669</v>
      </c>
      <c r="M4" s="19">
        <v>5116.7999999999993</v>
      </c>
      <c r="N4" s="19">
        <v>5891.5161290322594</v>
      </c>
      <c r="O4" s="20">
        <f t="shared" ref="O4:O6" si="0">AVERAGE(C4:N4)</f>
        <v>8935.137557723514</v>
      </c>
      <c r="P4" s="17">
        <f t="shared" ref="P4:P6" si="1">O4*O10</f>
        <v>4571.8120503685313</v>
      </c>
    </row>
    <row r="5" spans="1:16">
      <c r="A5" s="18">
        <v>2022</v>
      </c>
      <c r="B5" s="15"/>
      <c r="C5" s="19">
        <v>6847.2116166234064</v>
      </c>
      <c r="D5" s="19">
        <v>6135.5721044500851</v>
      </c>
      <c r="E5" s="19">
        <v>4743.1130576293681</v>
      </c>
      <c r="F5" s="19">
        <v>5382.8936113161108</v>
      </c>
      <c r="G5" s="19">
        <v>6968.789957205855</v>
      </c>
      <c r="H5" s="19">
        <v>8898.882661748301</v>
      </c>
      <c r="I5" s="19">
        <v>11905.000000000002</v>
      </c>
      <c r="J5" s="19">
        <v>11957.741935483869</v>
      </c>
      <c r="K5" s="19">
        <v>6346.6666666666679</v>
      </c>
      <c r="L5" s="19">
        <v>4611.6129032258059</v>
      </c>
      <c r="M5" s="19">
        <v>3935.9999999999995</v>
      </c>
      <c r="N5" s="19">
        <v>4364.0860215053772</v>
      </c>
      <c r="O5" s="20">
        <f t="shared" si="0"/>
        <v>6841.4642113212385</v>
      </c>
      <c r="P5" s="17">
        <f t="shared" si="1"/>
        <v>2873.4149687549198</v>
      </c>
    </row>
    <row r="6" spans="1:16">
      <c r="A6" s="18">
        <v>2021</v>
      </c>
      <c r="B6" s="15"/>
      <c r="C6" s="19">
        <v>8559.0145207792575</v>
      </c>
      <c r="D6" s="19">
        <v>7808.9099511182885</v>
      </c>
      <c r="E6" s="19">
        <v>7707.5587186477223</v>
      </c>
      <c r="F6" s="19">
        <v>8971.4893521935173</v>
      </c>
      <c r="G6" s="19">
        <v>11614.649928676425</v>
      </c>
      <c r="H6" s="19">
        <v>15646.387097579431</v>
      </c>
      <c r="I6" s="19">
        <v>20481.720430107529</v>
      </c>
      <c r="J6" s="19">
        <v>21398.06451612903</v>
      </c>
      <c r="K6" s="19">
        <v>11847.111111111113</v>
      </c>
      <c r="L6" s="19">
        <v>7493.8709677419347</v>
      </c>
      <c r="M6" s="19">
        <v>5760</v>
      </c>
      <c r="N6" s="19">
        <v>6713.9784946236559</v>
      </c>
      <c r="O6" s="20">
        <f t="shared" si="0"/>
        <v>11166.896257392325</v>
      </c>
      <c r="P6" s="17">
        <f t="shared" si="1"/>
        <v>4277.0143240500729</v>
      </c>
    </row>
    <row r="7" spans="1:16">
      <c r="C7" s="20"/>
    </row>
    <row r="8" spans="1:16">
      <c r="A8" s="14" t="s">
        <v>68</v>
      </c>
      <c r="B8" s="15" t="s">
        <v>67</v>
      </c>
      <c r="C8" s="16" t="str">
        <f>C2</f>
        <v>Январь</v>
      </c>
      <c r="D8" s="16" t="str">
        <f t="shared" ref="D8:N8" si="2">D2</f>
        <v>Февраль</v>
      </c>
      <c r="E8" s="16" t="str">
        <f t="shared" si="2"/>
        <v>Март</v>
      </c>
      <c r="F8" s="16" t="str">
        <f t="shared" si="2"/>
        <v>Апрель</v>
      </c>
      <c r="G8" s="16" t="str">
        <f t="shared" si="2"/>
        <v>Май</v>
      </c>
      <c r="H8" s="16" t="str">
        <f t="shared" si="2"/>
        <v>Июнь</v>
      </c>
      <c r="I8" s="16" t="str">
        <f t="shared" si="2"/>
        <v>Июль</v>
      </c>
      <c r="J8" s="16" t="str">
        <f t="shared" si="2"/>
        <v>Август</v>
      </c>
      <c r="K8" s="16" t="str">
        <f t="shared" si="2"/>
        <v>Сентябрь</v>
      </c>
      <c r="L8" s="16" t="str">
        <f t="shared" si="2"/>
        <v>Октябрь</v>
      </c>
      <c r="M8" s="16" t="str">
        <f t="shared" si="2"/>
        <v>Ноябрь</v>
      </c>
      <c r="N8" s="16" t="str">
        <f t="shared" si="2"/>
        <v>Декабрь</v>
      </c>
    </row>
    <row r="9" spans="1:16">
      <c r="A9" s="18">
        <v>2024</v>
      </c>
      <c r="B9" s="15"/>
      <c r="C9" s="21">
        <v>0.45</v>
      </c>
      <c r="D9" s="21">
        <v>0.33</v>
      </c>
      <c r="E9" s="21">
        <v>0.35</v>
      </c>
      <c r="F9" s="21">
        <v>0.44</v>
      </c>
      <c r="G9" s="21">
        <v>0.56999999999999995</v>
      </c>
      <c r="H9" s="21">
        <v>0.7</v>
      </c>
      <c r="I9" s="21"/>
      <c r="J9" s="21"/>
      <c r="K9" s="21"/>
      <c r="L9" s="21"/>
      <c r="M9" s="21"/>
      <c r="N9" s="21"/>
      <c r="O9" s="22">
        <f>AVERAGE(C9:N9)</f>
        <v>0.47333333333333333</v>
      </c>
    </row>
    <row r="10" spans="1:16">
      <c r="A10" s="18">
        <v>2023</v>
      </c>
      <c r="B10" s="15"/>
      <c r="C10" s="21">
        <v>0.37800000000000006</v>
      </c>
      <c r="D10" s="21">
        <v>0.252</v>
      </c>
      <c r="E10" s="21">
        <v>0.32</v>
      </c>
      <c r="F10" s="21">
        <v>0.4</v>
      </c>
      <c r="G10" s="21">
        <v>0.55000000000000004</v>
      </c>
      <c r="H10" s="21">
        <v>0.65</v>
      </c>
      <c r="I10" s="21">
        <v>0.68</v>
      </c>
      <c r="J10" s="21">
        <v>0.74</v>
      </c>
      <c r="K10" s="21">
        <v>0.7</v>
      </c>
      <c r="L10" s="21">
        <v>0.62</v>
      </c>
      <c r="M10" s="21">
        <v>0.35</v>
      </c>
      <c r="N10" s="21">
        <v>0.5</v>
      </c>
      <c r="O10" s="22">
        <f t="shared" ref="O10:O12" si="3">AVERAGE(C10:N10)</f>
        <v>0.51166666666666671</v>
      </c>
    </row>
    <row r="11" spans="1:16">
      <c r="A11" s="18">
        <v>2022</v>
      </c>
      <c r="B11" s="15"/>
      <c r="C11" s="21">
        <v>0.28000000000000003</v>
      </c>
      <c r="D11" s="21">
        <v>0.2</v>
      </c>
      <c r="E11" s="21">
        <v>0.2</v>
      </c>
      <c r="F11" s="21">
        <v>0.43</v>
      </c>
      <c r="G11" s="21">
        <v>0.44</v>
      </c>
      <c r="H11" s="21">
        <v>0.56999999999999995</v>
      </c>
      <c r="I11" s="21">
        <v>0.66</v>
      </c>
      <c r="J11" s="21">
        <v>0.72</v>
      </c>
      <c r="K11" s="21">
        <v>0.47</v>
      </c>
      <c r="L11" s="21">
        <v>0.45</v>
      </c>
      <c r="M11" s="21">
        <v>0.27</v>
      </c>
      <c r="N11" s="21">
        <v>0.35</v>
      </c>
      <c r="O11" s="22">
        <f t="shared" si="3"/>
        <v>0.41999999999999993</v>
      </c>
    </row>
    <row r="12" spans="1:16">
      <c r="A12" s="18">
        <v>2021</v>
      </c>
      <c r="B12" s="15"/>
      <c r="C12" s="21">
        <v>0.29400000000000004</v>
      </c>
      <c r="D12" s="21">
        <v>0.22000000000000003</v>
      </c>
      <c r="E12" s="21">
        <v>0.25600000000000001</v>
      </c>
      <c r="F12" s="21">
        <v>0.36119999999999997</v>
      </c>
      <c r="G12" s="21">
        <v>0.39600000000000002</v>
      </c>
      <c r="H12" s="21">
        <v>0.51869999999999994</v>
      </c>
      <c r="I12" s="21">
        <v>0.61380000000000001</v>
      </c>
      <c r="J12" s="21">
        <v>0.68399999999999994</v>
      </c>
      <c r="K12" s="21">
        <v>0.35249999999999998</v>
      </c>
      <c r="L12" s="21">
        <v>0.36000000000000004</v>
      </c>
      <c r="M12" s="21">
        <v>0.22140000000000001</v>
      </c>
      <c r="N12" s="21">
        <v>0.31850000000000001</v>
      </c>
      <c r="O12" s="22">
        <f t="shared" si="3"/>
        <v>0.3830083333333334</v>
      </c>
    </row>
    <row r="18" spans="8:14" ht="14.25">
      <c r="H18" s="23"/>
      <c r="I18" s="23"/>
      <c r="J18" s="23"/>
      <c r="K18" s="23"/>
      <c r="L18" s="23"/>
      <c r="M18" s="23"/>
      <c r="N18" s="23"/>
    </row>
    <row r="19" spans="8:14" ht="14.25">
      <c r="H19" s="23"/>
      <c r="I19" s="23"/>
      <c r="J19" s="23"/>
      <c r="K19" s="23"/>
      <c r="L19" s="23"/>
      <c r="M19" s="23"/>
      <c r="N19" s="23"/>
    </row>
    <row r="20" spans="8:14" ht="14.25">
      <c r="H20" s="23"/>
      <c r="I20" s="23"/>
      <c r="J20" s="23"/>
      <c r="K20" s="23"/>
      <c r="L20" s="23"/>
      <c r="M20" s="23"/>
      <c r="N20" s="23"/>
    </row>
    <row r="21" spans="8:14" ht="14.25">
      <c r="H21" s="23"/>
      <c r="I21" s="23"/>
      <c r="J21" s="23"/>
      <c r="K21" s="23"/>
      <c r="L21" s="23"/>
      <c r="M21" s="23"/>
      <c r="N21" s="23"/>
    </row>
    <row r="22" spans="8:14" ht="14.25">
      <c r="H22" s="23"/>
      <c r="I22" s="23"/>
      <c r="J22" s="23"/>
      <c r="K22" s="23"/>
      <c r="L22" s="23"/>
      <c r="M22" s="23"/>
      <c r="N22" s="23"/>
    </row>
    <row r="23" spans="8:14" ht="14.25">
      <c r="H23" s="23"/>
      <c r="I23" s="23"/>
      <c r="J23" s="23"/>
      <c r="K23" s="23"/>
      <c r="L23" s="23"/>
      <c r="M23" s="23"/>
      <c r="N23" s="23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2"/>
  <sheetViews>
    <sheetView workbookViewId="0">
      <selection activeCell="M18" sqref="M18"/>
    </sheetView>
  </sheetViews>
  <sheetFormatPr defaultColWidth="10.625" defaultRowHeight="15.75"/>
  <cols>
    <col min="1" max="1" width="16.75" bestFit="1" customWidth="1"/>
    <col min="2" max="2" width="25" bestFit="1" customWidth="1"/>
  </cols>
  <sheetData>
    <row r="1" spans="1:2">
      <c r="A1" s="41" t="s">
        <v>101</v>
      </c>
      <c r="B1">
        <f>COUNTA(A:A)-3</f>
        <v>149</v>
      </c>
    </row>
    <row r="2" spans="1:2">
      <c r="A2" s="42">
        <v>501</v>
      </c>
    </row>
    <row r="3" spans="1:2">
      <c r="A3" s="42">
        <v>502</v>
      </c>
    </row>
    <row r="4" spans="1:2">
      <c r="A4" s="42">
        <v>503</v>
      </c>
    </row>
    <row r="5" spans="1:2">
      <c r="A5" s="42">
        <v>504</v>
      </c>
    </row>
    <row r="6" spans="1:2">
      <c r="A6" s="42">
        <v>505</v>
      </c>
    </row>
    <row r="7" spans="1:2">
      <c r="A7" s="42">
        <v>506</v>
      </c>
    </row>
    <row r="8" spans="1:2">
      <c r="A8" s="42">
        <v>507</v>
      </c>
    </row>
    <row r="9" spans="1:2">
      <c r="A9" s="42">
        <v>508</v>
      </c>
    </row>
    <row r="10" spans="1:2">
      <c r="A10" s="42">
        <v>509</v>
      </c>
    </row>
    <row r="11" spans="1:2">
      <c r="A11" s="42">
        <v>510</v>
      </c>
    </row>
    <row r="12" spans="1:2">
      <c r="A12" s="42">
        <v>511</v>
      </c>
    </row>
    <row r="13" spans="1:2">
      <c r="A13" s="42">
        <v>512</v>
      </c>
    </row>
    <row r="14" spans="1:2">
      <c r="A14" s="42">
        <v>513</v>
      </c>
    </row>
    <row r="15" spans="1:2">
      <c r="A15" s="42">
        <v>514</v>
      </c>
    </row>
    <row r="16" spans="1:2">
      <c r="A16" s="42">
        <v>515</v>
      </c>
    </row>
    <row r="17" spans="1:1">
      <c r="A17" s="42">
        <v>516</v>
      </c>
    </row>
    <row r="18" spans="1:1">
      <c r="A18" s="42">
        <v>517</v>
      </c>
    </row>
    <row r="19" spans="1:1">
      <c r="A19" s="42">
        <v>518</v>
      </c>
    </row>
    <row r="20" spans="1:1">
      <c r="A20" s="42">
        <v>519</v>
      </c>
    </row>
    <row r="21" spans="1:1">
      <c r="A21" s="42">
        <v>520</v>
      </c>
    </row>
    <row r="22" spans="1:1">
      <c r="A22" s="42">
        <v>521</v>
      </c>
    </row>
    <row r="23" spans="1:1">
      <c r="A23" s="42">
        <v>522</v>
      </c>
    </row>
    <row r="24" spans="1:1">
      <c r="A24" s="42">
        <v>523</v>
      </c>
    </row>
    <row r="25" spans="1:1">
      <c r="A25" s="42">
        <v>524</v>
      </c>
    </row>
    <row r="26" spans="1:1">
      <c r="A26" s="42">
        <v>525</v>
      </c>
    </row>
    <row r="27" spans="1:1">
      <c r="A27" s="42">
        <v>526</v>
      </c>
    </row>
    <row r="28" spans="1:1">
      <c r="A28" s="42">
        <v>527</v>
      </c>
    </row>
    <row r="29" spans="1:1">
      <c r="A29" s="42">
        <v>528</v>
      </c>
    </row>
    <row r="30" spans="1:1">
      <c r="A30" s="42">
        <v>529</v>
      </c>
    </row>
    <row r="31" spans="1:1">
      <c r="A31" s="42">
        <v>530</v>
      </c>
    </row>
    <row r="32" spans="1:1">
      <c r="A32" s="42">
        <v>601</v>
      </c>
    </row>
    <row r="33" spans="1:1">
      <c r="A33" s="42">
        <v>602</v>
      </c>
    </row>
    <row r="34" spans="1:1">
      <c r="A34" s="42">
        <v>603</v>
      </c>
    </row>
    <row r="35" spans="1:1">
      <c r="A35" s="42">
        <v>604</v>
      </c>
    </row>
    <row r="36" spans="1:1">
      <c r="A36" s="42">
        <v>605</v>
      </c>
    </row>
    <row r="37" spans="1:1">
      <c r="A37" s="42">
        <v>606</v>
      </c>
    </row>
    <row r="38" spans="1:1">
      <c r="A38" s="42">
        <v>607</v>
      </c>
    </row>
    <row r="39" spans="1:1">
      <c r="A39" s="42">
        <v>608</v>
      </c>
    </row>
    <row r="40" spans="1:1">
      <c r="A40" s="42">
        <v>609</v>
      </c>
    </row>
    <row r="41" spans="1:1">
      <c r="A41" s="42">
        <v>610</v>
      </c>
    </row>
    <row r="42" spans="1:1">
      <c r="A42" s="42">
        <v>611</v>
      </c>
    </row>
    <row r="43" spans="1:1">
      <c r="A43" s="42">
        <v>612</v>
      </c>
    </row>
    <row r="44" spans="1:1">
      <c r="A44" s="42">
        <v>613</v>
      </c>
    </row>
    <row r="45" spans="1:1">
      <c r="A45" s="42">
        <v>614</v>
      </c>
    </row>
    <row r="46" spans="1:1">
      <c r="A46" s="42">
        <v>615</v>
      </c>
    </row>
    <row r="47" spans="1:1">
      <c r="A47" s="42">
        <v>616</v>
      </c>
    </row>
    <row r="48" spans="1:1">
      <c r="A48" s="42">
        <v>617</v>
      </c>
    </row>
    <row r="49" spans="1:1">
      <c r="A49" s="42">
        <v>618</v>
      </c>
    </row>
    <row r="50" spans="1:1">
      <c r="A50" s="42">
        <v>619</v>
      </c>
    </row>
    <row r="51" spans="1:1">
      <c r="A51" s="42">
        <v>620</v>
      </c>
    </row>
    <row r="52" spans="1:1">
      <c r="A52" s="42">
        <v>621</v>
      </c>
    </row>
    <row r="53" spans="1:1">
      <c r="A53" s="42">
        <v>622</v>
      </c>
    </row>
    <row r="54" spans="1:1">
      <c r="A54" s="42">
        <v>623</v>
      </c>
    </row>
    <row r="55" spans="1:1">
      <c r="A55" s="42">
        <v>624</v>
      </c>
    </row>
    <row r="56" spans="1:1">
      <c r="A56" s="42">
        <v>625</v>
      </c>
    </row>
    <row r="57" spans="1:1">
      <c r="A57" s="42">
        <v>626</v>
      </c>
    </row>
    <row r="58" spans="1:1">
      <c r="A58" s="42">
        <v>627</v>
      </c>
    </row>
    <row r="59" spans="1:1">
      <c r="A59" s="42">
        <v>701</v>
      </c>
    </row>
    <row r="60" spans="1:1">
      <c r="A60" s="42">
        <v>702</v>
      </c>
    </row>
    <row r="61" spans="1:1">
      <c r="A61" s="42">
        <v>703</v>
      </c>
    </row>
    <row r="62" spans="1:1">
      <c r="A62" s="42">
        <v>704</v>
      </c>
    </row>
    <row r="63" spans="1:1">
      <c r="A63" s="42">
        <v>705</v>
      </c>
    </row>
    <row r="64" spans="1:1">
      <c r="A64" s="42">
        <v>706</v>
      </c>
    </row>
    <row r="65" spans="1:1">
      <c r="A65" s="42">
        <v>707</v>
      </c>
    </row>
    <row r="66" spans="1:1">
      <c r="A66" s="42">
        <v>708</v>
      </c>
    </row>
    <row r="67" spans="1:1">
      <c r="A67" s="42">
        <v>709</v>
      </c>
    </row>
    <row r="68" spans="1:1">
      <c r="A68" s="42">
        <v>710</v>
      </c>
    </row>
    <row r="69" spans="1:1">
      <c r="A69" s="42">
        <v>711</v>
      </c>
    </row>
    <row r="70" spans="1:1">
      <c r="A70" s="42">
        <v>712</v>
      </c>
    </row>
    <row r="71" spans="1:1">
      <c r="A71" s="42">
        <v>713</v>
      </c>
    </row>
    <row r="72" spans="1:1">
      <c r="A72" s="42">
        <v>714</v>
      </c>
    </row>
    <row r="73" spans="1:1">
      <c r="A73" s="42">
        <v>715</v>
      </c>
    </row>
    <row r="74" spans="1:1">
      <c r="A74" s="42">
        <v>716</v>
      </c>
    </row>
    <row r="75" spans="1:1">
      <c r="A75" s="42">
        <v>717</v>
      </c>
    </row>
    <row r="76" spans="1:1">
      <c r="A76" s="42">
        <v>718</v>
      </c>
    </row>
    <row r="77" spans="1:1">
      <c r="A77" s="42">
        <v>719</v>
      </c>
    </row>
    <row r="78" spans="1:1">
      <c r="A78" s="42">
        <v>720</v>
      </c>
    </row>
    <row r="79" spans="1:1">
      <c r="A79" s="42">
        <v>721</v>
      </c>
    </row>
    <row r="80" spans="1:1">
      <c r="A80" s="42">
        <v>722</v>
      </c>
    </row>
    <row r="81" spans="1:1">
      <c r="A81" s="42">
        <v>723</v>
      </c>
    </row>
    <row r="82" spans="1:1">
      <c r="A82" s="42">
        <v>801</v>
      </c>
    </row>
    <row r="83" spans="1:1">
      <c r="A83" s="42">
        <v>802</v>
      </c>
    </row>
    <row r="84" spans="1:1">
      <c r="A84" s="42">
        <v>803</v>
      </c>
    </row>
    <row r="85" spans="1:1">
      <c r="A85" s="42">
        <v>804</v>
      </c>
    </row>
    <row r="86" spans="1:1">
      <c r="A86" s="42">
        <v>805</v>
      </c>
    </row>
    <row r="87" spans="1:1">
      <c r="A87" s="42">
        <v>806</v>
      </c>
    </row>
    <row r="88" spans="1:1">
      <c r="A88" s="42">
        <v>807</v>
      </c>
    </row>
    <row r="89" spans="1:1">
      <c r="A89" s="42">
        <v>808</v>
      </c>
    </row>
    <row r="90" spans="1:1">
      <c r="A90" s="42">
        <v>809</v>
      </c>
    </row>
    <row r="91" spans="1:1">
      <c r="A91" s="42">
        <v>810</v>
      </c>
    </row>
    <row r="92" spans="1:1">
      <c r="A92" s="42">
        <v>811</v>
      </c>
    </row>
    <row r="93" spans="1:1">
      <c r="A93" s="42">
        <v>812</v>
      </c>
    </row>
    <row r="94" spans="1:1">
      <c r="A94" s="42">
        <v>813</v>
      </c>
    </row>
    <row r="95" spans="1:1">
      <c r="A95" s="42">
        <v>814</v>
      </c>
    </row>
    <row r="96" spans="1:1">
      <c r="A96" s="42">
        <v>815</v>
      </c>
    </row>
    <row r="97" spans="1:1">
      <c r="A97" s="42">
        <v>816</v>
      </c>
    </row>
    <row r="98" spans="1:1">
      <c r="A98" s="42">
        <v>817</v>
      </c>
    </row>
    <row r="99" spans="1:1">
      <c r="A99" s="42">
        <v>818</v>
      </c>
    </row>
    <row r="100" spans="1:1">
      <c r="A100" s="42">
        <v>819</v>
      </c>
    </row>
    <row r="101" spans="1:1">
      <c r="A101" s="42">
        <v>820</v>
      </c>
    </row>
    <row r="102" spans="1:1">
      <c r="A102" s="42">
        <v>821</v>
      </c>
    </row>
    <row r="103" spans="1:1">
      <c r="A103" s="42">
        <v>901</v>
      </c>
    </row>
    <row r="104" spans="1:1">
      <c r="A104" s="42">
        <v>902</v>
      </c>
    </row>
    <row r="105" spans="1:1">
      <c r="A105" s="42">
        <v>903</v>
      </c>
    </row>
    <row r="106" spans="1:1">
      <c r="A106" s="42">
        <v>904</v>
      </c>
    </row>
    <row r="107" spans="1:1">
      <c r="A107" s="42">
        <v>905</v>
      </c>
    </row>
    <row r="108" spans="1:1">
      <c r="A108" s="42">
        <v>906</v>
      </c>
    </row>
    <row r="109" spans="1:1">
      <c r="A109" s="42">
        <v>907</v>
      </c>
    </row>
    <row r="110" spans="1:1">
      <c r="A110" s="42">
        <v>908</v>
      </c>
    </row>
    <row r="111" spans="1:1">
      <c r="A111" s="42">
        <v>909</v>
      </c>
    </row>
    <row r="112" spans="1:1">
      <c r="A112" s="42">
        <v>910</v>
      </c>
    </row>
    <row r="113" spans="1:1">
      <c r="A113" s="42">
        <v>911</v>
      </c>
    </row>
    <row r="114" spans="1:1">
      <c r="A114" s="42">
        <v>912</v>
      </c>
    </row>
    <row r="115" spans="1:1">
      <c r="A115" s="42">
        <v>913</v>
      </c>
    </row>
    <row r="116" spans="1:1">
      <c r="A116" s="42">
        <v>914</v>
      </c>
    </row>
    <row r="117" spans="1:1">
      <c r="A117" s="42">
        <v>915</v>
      </c>
    </row>
    <row r="118" spans="1:1">
      <c r="A118" s="42">
        <v>916</v>
      </c>
    </row>
    <row r="119" spans="1:1">
      <c r="A119" s="42">
        <v>917</v>
      </c>
    </row>
    <row r="120" spans="1:1">
      <c r="A120" s="42">
        <v>918</v>
      </c>
    </row>
    <row r="121" spans="1:1">
      <c r="A121" s="42">
        <v>919</v>
      </c>
    </row>
    <row r="122" spans="1:1">
      <c r="A122" s="42">
        <v>1001</v>
      </c>
    </row>
    <row r="123" spans="1:1">
      <c r="A123" s="42">
        <v>1002</v>
      </c>
    </row>
    <row r="124" spans="1:1">
      <c r="A124" s="42">
        <v>1003</v>
      </c>
    </row>
    <row r="125" spans="1:1">
      <c r="A125" s="42">
        <v>1004</v>
      </c>
    </row>
    <row r="126" spans="1:1">
      <c r="A126" s="42">
        <v>1005</v>
      </c>
    </row>
    <row r="127" spans="1:1">
      <c r="A127" s="42">
        <v>1006</v>
      </c>
    </row>
    <row r="128" spans="1:1">
      <c r="A128" s="42">
        <v>1007</v>
      </c>
    </row>
    <row r="129" spans="1:1">
      <c r="A129" s="42">
        <v>1008</v>
      </c>
    </row>
    <row r="130" spans="1:1">
      <c r="A130" s="42">
        <v>1009</v>
      </c>
    </row>
    <row r="131" spans="1:1">
      <c r="A131" s="42">
        <v>1010</v>
      </c>
    </row>
    <row r="132" spans="1:1">
      <c r="A132" s="42">
        <v>1011</v>
      </c>
    </row>
    <row r="133" spans="1:1">
      <c r="A133" s="42">
        <v>1012</v>
      </c>
    </row>
    <row r="134" spans="1:1">
      <c r="A134" s="42">
        <v>1013</v>
      </c>
    </row>
    <row r="135" spans="1:1">
      <c r="A135" s="42">
        <v>1014</v>
      </c>
    </row>
    <row r="136" spans="1:1">
      <c r="A136" s="42">
        <v>1015</v>
      </c>
    </row>
    <row r="137" spans="1:1">
      <c r="A137" s="42">
        <v>1016</v>
      </c>
    </row>
    <row r="138" spans="1:1">
      <c r="A138" s="42">
        <v>1017</v>
      </c>
    </row>
    <row r="139" spans="1:1">
      <c r="A139" s="42">
        <v>1101</v>
      </c>
    </row>
    <row r="140" spans="1:1">
      <c r="A140" s="42">
        <v>1102</v>
      </c>
    </row>
    <row r="141" spans="1:1">
      <c r="A141" s="42">
        <v>1103</v>
      </c>
    </row>
    <row r="142" spans="1:1">
      <c r="A142" s="42">
        <v>1104</v>
      </c>
    </row>
    <row r="143" spans="1:1">
      <c r="A143" s="42">
        <v>1105</v>
      </c>
    </row>
    <row r="144" spans="1:1">
      <c r="A144" s="42">
        <v>1106</v>
      </c>
    </row>
    <row r="145" spans="1:1">
      <c r="A145" s="42">
        <v>1107</v>
      </c>
    </row>
    <row r="146" spans="1:1">
      <c r="A146" s="42">
        <v>1108</v>
      </c>
    </row>
    <row r="147" spans="1:1">
      <c r="A147" s="42">
        <v>1109</v>
      </c>
    </row>
    <row r="148" spans="1:1">
      <c r="A148" s="42">
        <v>1110</v>
      </c>
    </row>
    <row r="149" spans="1:1">
      <c r="A149" s="42">
        <v>1111</v>
      </c>
    </row>
    <row r="150" spans="1:1">
      <c r="A150" s="42">
        <v>1112</v>
      </c>
    </row>
    <row r="151" spans="1:1">
      <c r="A151" s="42">
        <v>1113</v>
      </c>
    </row>
    <row r="152" spans="1:1">
      <c r="A152" s="42" t="s">
        <v>102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workbookViewId="0">
      <selection activeCell="S20" sqref="S20"/>
    </sheetView>
  </sheetViews>
  <sheetFormatPr defaultColWidth="10.875" defaultRowHeight="12.75"/>
  <cols>
    <col min="1" max="1" width="10.875" style="40"/>
    <col min="2" max="2" width="11.375" style="43" customWidth="1"/>
    <col min="3" max="7" width="10.875" style="40"/>
    <col min="8" max="8" width="14.875" style="40" customWidth="1"/>
    <col min="9" max="9" width="18.375" style="40" bestFit="1" customWidth="1"/>
    <col min="10" max="16384" width="10.875" style="40"/>
  </cols>
  <sheetData>
    <row r="1" spans="1:19">
      <c r="A1" s="43">
        <f>INT(DATEDIF(Инвест_калькулятор!B17,Инвест_калькулятор!B18,"M"))</f>
        <v>30</v>
      </c>
      <c r="B1" s="55">
        <f>(Инвест_калькулятор!B9+Инвест_калькулятор!B10)*Инвест_калькулятор!B4</f>
        <v>7147504.1499999994</v>
      </c>
    </row>
    <row r="2" spans="1:19">
      <c r="A2" s="43"/>
      <c r="B2" s="55"/>
    </row>
    <row r="3" spans="1:19">
      <c r="A3" s="43">
        <v>1</v>
      </c>
      <c r="B3" s="55">
        <f>B1*(1+Инвест_калькулятор!$B$15/12)</f>
        <v>7326191.7537499992</v>
      </c>
      <c r="D3" s="45" t="s">
        <v>72</v>
      </c>
      <c r="E3" s="55">
        <f ca="1">OFFSET(B2,$A$1,0)*(1+HLOOKUP(D3,Инвест_калькулятор!$C$20:$N$49,30,FALSE))</f>
        <v>16041839.084739994</v>
      </c>
      <c r="F3" s="46">
        <f ca="1">E3-OFFSET(B2,$A$1,0)</f>
        <v>1049466.1083474774</v>
      </c>
      <c r="I3" s="40" t="s">
        <v>141</v>
      </c>
      <c r="J3" s="45" t="s">
        <v>72</v>
      </c>
      <c r="K3" s="45" t="s">
        <v>110</v>
      </c>
      <c r="L3" s="45" t="s">
        <v>74</v>
      </c>
      <c r="M3" s="45" t="s">
        <v>75</v>
      </c>
      <c r="N3" s="45" t="s">
        <v>76</v>
      </c>
      <c r="O3" s="45" t="s">
        <v>77</v>
      </c>
      <c r="P3" s="45" t="s">
        <v>78</v>
      </c>
      <c r="Q3" s="45" t="s">
        <v>79</v>
      </c>
      <c r="R3" s="45" t="s">
        <v>80</v>
      </c>
      <c r="S3" s="45" t="s">
        <v>81</v>
      </c>
    </row>
    <row r="4" spans="1:19">
      <c r="A4" s="43">
        <v>2</v>
      </c>
      <c r="B4" s="55">
        <f>B3*(1+Инвест_калькулятор!$B$15/12)</f>
        <v>7509346.5475937482</v>
      </c>
      <c r="D4" s="45" t="s">
        <v>110</v>
      </c>
      <c r="E4" s="55">
        <f ca="1">E3*(1+HLOOKUP(D4,Инвест_калькулятор!$C$20:$N$49,30,FALSE))</f>
        <v>17164767.820671793</v>
      </c>
      <c r="F4" s="46">
        <f ca="1">E4-E3</f>
        <v>1122928.7359317988</v>
      </c>
      <c r="H4" s="40" t="s">
        <v>142</v>
      </c>
      <c r="I4" s="55">
        <f>-Инвест_калькулятор!B14</f>
        <v>-8095004.1499999994</v>
      </c>
      <c r="J4" s="43"/>
      <c r="K4" s="43"/>
      <c r="L4" s="43"/>
      <c r="M4" s="43"/>
      <c r="N4" s="43"/>
      <c r="O4" s="43"/>
      <c r="P4" s="43"/>
      <c r="Q4" s="43"/>
      <c r="R4" s="43"/>
      <c r="S4" s="43"/>
    </row>
    <row r="5" spans="1:19">
      <c r="A5" s="43">
        <v>3</v>
      </c>
      <c r="B5" s="55">
        <f>B4*(1+Инвест_калькулятор!$B$15/12)</f>
        <v>7697080.2112835916</v>
      </c>
      <c r="D5" s="45" t="s">
        <v>74</v>
      </c>
      <c r="E5" s="55">
        <f ca="1">E4*(1+HLOOKUP(D5,Инвест_калькулятор!$C$20:$N$49,30,FALSE))</f>
        <v>18366301.568118818</v>
      </c>
      <c r="F5" s="46">
        <f t="shared" ref="F5:F12" ca="1" si="0">E5-E4</f>
        <v>1201533.747447025</v>
      </c>
      <c r="H5" s="40" t="s">
        <v>144</v>
      </c>
      <c r="I5" s="55">
        <f ca="1">Инвест_калькулятор!C52</f>
        <v>7844868.8263925174</v>
      </c>
      <c r="J5" s="55">
        <f ca="1">SUM(Инвест_калькулятор!C53:C54)</f>
        <v>1628769.181312317</v>
      </c>
      <c r="K5" s="55">
        <f ca="1">SUM(Инвест_калькулятор!D53:D54)</f>
        <v>1821532.9339468291</v>
      </c>
      <c r="L5" s="55">
        <f ca="1">SUM(Инвест_калькулятор!E53:E54)</f>
        <v>2009746.8347125899</v>
      </c>
      <c r="M5" s="55">
        <f ca="1">SUM(Инвест_калькулятор!F53:F54)</f>
        <v>2181606.7906756471</v>
      </c>
      <c r="N5" s="55">
        <f ca="1">SUM(Инвест_калькулятор!G53:G54)</f>
        <v>2333671.6561010177</v>
      </c>
      <c r="O5" s="55">
        <f ca="1">SUM(Инвест_калькулятор!H53:H54)</f>
        <v>2464327.2809251826</v>
      </c>
      <c r="P5" s="55">
        <f ca="1">SUM(Инвест_калькулятор!I53:I54)</f>
        <v>2591086.6691526002</v>
      </c>
      <c r="Q5" s="55">
        <f ca="1">SUM(Инвест_калькулятор!J53:J54)</f>
        <v>2720491.5297813164</v>
      </c>
      <c r="R5" s="55">
        <f ca="1">SUM(Инвест_калькулятор!K53:K54)</f>
        <v>2851969.0170061337</v>
      </c>
      <c r="S5" s="55">
        <f ca="1">SUM(Инвест_калькулятор!L53:L54)</f>
        <v>2994599.6046032803</v>
      </c>
    </row>
    <row r="6" spans="1:19">
      <c r="A6" s="43">
        <v>4</v>
      </c>
      <c r="B6" s="55">
        <f>B5*(1+Инвест_калькулятор!$B$15/12)</f>
        <v>7889507.2165656807</v>
      </c>
      <c r="D6" s="45" t="s">
        <v>75</v>
      </c>
      <c r="E6" s="55">
        <f ca="1">E5*(1+HLOOKUP(D6,Инвест_калькулятор!$C$20:$N$49,30,FALSE))</f>
        <v>19651942.677887138</v>
      </c>
      <c r="F6" s="46">
        <f t="shared" ca="1" si="0"/>
        <v>1285641.1097683199</v>
      </c>
      <c r="H6" s="40" t="s">
        <v>143</v>
      </c>
      <c r="I6" s="55">
        <f ca="1">I4+I5</f>
        <v>-250135.32360748202</v>
      </c>
      <c r="J6" s="55">
        <f ca="1">I6+J5</f>
        <v>1378633.857704835</v>
      </c>
      <c r="K6" s="55">
        <f t="shared" ref="K6:S6" ca="1" si="1">J6+K5</f>
        <v>3200166.7916516643</v>
      </c>
      <c r="L6" s="55">
        <f t="shared" ca="1" si="1"/>
        <v>5209913.6263642544</v>
      </c>
      <c r="M6" s="55">
        <f t="shared" ca="1" si="1"/>
        <v>7391520.417039901</v>
      </c>
      <c r="N6" s="55">
        <f t="shared" ca="1" si="1"/>
        <v>9725192.0731409192</v>
      </c>
      <c r="O6" s="55">
        <f t="shared" ca="1" si="1"/>
        <v>12189519.354066102</v>
      </c>
      <c r="P6" s="55">
        <f t="shared" ca="1" si="1"/>
        <v>14780606.023218703</v>
      </c>
      <c r="Q6" s="55">
        <f t="shared" ca="1" si="1"/>
        <v>17501097.553000018</v>
      </c>
      <c r="R6" s="55">
        <f t="shared" ca="1" si="1"/>
        <v>20353066.570006151</v>
      </c>
      <c r="S6" s="55">
        <f t="shared" ca="1" si="1"/>
        <v>23347666.17460943</v>
      </c>
    </row>
    <row r="7" spans="1:19">
      <c r="A7" s="43">
        <v>5</v>
      </c>
      <c r="B7" s="55">
        <f>B6*(1+Инвест_калькулятор!$B$15/12)</f>
        <v>8086744.8969798218</v>
      </c>
      <c r="D7" s="45" t="s">
        <v>76</v>
      </c>
      <c r="E7" s="55">
        <f ca="1">E6*(1+HLOOKUP(D7,Инвест_калькулятор!$C$20:$N$49,30,FALSE))</f>
        <v>21027578.665339239</v>
      </c>
      <c r="F7" s="46">
        <f t="shared" ca="1" si="0"/>
        <v>1375635.987452101</v>
      </c>
    </row>
    <row r="8" spans="1:19">
      <c r="A8" s="43">
        <v>6</v>
      </c>
      <c r="B8" s="55">
        <f>B7*(1+Инвест_калькулятор!$B$15/12)</f>
        <v>8288913.5194043163</v>
      </c>
      <c r="D8" s="45" t="s">
        <v>77</v>
      </c>
      <c r="E8" s="55">
        <f ca="1">E7*(1+HLOOKUP(D8,Инвест_калькулятор!$C$20:$N$49,30,FALSE))</f>
        <v>22499509.171912987</v>
      </c>
      <c r="F8" s="46">
        <f t="shared" ca="1" si="0"/>
        <v>1471930.5065737478</v>
      </c>
    </row>
    <row r="9" spans="1:19">
      <c r="A9" s="43">
        <v>7</v>
      </c>
      <c r="B9" s="55">
        <f>B8*(1+Инвест_калькулятор!$B$15/12)</f>
        <v>8496136.357389424</v>
      </c>
      <c r="D9" s="45" t="s">
        <v>78</v>
      </c>
      <c r="E9" s="55">
        <f ca="1">E8*(1+HLOOKUP(D9,Инвест_калькулятор!$C$20:$N$49,30,FALSE))</f>
        <v>24074474.813946899</v>
      </c>
      <c r="F9" s="46">
        <f t="shared" ca="1" si="0"/>
        <v>1574965.6420339122</v>
      </c>
    </row>
    <row r="10" spans="1:19">
      <c r="A10" s="43">
        <v>8</v>
      </c>
      <c r="B10" s="55">
        <f>B9*(1+Инвест_калькулятор!$B$15/12)</f>
        <v>8708539.7663241588</v>
      </c>
      <c r="D10" s="45" t="s">
        <v>79</v>
      </c>
      <c r="E10" s="55">
        <f ca="1">E9*(1+HLOOKUP(D10,Инвест_калькулятор!$C$20:$N$49,30,FALSE))</f>
        <v>25759688.050923184</v>
      </c>
      <c r="F10" s="46">
        <f t="shared" ca="1" si="0"/>
        <v>1685213.2369762845</v>
      </c>
    </row>
    <row r="11" spans="1:19">
      <c r="A11" s="43">
        <v>9</v>
      </c>
      <c r="B11" s="55">
        <f>B10*(1+Инвест_калькулятор!$B$15/12)</f>
        <v>8926253.2604822628</v>
      </c>
      <c r="D11" s="45" t="s">
        <v>80</v>
      </c>
      <c r="E11" s="55">
        <f ca="1">E10*(1+HLOOKUP(D11,Инвест_калькулятор!$C$20:$N$49,30,FALSE))</f>
        <v>27562866.21448781</v>
      </c>
      <c r="F11" s="46">
        <f t="shared" ca="1" si="0"/>
        <v>1803178.1635646261</v>
      </c>
    </row>
    <row r="12" spans="1:19">
      <c r="A12" s="43">
        <v>10</v>
      </c>
      <c r="B12" s="55">
        <f>B11*(1+Инвест_калькулятор!$B$15/12)</f>
        <v>9149409.5919943191</v>
      </c>
      <c r="D12" s="45" t="s">
        <v>81</v>
      </c>
      <c r="E12" s="55">
        <f ca="1">E11*(1+HLOOKUP(D12,Инвест_калькулятор!$C$20:$N$49,30,FALSE))</f>
        <v>29492266.849501956</v>
      </c>
      <c r="F12" s="46">
        <f t="shared" ca="1" si="0"/>
        <v>1929400.6350141466</v>
      </c>
    </row>
    <row r="13" spans="1:19">
      <c r="A13" s="43">
        <v>11</v>
      </c>
      <c r="B13" s="55">
        <f>B12*(1+Инвест_калькулятор!$B$15/12)</f>
        <v>9378144.8317941763</v>
      </c>
    </row>
    <row r="14" spans="1:19">
      <c r="A14" s="43">
        <v>12</v>
      </c>
      <c r="B14" s="55">
        <f>B13*(1+Инвест_калькулятор!$B$15/12)</f>
        <v>9612598.4525890294</v>
      </c>
    </row>
    <row r="15" spans="1:19">
      <c r="A15" s="43">
        <v>13</v>
      </c>
      <c r="B15" s="55">
        <f>B14*(1+Инвест_калькулятор!$B$15/12)</f>
        <v>9852913.4139037542</v>
      </c>
    </row>
    <row r="16" spans="1:19">
      <c r="A16" s="43">
        <v>14</v>
      </c>
      <c r="B16" s="55">
        <f>B15*(1+Инвест_калькулятор!$B$15/12)</f>
        <v>10099236.249251347</v>
      </c>
    </row>
    <row r="17" spans="1:2">
      <c r="A17" s="43">
        <v>15</v>
      </c>
      <c r="B17" s="55">
        <f>B16*(1+Инвест_калькулятор!$B$15/12)</f>
        <v>10351717.155482629</v>
      </c>
    </row>
    <row r="18" spans="1:2">
      <c r="A18" s="43">
        <v>16</v>
      </c>
      <c r="B18" s="55">
        <f>B17*(1+Инвест_калькулятор!$B$15/12)</f>
        <v>10610510.084369695</v>
      </c>
    </row>
    <row r="19" spans="1:2">
      <c r="A19" s="43">
        <v>17</v>
      </c>
      <c r="B19" s="55">
        <f>B18*(1+Инвест_калькулятор!$B$15/12)</f>
        <v>10875772.836478936</v>
      </c>
    </row>
    <row r="20" spans="1:2">
      <c r="A20" s="43">
        <v>18</v>
      </c>
      <c r="B20" s="55">
        <f>B19*(1+Инвест_калькулятор!$B$15/12)</f>
        <v>11147667.157390907</v>
      </c>
    </row>
    <row r="21" spans="1:2">
      <c r="A21" s="43">
        <v>19</v>
      </c>
      <c r="B21" s="55">
        <f>B20*(1+Инвест_калькулятор!$B$15/12)</f>
        <v>11426358.836325679</v>
      </c>
    </row>
    <row r="22" spans="1:2">
      <c r="A22" s="43">
        <v>20</v>
      </c>
      <c r="B22" s="55">
        <f>B21*(1+Инвест_калькулятор!$B$15/12)</f>
        <v>11712017.80723382</v>
      </c>
    </row>
    <row r="23" spans="1:2">
      <c r="A23" s="43">
        <v>21</v>
      </c>
      <c r="B23" s="55">
        <f>B22*(1+Инвест_калькулятор!$B$15/12)</f>
        <v>12004818.252414664</v>
      </c>
    </row>
    <row r="24" spans="1:2">
      <c r="A24" s="43">
        <v>22</v>
      </c>
      <c r="B24" s="55">
        <f>B23*(1+Инвест_калькулятор!$B$15/12)</f>
        <v>12304938.70872503</v>
      </c>
    </row>
    <row r="25" spans="1:2">
      <c r="A25" s="43">
        <v>23</v>
      </c>
      <c r="B25" s="55">
        <f>B24*(1+Инвест_калькулятор!$B$15/12)</f>
        <v>12612562.176443154</v>
      </c>
    </row>
    <row r="26" spans="1:2">
      <c r="A26" s="43">
        <v>24</v>
      </c>
      <c r="B26" s="55">
        <f>B25*(1+Инвест_калькулятор!$B$15/12)</f>
        <v>12927876.230854232</v>
      </c>
    </row>
    <row r="27" spans="1:2">
      <c r="A27" s="43">
        <v>25</v>
      </c>
      <c r="B27" s="55">
        <f>B26*(1+Инвест_калькулятор!$B$15/12)</f>
        <v>13251073.136625586</v>
      </c>
    </row>
    <row r="28" spans="1:2">
      <c r="A28" s="43">
        <v>26</v>
      </c>
      <c r="B28" s="55">
        <f>B27*(1+Инвест_калькулятор!$B$15/12)</f>
        <v>13582349.965041224</v>
      </c>
    </row>
    <row r="29" spans="1:2">
      <c r="A29" s="43">
        <v>27</v>
      </c>
      <c r="B29" s="55">
        <f>B28*(1+Инвест_калькулятор!$B$15/12)</f>
        <v>13921908.714167254</v>
      </c>
    </row>
    <row r="30" spans="1:2">
      <c r="A30" s="43">
        <v>28</v>
      </c>
      <c r="B30" s="55">
        <f>B29*(1+Инвест_калькулятор!$B$15/12)</f>
        <v>14269956.432021433</v>
      </c>
    </row>
    <row r="31" spans="1:2">
      <c r="A31" s="43">
        <v>29</v>
      </c>
      <c r="B31" s="55">
        <f>B30*(1+Инвест_калькулятор!$B$15/12)</f>
        <v>14626705.342821969</v>
      </c>
    </row>
    <row r="32" spans="1:2">
      <c r="A32" s="43">
        <v>30</v>
      </c>
      <c r="B32" s="55">
        <f>B31*(1+Инвест_калькулятор!$B$15/12)</f>
        <v>14992372.976392517</v>
      </c>
    </row>
    <row r="33" spans="1:2">
      <c r="A33" s="43">
        <v>31</v>
      </c>
      <c r="B33" s="55">
        <f>B32*(1+Инвест_калькулятор!$B$15/12)</f>
        <v>15367182.300802328</v>
      </c>
    </row>
    <row r="34" spans="1:2">
      <c r="A34" s="43">
        <v>32</v>
      </c>
      <c r="B34" s="55">
        <f>B33*(1+Инвест_калькулятор!$B$15/12)</f>
        <v>15751361.858322384</v>
      </c>
    </row>
    <row r="35" spans="1:2">
      <c r="A35" s="43">
        <v>33</v>
      </c>
      <c r="B35" s="55">
        <f>B34*(1+Инвест_калькулятор!$B$15/12)</f>
        <v>16145145.904780442</v>
      </c>
    </row>
    <row r="36" spans="1:2">
      <c r="A36" s="43">
        <v>34</v>
      </c>
      <c r="B36" s="55">
        <f>B35*(1+Инвест_калькулятор!$B$15/12)</f>
        <v>16548774.552399952</v>
      </c>
    </row>
    <row r="37" spans="1:2">
      <c r="A37" s="43">
        <v>35</v>
      </c>
      <c r="B37" s="55">
        <f>B36*(1+Инвест_калькулятор!$B$15/12)</f>
        <v>16962493.916209951</v>
      </c>
    </row>
    <row r="38" spans="1:2">
      <c r="A38" s="43">
        <v>36</v>
      </c>
      <c r="B38" s="55">
        <f>B37*(1+Инвест_калькулятор!$B$15/12)</f>
        <v>17386556.264115199</v>
      </c>
    </row>
    <row r="39" spans="1:2">
      <c r="A39" s="43">
        <v>37</v>
      </c>
      <c r="B39" s="55">
        <f>B38*(1+Инвест_калькулятор!$B$15/12)</f>
        <v>17821220.170718078</v>
      </c>
    </row>
    <row r="40" spans="1:2">
      <c r="A40" s="43">
        <v>38</v>
      </c>
      <c r="B40" s="55">
        <f>B39*(1+Инвест_калькулятор!$B$15/12)</f>
        <v>18266750.674986027</v>
      </c>
    </row>
    <row r="41" spans="1:2">
      <c r="A41" s="43">
        <v>39</v>
      </c>
      <c r="B41" s="55">
        <f>B40*(1+Инвест_калькулятор!$B$15/12)</f>
        <v>18723419.441860676</v>
      </c>
    </row>
    <row r="42" spans="1:2">
      <c r="A42" s="43">
        <v>40</v>
      </c>
      <c r="B42" s="55">
        <f>B41*(1+Инвест_калькулятор!$B$15/12)</f>
        <v>19191504.927907191</v>
      </c>
    </row>
    <row r="44" spans="1:2">
      <c r="B44" s="55">
        <f ca="1">OFFSET(B2,$A$1,0)-B1</f>
        <v>7844868.8263925174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22" sqref="K22:K23"/>
    </sheetView>
  </sheetViews>
  <sheetFormatPr defaultRowHeight="15.75"/>
  <cols>
    <col min="1" max="1" width="23.125" bestFit="1" customWidth="1"/>
  </cols>
  <sheetData>
    <row r="1" spans="1:12">
      <c r="B1" s="84" t="s">
        <v>72</v>
      </c>
      <c r="C1" s="84" t="s">
        <v>73</v>
      </c>
      <c r="D1" s="84" t="s">
        <v>74</v>
      </c>
      <c r="E1" s="84" t="s">
        <v>75</v>
      </c>
      <c r="F1" s="84" t="s">
        <v>76</v>
      </c>
      <c r="G1" s="84" t="s">
        <v>77</v>
      </c>
      <c r="H1" s="84" t="s">
        <v>78</v>
      </c>
      <c r="I1" s="84" t="s">
        <v>79</v>
      </c>
      <c r="J1" s="84" t="s">
        <v>80</v>
      </c>
      <c r="K1" s="84" t="s">
        <v>81</v>
      </c>
    </row>
    <row r="2" spans="1:12">
      <c r="A2" t="s">
        <v>145</v>
      </c>
      <c r="C2" s="85">
        <v>7.0000000000000007E-2</v>
      </c>
      <c r="D2" s="85">
        <v>0.05</v>
      </c>
      <c r="E2" s="85">
        <v>3.5000000000000003E-2</v>
      </c>
      <c r="F2" s="85">
        <v>3.5000000000000003E-2</v>
      </c>
      <c r="G2" s="85">
        <v>1.4999999999999999E-2</v>
      </c>
    </row>
    <row r="3" spans="1:12">
      <c r="A3" t="s">
        <v>146</v>
      </c>
      <c r="C3" s="85">
        <v>0.1</v>
      </c>
      <c r="D3" s="85">
        <v>0.08</v>
      </c>
      <c r="E3" s="85">
        <v>3.5000000000000003E-2</v>
      </c>
      <c r="F3" s="85">
        <v>3.5000000000000003E-2</v>
      </c>
      <c r="G3" s="85">
        <v>1.4999999999999999E-2</v>
      </c>
      <c r="H3" s="85">
        <v>1.4999999999999999E-2</v>
      </c>
      <c r="I3" s="85">
        <v>1.4999999999999999E-2</v>
      </c>
      <c r="J3" s="85">
        <v>1.4999999999999999E-2</v>
      </c>
      <c r="K3" s="85">
        <v>1.4999999999999999E-2</v>
      </c>
      <c r="L3" s="25"/>
    </row>
    <row r="5" spans="1:12">
      <c r="A5" t="s">
        <v>147</v>
      </c>
      <c r="C5" s="85">
        <v>0.1</v>
      </c>
      <c r="D5" s="85">
        <v>0.06</v>
      </c>
      <c r="E5" s="85">
        <v>4.4999999999999998E-2</v>
      </c>
      <c r="F5" s="85">
        <v>4.4999999999999998E-2</v>
      </c>
      <c r="G5" s="85">
        <v>0.02</v>
      </c>
      <c r="H5" s="85">
        <v>0.02</v>
      </c>
      <c r="I5" s="85">
        <v>1.4999999999999999E-2</v>
      </c>
      <c r="J5" s="85">
        <v>1.4999999999999999E-2</v>
      </c>
      <c r="K5" s="85">
        <v>1.4999999999999999E-2</v>
      </c>
    </row>
    <row r="6" spans="1:12">
      <c r="A6" t="s">
        <v>148</v>
      </c>
      <c r="C6" s="85">
        <v>0.1</v>
      </c>
      <c r="D6" s="85">
        <v>0.06</v>
      </c>
      <c r="E6" s="85">
        <v>4.4999999999999998E-2</v>
      </c>
      <c r="F6" s="85">
        <v>4.4999999999999998E-2</v>
      </c>
      <c r="G6" s="85">
        <v>0.02</v>
      </c>
      <c r="H6" s="85">
        <v>0.02</v>
      </c>
      <c r="I6" s="85">
        <v>1.4999999999999999E-2</v>
      </c>
      <c r="J6" s="85">
        <v>1.4999999999999999E-2</v>
      </c>
      <c r="K6" s="85">
        <v>1.4999999999999999E-2</v>
      </c>
    </row>
    <row r="7" spans="1:12">
      <c r="C7" s="88">
        <v>0.26</v>
      </c>
    </row>
    <row r="9" spans="1:12">
      <c r="A9" t="s">
        <v>149</v>
      </c>
      <c r="B9" s="24">
        <v>0.55000000000000004</v>
      </c>
      <c r="C9" s="26">
        <v>0.53500000000000003</v>
      </c>
      <c r="D9" s="26">
        <v>0.51500000000000001</v>
      </c>
      <c r="E9" s="24">
        <v>0.5</v>
      </c>
      <c r="F9" s="24">
        <v>0.5</v>
      </c>
      <c r="G9" s="24">
        <v>0.5</v>
      </c>
      <c r="H9" s="24">
        <v>0.5</v>
      </c>
      <c r="I9" s="24">
        <v>0.5</v>
      </c>
      <c r="J9" s="24">
        <v>0.5</v>
      </c>
      <c r="K9" s="24">
        <v>0.5</v>
      </c>
    </row>
    <row r="10" spans="1:12">
      <c r="A10" t="s">
        <v>150</v>
      </c>
      <c r="B10" s="24">
        <v>0.35</v>
      </c>
      <c r="C10" s="26">
        <v>0.33500000000000002</v>
      </c>
      <c r="D10" s="26">
        <v>0.315</v>
      </c>
      <c r="E10" s="24">
        <v>0.3</v>
      </c>
      <c r="F10" s="24">
        <v>0.28999999999999998</v>
      </c>
      <c r="G10" s="24">
        <v>0.28999999999999998</v>
      </c>
      <c r="H10" s="24">
        <v>0.28999999999999998</v>
      </c>
      <c r="I10" s="24">
        <v>0.28999999999999998</v>
      </c>
      <c r="J10" s="24">
        <v>0.28999999999999998</v>
      </c>
      <c r="K10" s="24">
        <v>0.28999999999999998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Worksheet</vt:lpstr>
      <vt:lpstr>Экспликация</vt:lpstr>
      <vt:lpstr>Свод_Экспликация</vt:lpstr>
      <vt:lpstr>Rate Shopper Алушта</vt:lpstr>
      <vt:lpstr>Rate Shopper_Svod</vt:lpstr>
      <vt:lpstr>MPI_INDEX</vt:lpstr>
      <vt:lpstr>Раб.лист_калк</vt:lpstr>
      <vt:lpstr>Доходность</vt:lpstr>
      <vt:lpstr>Лист2</vt:lpstr>
      <vt:lpstr>Инвест_калькулятор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Пана</dc:creator>
  <cp:lastModifiedBy>Быкова Дарья Анатольевна</cp:lastModifiedBy>
  <dcterms:created xsi:type="dcterms:W3CDTF">2024-09-02T03:36:35Z</dcterms:created>
  <dcterms:modified xsi:type="dcterms:W3CDTF">2024-10-31T14:31:57Z</dcterms:modified>
</cp:coreProperties>
</file>