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overview" sheetId="1" r:id="rId1"/>
    <sheet name="Income statement" sheetId="2" r:id="rId2"/>
    <sheet name="Capex%Depreciation" sheetId="3" r:id="rId3"/>
    <sheet name="Balance sheet" sheetId="4" r:id="rId4"/>
    <sheet name="Cash flow statement" sheetId="5" r:id="rId5"/>
  </sheets>
  <calcPr calcId="162913"/>
</workbook>
</file>

<file path=xl/calcChain.xml><?xml version="1.0" encoding="utf-8"?>
<calcChain xmlns="http://schemas.openxmlformats.org/spreadsheetml/2006/main">
  <c r="C18" i="5" l="1"/>
  <c r="C20" i="5" s="1"/>
  <c r="D18" i="5"/>
  <c r="D20" i="5" s="1"/>
  <c r="E18" i="5"/>
  <c r="E20" i="5" s="1"/>
  <c r="C19" i="5"/>
  <c r="D19" i="5"/>
  <c r="E19" i="5"/>
  <c r="B19" i="5"/>
  <c r="B18" i="5"/>
  <c r="B20" i="5" s="1"/>
  <c r="C27" i="4"/>
  <c r="D27" i="4" s="1"/>
  <c r="D21" i="4"/>
  <c r="D45" i="4" s="1"/>
  <c r="C28" i="2" s="1"/>
  <c r="C21" i="4"/>
  <c r="C45" i="4" s="1"/>
  <c r="B28" i="2" s="1"/>
  <c r="B29" i="4"/>
  <c r="B19" i="4"/>
  <c r="B23" i="4" s="1"/>
  <c r="B31" i="4" s="1"/>
  <c r="B11" i="4"/>
  <c r="B7" i="4"/>
  <c r="B13" i="4" s="1"/>
  <c r="B33" i="4" s="1"/>
  <c r="F12" i="3"/>
  <c r="E12" i="3"/>
  <c r="F11" i="3"/>
  <c r="E11" i="3"/>
  <c r="D11" i="3"/>
  <c r="C11" i="3"/>
  <c r="D10" i="3"/>
  <c r="D13" i="3" s="1"/>
  <c r="E10" i="3"/>
  <c r="E13" i="3" s="1"/>
  <c r="F10" i="3"/>
  <c r="F13" i="3" s="1"/>
  <c r="C10" i="3"/>
  <c r="C13" i="3" s="1"/>
  <c r="D7" i="3"/>
  <c r="C13" i="5" s="1"/>
  <c r="E7" i="3"/>
  <c r="D13" i="5" s="1"/>
  <c r="F7" i="3"/>
  <c r="E13" i="5" s="1"/>
  <c r="C7" i="3"/>
  <c r="C9" i="4" s="1"/>
  <c r="D9" i="4" s="1"/>
  <c r="C6" i="5" l="1"/>
  <c r="C23" i="2"/>
  <c r="E23" i="2"/>
  <c r="E6" i="5"/>
  <c r="D6" i="5"/>
  <c r="D23" i="2"/>
  <c r="D11" i="4"/>
  <c r="E9" i="4"/>
  <c r="C10" i="4"/>
  <c r="D10" i="4" s="1"/>
  <c r="E10" i="4" s="1"/>
  <c r="F10" i="4" s="1"/>
  <c r="B23" i="2"/>
  <c r="B6" i="5"/>
  <c r="E27" i="4"/>
  <c r="F27" i="4" s="1"/>
  <c r="E21" i="4"/>
  <c r="B13" i="5"/>
  <c r="C11" i="4"/>
  <c r="C5" i="2"/>
  <c r="C6" i="2" s="1"/>
  <c r="D5" i="2"/>
  <c r="E5" i="2"/>
  <c r="E6" i="2" s="1"/>
  <c r="D6" i="2"/>
  <c r="D7" i="2"/>
  <c r="E7" i="2"/>
  <c r="B5" i="2"/>
  <c r="B6" i="2" s="1"/>
  <c r="F9" i="4" l="1"/>
  <c r="F11" i="4" s="1"/>
  <c r="E11" i="4"/>
  <c r="B7" i="2"/>
  <c r="D8" i="2"/>
  <c r="E37" i="4" s="1"/>
  <c r="E45" i="4"/>
  <c r="D28" i="2" s="1"/>
  <c r="F21" i="4"/>
  <c r="F45" i="4" s="1"/>
  <c r="E28" i="2" s="1"/>
  <c r="B8" i="2"/>
  <c r="C37" i="4" s="1"/>
  <c r="B21" i="2"/>
  <c r="B12" i="2"/>
  <c r="D22" i="2"/>
  <c r="C7" i="2"/>
  <c r="C8" i="2" s="1"/>
  <c r="D37" i="4" s="1"/>
  <c r="E8" i="2"/>
  <c r="F37" i="4" s="1"/>
  <c r="D18" i="4" l="1"/>
  <c r="D17" i="4"/>
  <c r="D6" i="4"/>
  <c r="D7" i="5" s="1"/>
  <c r="C18" i="4"/>
  <c r="B9" i="5" s="1"/>
  <c r="C17" i="4"/>
  <c r="C6" i="4"/>
  <c r="E18" i="4"/>
  <c r="D9" i="5" s="1"/>
  <c r="E17" i="4"/>
  <c r="E6" i="4"/>
  <c r="D11" i="2"/>
  <c r="D13" i="2"/>
  <c r="B20" i="2"/>
  <c r="F18" i="4"/>
  <c r="F17" i="4"/>
  <c r="F6" i="4"/>
  <c r="D21" i="2"/>
  <c r="D20" i="2"/>
  <c r="B11" i="2"/>
  <c r="D12" i="2"/>
  <c r="D14" i="2" s="1"/>
  <c r="D16" i="2" s="1"/>
  <c r="B13" i="2"/>
  <c r="B14" i="2" s="1"/>
  <c r="B16" i="2" s="1"/>
  <c r="B22" i="2"/>
  <c r="E21" i="2"/>
  <c r="E11" i="2"/>
  <c r="E20" i="2"/>
  <c r="E24" i="2" s="1"/>
  <c r="E13" i="2"/>
  <c r="E22" i="2"/>
  <c r="E12" i="2"/>
  <c r="D24" i="2"/>
  <c r="C13" i="2"/>
  <c r="C22" i="2"/>
  <c r="C12" i="2"/>
  <c r="C21" i="2"/>
  <c r="C11" i="2"/>
  <c r="C20" i="2"/>
  <c r="B24" i="2"/>
  <c r="E8" i="5" l="1"/>
  <c r="F19" i="4"/>
  <c r="F23" i="4" s="1"/>
  <c r="C7" i="5"/>
  <c r="B7" i="5"/>
  <c r="C8" i="5"/>
  <c r="D19" i="4"/>
  <c r="D23" i="4" s="1"/>
  <c r="E19" i="4"/>
  <c r="E23" i="4" s="1"/>
  <c r="D8" i="5"/>
  <c r="C14" i="2"/>
  <c r="C16" i="2" s="1"/>
  <c r="E9" i="5"/>
  <c r="E7" i="5"/>
  <c r="B8" i="5"/>
  <c r="C19" i="4"/>
  <c r="C23" i="4" s="1"/>
  <c r="C9" i="5"/>
  <c r="C17" i="2"/>
  <c r="B17" i="2"/>
  <c r="B26" i="2"/>
  <c r="E14" i="2"/>
  <c r="E16" i="2" s="1"/>
  <c r="D17" i="2"/>
  <c r="D26" i="2"/>
  <c r="C24" i="2"/>
  <c r="C26" i="2" s="1"/>
  <c r="C30" i="2" l="1"/>
  <c r="C37" i="2"/>
  <c r="D30" i="2"/>
  <c r="D37" i="2"/>
  <c r="B30" i="2"/>
  <c r="B37" i="2"/>
  <c r="E17" i="2"/>
  <c r="E26" i="2"/>
  <c r="C32" i="2" l="1"/>
  <c r="C34" i="2" s="1"/>
  <c r="E30" i="2"/>
  <c r="E37" i="2"/>
  <c r="D32" i="2"/>
  <c r="D34" i="2" s="1"/>
  <c r="B32" i="2"/>
  <c r="B34" i="2" s="1"/>
  <c r="B3" i="5" s="1"/>
  <c r="B10" i="5" s="1"/>
  <c r="B15" i="5" s="1"/>
  <c r="B22" i="5" s="1"/>
  <c r="C5" i="4" s="1"/>
  <c r="D35" i="2" l="1"/>
  <c r="D3" i="5"/>
  <c r="D10" i="5" s="1"/>
  <c r="D15" i="5" s="1"/>
  <c r="D22" i="5" s="1"/>
  <c r="C7" i="4"/>
  <c r="C13" i="4" s="1"/>
  <c r="D5" i="4"/>
  <c r="C35" i="2"/>
  <c r="C3" i="5"/>
  <c r="C10" i="5" s="1"/>
  <c r="C15" i="5" s="1"/>
  <c r="C22" i="5" s="1"/>
  <c r="B35" i="2"/>
  <c r="C28" i="4"/>
  <c r="E32" i="2"/>
  <c r="E34" i="2" s="1"/>
  <c r="D28" i="4" l="1"/>
  <c r="C29" i="4"/>
  <c r="C31" i="4" s="1"/>
  <c r="C33" i="4" s="1"/>
  <c r="D7" i="4"/>
  <c r="D13" i="4" s="1"/>
  <c r="E5" i="4"/>
  <c r="E35" i="2"/>
  <c r="E3" i="5"/>
  <c r="E10" i="5" s="1"/>
  <c r="E15" i="5" s="1"/>
  <c r="E22" i="5" s="1"/>
  <c r="E7" i="4" l="1"/>
  <c r="E13" i="4" s="1"/>
  <c r="F5" i="4"/>
  <c r="F7" i="4" s="1"/>
  <c r="F13" i="4" s="1"/>
  <c r="D33" i="4"/>
  <c r="E28" i="4"/>
  <c r="D29" i="4"/>
  <c r="D31" i="4" s="1"/>
  <c r="F28" i="4" l="1"/>
  <c r="F29" i="4" s="1"/>
  <c r="F31" i="4" s="1"/>
  <c r="F33" i="4" s="1"/>
  <c r="E29" i="4"/>
  <c r="E31" i="4" s="1"/>
  <c r="E33" i="4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fixed assets go to balance sheet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depreciation goes to income statement</t>
        </r>
      </text>
    </comment>
  </commentList>
</comments>
</file>

<file path=xl/sharedStrings.xml><?xml version="1.0" encoding="utf-8"?>
<sst xmlns="http://schemas.openxmlformats.org/spreadsheetml/2006/main" count="157" uniqueCount="118">
  <si>
    <t xml:space="preserve">3 statement financial model: how to build from start to finish </t>
  </si>
  <si>
    <t>Income statement/cash flow =&gt; flow statements, represent periods of time</t>
  </si>
  <si>
    <t>Balance sheet =&gt; represents one specific moment in time</t>
  </si>
  <si>
    <t>Income statement =&gt; money you made &amp;expenses related to thoes sales</t>
  </si>
  <si>
    <t>cash flow =&gt; changes in what you own &amp; what you owe(fundraising/debt/cash,for example off P&amp;L)</t>
  </si>
  <si>
    <t>Step 1</t>
  </si>
  <si>
    <t>Step 2</t>
  </si>
  <si>
    <t>Step 3</t>
  </si>
  <si>
    <t>Step 4</t>
  </si>
  <si>
    <t>Build income statement =&gt; leave depreciation &amp; interest blank</t>
  </si>
  <si>
    <t>Create CAPEX and depreciation schedules</t>
  </si>
  <si>
    <t>Build balance sheet on historical #s</t>
  </si>
  <si>
    <t>Tied cash flow to the balance sheet</t>
  </si>
  <si>
    <t>Income statement</t>
  </si>
  <si>
    <t>Year 1</t>
  </si>
  <si>
    <t>Year 2</t>
  </si>
  <si>
    <t>Year 3</t>
  </si>
  <si>
    <t>Year 4</t>
  </si>
  <si>
    <t>ASSUMPTIONS</t>
  </si>
  <si>
    <t>Revenue</t>
  </si>
  <si>
    <t>New Customers</t>
  </si>
  <si>
    <t>Refunds(as %of rev)</t>
  </si>
  <si>
    <t>Discounts</t>
  </si>
  <si>
    <t>COGS</t>
  </si>
  <si>
    <t>Product</t>
  </si>
  <si>
    <t>Fulfillment</t>
  </si>
  <si>
    <t>Merchant services</t>
  </si>
  <si>
    <t>Operating Expenses</t>
  </si>
  <si>
    <t>Personal</t>
  </si>
  <si>
    <t>Marleting</t>
  </si>
  <si>
    <t>Other</t>
  </si>
  <si>
    <t>Depreciation</t>
  </si>
  <si>
    <t>Interst</t>
  </si>
  <si>
    <t>Tax</t>
  </si>
  <si>
    <t>Other model</t>
  </si>
  <si>
    <t>Gross Revenue</t>
  </si>
  <si>
    <t>Refunds</t>
  </si>
  <si>
    <t>Net revenue</t>
  </si>
  <si>
    <t>Average order value(price)</t>
  </si>
  <si>
    <t>Cost of Goods Sold</t>
  </si>
  <si>
    <t>Total COGS</t>
  </si>
  <si>
    <t>Gross Margin</t>
  </si>
  <si>
    <t>GM %</t>
  </si>
  <si>
    <t>Total OPEX</t>
  </si>
  <si>
    <t>Operating Income</t>
  </si>
  <si>
    <t>Interest</t>
  </si>
  <si>
    <t>Net Income before taxes</t>
  </si>
  <si>
    <t>Taxes</t>
  </si>
  <si>
    <t>Net Income</t>
  </si>
  <si>
    <t>NI %</t>
  </si>
  <si>
    <t>EBITDA</t>
  </si>
  <si>
    <t>Capex &amp; Depreciation</t>
  </si>
  <si>
    <t>Useful Life(Years)</t>
  </si>
  <si>
    <t>Capex</t>
  </si>
  <si>
    <t>Servers</t>
  </si>
  <si>
    <t>Custom software</t>
  </si>
  <si>
    <t>Forklift</t>
  </si>
  <si>
    <t>Total Capex</t>
  </si>
  <si>
    <t>Total D&amp;A</t>
  </si>
  <si>
    <t>Depreciation&amp;amortisation</t>
  </si>
  <si>
    <t>Balance Sheet</t>
  </si>
  <si>
    <t>Dec 31,Year 0</t>
  </si>
  <si>
    <t>Historicals</t>
  </si>
  <si>
    <t>Assets</t>
  </si>
  <si>
    <t>Cash</t>
  </si>
  <si>
    <t>Accounts Receivable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</si>
  <si>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</si>
  <si>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</si>
  <si>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</si>
  <si>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</si>
  <si>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</si>
  <si>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</si>
  <si>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Accounts Payable</t>
  </si>
  <si>
    <t>Deferred Revenue</t>
  </si>
  <si>
    <t>Total Current Liabilities</t>
  </si>
  <si>
    <t>Deferred Revenue(when I sell someone a service but haven't given them that service yet and took the money)</t>
  </si>
  <si>
    <t>Long Term Debt</t>
  </si>
  <si>
    <t>Total Liabilities</t>
  </si>
  <si>
    <t>EQUITY</t>
  </si>
  <si>
    <t>Common Stock</t>
  </si>
  <si>
    <t>Total Shareholders Equity</t>
  </si>
  <si>
    <t>Liabilities&amp;Shareholders Equity</t>
  </si>
  <si>
    <t>Balance Check</t>
  </si>
  <si>
    <t>Net Revenue</t>
  </si>
  <si>
    <t>AR(%of revenue)</t>
  </si>
  <si>
    <t>AP</t>
  </si>
  <si>
    <t>You want AP to be higher than AR to keep more cash</t>
  </si>
  <si>
    <t>Net Borrowing</t>
  </si>
  <si>
    <t>Debt Payments</t>
  </si>
  <si>
    <t>Interest Rate</t>
  </si>
  <si>
    <t>Interest Payments</t>
  </si>
  <si>
    <t>assume not taking any new investment</t>
  </si>
  <si>
    <t xml:space="preserve">Retained Earnings </t>
  </si>
  <si>
    <t>extremly important the balance sheet won't balance if not add net income to RE of last year</t>
  </si>
  <si>
    <t>Cash Flow Statement</t>
  </si>
  <si>
    <t>Operating Activities</t>
  </si>
  <si>
    <t>Depreciations</t>
  </si>
  <si>
    <t>Investing Activities</t>
  </si>
  <si>
    <t>Financing Activities</t>
  </si>
  <si>
    <t>assets you'er gonna buy</t>
  </si>
  <si>
    <t>related to running a business</t>
  </si>
  <si>
    <t>debt or equity raise, money you raise</t>
  </si>
  <si>
    <t>change in AR</t>
  </si>
  <si>
    <t>chg in AP</t>
  </si>
  <si>
    <t>chg in Def Rev</t>
  </si>
  <si>
    <t>Operating Cash Flow</t>
  </si>
  <si>
    <t>Free Cash Flow</t>
  </si>
  <si>
    <t>Debt Refpayment</t>
  </si>
  <si>
    <t>Net Borrowings</t>
  </si>
  <si>
    <t>Net CF From Financing</t>
  </si>
  <si>
    <t>Net Cash Flow</t>
  </si>
  <si>
    <t>Why doesn't my balance sheet balance?</t>
  </si>
  <si>
    <t>Checklist:</t>
  </si>
  <si>
    <t>Is your net income (P&amp;L) linked to retained earnings?</t>
  </si>
  <si>
    <t>Is your net cash flow (CF statement) linked to cash?</t>
  </si>
  <si>
    <t>Have you included all of your balance sheet accounts in your cash flow statement?</t>
  </si>
  <si>
    <t>Do your historical financials balance?</t>
  </si>
  <si>
    <t>Troubleshooting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</si>
</sst>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ج.م.‏&quot;\ * #,##0.00_-;_-&quot;ج.م.‏&quot;\ * #,##0.00\-;_-&quot;ج.م.‏&quot;\ * &quot;-&quot;??_-;_-@_-"/>
    <numFmt numFmtId="165" formatCode="_-* #,##0.00_-;_-* #,##0.00\-;_-* &quot;-&quot;??_-;_-@_-"/>
    <numFmt numFmtId="166" formatCode="_(* #,##0_);_(* \(#,##0\);_(* &quot;-&quot;??_);_(@_)"/>
    <numFmt numFmtId="167" formatCode="[$$-409]#,##0"/>
    <numFmt numFmtId="168" formatCode="_-[$$-409]* #,##0_ ;_-[$$-409]* \-#,##0\ ;_-[$$-409]* &quot;-&quot;??_ ;_-@_ "/>
    <numFmt numFmtId="169" formatCode="_(&quot;$&quot;* #,##0_);_(&quot;$&quot;* \(#,##0\);_(&quot;$&quot;* &quot;-&quot;??_);_(@_)"/>
    <numFmt numFmtId="170" formatCode="_-* #,##0_-;_-* #,##0\-;_-* &quot;-&quot;??_-;_-@_-"/>
    <numFmt numFmtId="171" formatCode="#,##0_ ;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65C9E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3"/>
    <xf numFmtId="0" fontId="0" fillId="2" borderId="0" xfId="0" applyFill="1"/>
    <xf numFmtId="0" fontId="2" fillId="0" borderId="0" xfId="3"/>
    <xf numFmtId="3" fontId="0" fillId="0" borderId="0" xfId="0" applyNumberFormat="1"/>
    <xf numFmtId="9" fontId="7" fillId="0" borderId="0" xfId="0" applyNumberFormat="1" applyFont="1"/>
    <xf numFmtId="3" fontId="7" fillId="0" borderId="0" xfId="0" applyNumberFormat="1" applyFont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Border="1"/>
    <xf numFmtId="166" fontId="0" fillId="0" borderId="0" xfId="1" applyNumberFormat="1" applyFont="1" applyBorder="1"/>
    <xf numFmtId="166" fontId="0" fillId="0" borderId="1" xfId="1" applyNumberFormat="1" applyFont="1" applyBorder="1"/>
    <xf numFmtId="167" fontId="4" fillId="0" borderId="0" xfId="0" applyNumberFormat="1" applyFont="1"/>
    <xf numFmtId="0" fontId="8" fillId="0" borderId="0" xfId="0" applyFont="1"/>
    <xf numFmtId="3" fontId="0" fillId="0" borderId="1" xfId="0" applyNumberFormat="1" applyBorder="1"/>
    <xf numFmtId="0" fontId="4" fillId="0" borderId="2" xfId="0" applyFont="1" applyBorder="1"/>
    <xf numFmtId="0" fontId="0" fillId="0" borderId="2" xfId="0" applyBorder="1"/>
    <xf numFmtId="0" fontId="8" fillId="0" borderId="2" xfId="0" applyFont="1" applyBorder="1"/>
    <xf numFmtId="0" fontId="0" fillId="2" borderId="2" xfId="0" applyFill="1" applyBorder="1"/>
    <xf numFmtId="0" fontId="5" fillId="0" borderId="2" xfId="0" applyFont="1" applyBorder="1"/>
    <xf numFmtId="9" fontId="0" fillId="0" borderId="0" xfId="0" applyNumberFormat="1"/>
    <xf numFmtId="167" fontId="6" fillId="3" borderId="3" xfId="0" applyNumberFormat="1" applyFont="1" applyFill="1" applyBorder="1"/>
    <xf numFmtId="167" fontId="4" fillId="0" borderId="4" xfId="0" applyNumberFormat="1" applyFont="1" applyBorder="1"/>
    <xf numFmtId="167" fontId="0" fillId="3" borderId="0" xfId="0" applyNumberFormat="1" applyFill="1"/>
    <xf numFmtId="9" fontId="0" fillId="0" borderId="0" xfId="2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167" fontId="0" fillId="0" borderId="1" xfId="0" applyNumberFormat="1" applyBorder="1"/>
    <xf numFmtId="167" fontId="7" fillId="0" borderId="1" xfId="0" applyNumberFormat="1" applyFont="1" applyBorder="1"/>
    <xf numFmtId="0" fontId="9" fillId="0" borderId="0" xfId="0" applyFont="1" applyAlignment="1">
      <alignment horizontal="center"/>
    </xf>
    <xf numFmtId="168" fontId="0" fillId="0" borderId="0" xfId="0" applyNumberFormat="1"/>
    <xf numFmtId="168" fontId="10" fillId="0" borderId="0" xfId="0" applyNumberFormat="1" applyFont="1"/>
    <xf numFmtId="168" fontId="10" fillId="0" borderId="0" xfId="0" applyNumberFormat="1" applyFont="1" applyBorder="1"/>
    <xf numFmtId="168" fontId="10" fillId="0" borderId="1" xfId="0" applyNumberFormat="1" applyFont="1" applyBorder="1"/>
    <xf numFmtId="166" fontId="0" fillId="0" borderId="0" xfId="0" applyNumberFormat="1"/>
    <xf numFmtId="44" fontId="0" fillId="0" borderId="0" xfId="0" applyNumberFormat="1"/>
    <xf numFmtId="169" fontId="10" fillId="0" borderId="1" xfId="0" applyNumberFormat="1" applyFont="1" applyBorder="1"/>
    <xf numFmtId="168" fontId="0" fillId="0" borderId="5" xfId="0" applyNumberFormat="1" applyBorder="1"/>
    <xf numFmtId="168" fontId="0" fillId="0" borderId="0" xfId="7" applyNumberFormat="1" applyFont="1"/>
    <xf numFmtId="168" fontId="10" fillId="0" borderId="0" xfId="7" applyNumberFormat="1" applyFont="1" applyBorder="1"/>
    <xf numFmtId="168" fontId="10" fillId="0" borderId="1" xfId="7" applyNumberFormat="1" applyFont="1" applyBorder="1"/>
    <xf numFmtId="0" fontId="0" fillId="4" borderId="0" xfId="0" applyFill="1"/>
    <xf numFmtId="0" fontId="4" fillId="4" borderId="0" xfId="0" applyFont="1" applyFill="1"/>
    <xf numFmtId="9" fontId="10" fillId="0" borderId="0" xfId="2" applyFont="1"/>
    <xf numFmtId="170" fontId="0" fillId="0" borderId="1" xfId="1" applyNumberFormat="1" applyFont="1" applyBorder="1"/>
    <xf numFmtId="170" fontId="0" fillId="0" borderId="0" xfId="1" applyNumberFormat="1" applyFont="1"/>
    <xf numFmtId="170" fontId="0" fillId="0" borderId="0" xfId="1" applyNumberFormat="1" applyFont="1" applyBorder="1"/>
    <xf numFmtId="171" fontId="0" fillId="0" borderId="5" xfId="0" applyNumberFormat="1" applyBorder="1"/>
    <xf numFmtId="168" fontId="10" fillId="0" borderId="0" xfId="2" applyNumberFormat="1" applyFont="1"/>
    <xf numFmtId="168" fontId="0" fillId="5" borderId="1" xfId="0" applyNumberFormat="1" applyFill="1" applyBorder="1"/>
    <xf numFmtId="3" fontId="0" fillId="0" borderId="1" xfId="0" applyNumberFormat="1" applyFont="1" applyBorder="1"/>
    <xf numFmtId="168" fontId="0" fillId="3" borderId="0" xfId="0" applyNumberFormat="1" applyFill="1"/>
    <xf numFmtId="0" fontId="11" fillId="0" borderId="0" xfId="0" applyFont="1"/>
  </cellXfs>
  <cellStyles count="8">
    <cellStyle name="Comma" xfId="1" builtinId="3"/>
    <cellStyle name="Comma 2" xfId="4"/>
    <cellStyle name="Currency" xfId="7" builtinId="4"/>
    <cellStyle name="Currency 2" xfId="5"/>
    <cellStyle name="Normal" xfId="0" builtinId="0"/>
    <cellStyle name="Normal 2" xfId="3"/>
    <cellStyle name="Percent" xfId="2" builtinId="5"/>
    <cellStyle name="Percent 2" xfId="6"/>
  </cellStyles>
  <dxfs count="0"/>
  <tableStyles count="0" defaultTableStyle="TableStyleMedium2" defaultPivotStyle="PivotStyleMedium9"/>
  <colors>
    <mruColors>
      <color rgb="FFFFFF99"/>
      <color rgb="FF265C9E"/>
      <color rgb="FF1839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80" zoomScaleNormal="180" workbookViewId="0">
      <selection activeCell="A27" sqref="A27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6" spans="1:3" x14ac:dyDescent="0.25">
      <c r="A6" t="s">
        <v>4</v>
      </c>
    </row>
    <row r="8" spans="1:3" ht="15.75" x14ac:dyDescent="0.25">
      <c r="A8" s="1" t="s">
        <v>5</v>
      </c>
      <c r="B8" s="3" t="s">
        <v>9</v>
      </c>
    </row>
    <row r="9" spans="1:3" ht="15.75" x14ac:dyDescent="0.25">
      <c r="A9" s="1" t="s">
        <v>6</v>
      </c>
      <c r="B9" s="3" t="s">
        <v>10</v>
      </c>
    </row>
    <row r="10" spans="1:3" ht="15.75" x14ac:dyDescent="0.25">
      <c r="A10" s="1" t="s">
        <v>7</v>
      </c>
      <c r="B10" s="3" t="s">
        <v>11</v>
      </c>
    </row>
    <row r="11" spans="1:3" ht="15.75" x14ac:dyDescent="0.25">
      <c r="A11" s="1" t="s">
        <v>8</v>
      </c>
      <c r="B11" s="3" t="s">
        <v>12</v>
      </c>
    </row>
    <row r="13" spans="1:3" x14ac:dyDescent="0.25">
      <c r="B13" t="s">
        <v>86</v>
      </c>
    </row>
    <row r="15" spans="1:3" x14ac:dyDescent="0.25">
      <c r="A15" s="28" t="s">
        <v>95</v>
      </c>
      <c r="C15" t="s">
        <v>100</v>
      </c>
    </row>
    <row r="16" spans="1:3" x14ac:dyDescent="0.25">
      <c r="A16" s="28" t="s">
        <v>97</v>
      </c>
      <c r="C16" t="s">
        <v>99</v>
      </c>
    </row>
    <row r="17" spans="1:3" x14ac:dyDescent="0.25">
      <c r="A17" s="28" t="s">
        <v>98</v>
      </c>
      <c r="C17" t="s">
        <v>101</v>
      </c>
    </row>
    <row r="18" spans="1:3" x14ac:dyDescent="0.25">
      <c r="A18" s="28"/>
    </row>
    <row r="19" spans="1:3" x14ac:dyDescent="0.25">
      <c r="A19" s="28" t="s">
        <v>117</v>
      </c>
    </row>
    <row r="20" spans="1:3" ht="15.75" x14ac:dyDescent="0.25">
      <c r="A20" s="25" t="s">
        <v>111</v>
      </c>
    </row>
    <row r="22" spans="1:3" ht="15.75" x14ac:dyDescent="0.25">
      <c r="A22" s="55" t="s">
        <v>112</v>
      </c>
    </row>
    <row r="23" spans="1:3" x14ac:dyDescent="0.25">
      <c r="A23" t="s">
        <v>113</v>
      </c>
    </row>
    <row r="24" spans="1:3" x14ac:dyDescent="0.25">
      <c r="A24" t="s">
        <v>114</v>
      </c>
    </row>
    <row r="25" spans="1:3" x14ac:dyDescent="0.25">
      <c r="A25" t="s">
        <v>115</v>
      </c>
    </row>
    <row r="26" spans="1:3" x14ac:dyDescent="0.25">
      <c r="A26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40" zoomScaleNormal="14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8.28515625" style="16" customWidth="1"/>
    <col min="2" max="2" width="16.28515625" bestFit="1" customWidth="1"/>
    <col min="3" max="5" width="12.28515625" bestFit="1" customWidth="1"/>
  </cols>
  <sheetData>
    <row r="1" spans="1:5" x14ac:dyDescent="0.25">
      <c r="A1" s="15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3" spans="1:5" x14ac:dyDescent="0.25">
      <c r="A3" s="17" t="s">
        <v>19</v>
      </c>
    </row>
    <row r="5" spans="1:5" x14ac:dyDescent="0.25">
      <c r="A5" s="16" t="s">
        <v>35</v>
      </c>
      <c r="B5" s="9">
        <f>B42*B43</f>
        <v>3000000</v>
      </c>
      <c r="C5" s="9">
        <f t="shared" ref="C5:E5" si="0">C42*C43</f>
        <v>4800000</v>
      </c>
      <c r="D5" s="9">
        <f t="shared" si="0"/>
        <v>10000000</v>
      </c>
      <c r="E5" s="9">
        <f t="shared" si="0"/>
        <v>18000000</v>
      </c>
    </row>
    <row r="6" spans="1:5" x14ac:dyDescent="0.25">
      <c r="A6" s="16" t="s">
        <v>36</v>
      </c>
      <c r="B6" s="10">
        <f t="shared" ref="B6:E7" si="1">-B$5*B44</f>
        <v>-150000</v>
      </c>
      <c r="C6" s="10">
        <f t="shared" si="1"/>
        <v>-240000</v>
      </c>
      <c r="D6" s="10">
        <f t="shared" si="1"/>
        <v>-500000</v>
      </c>
      <c r="E6" s="10">
        <f t="shared" si="1"/>
        <v>-900000</v>
      </c>
    </row>
    <row r="7" spans="1:5" x14ac:dyDescent="0.25">
      <c r="A7" s="16" t="s">
        <v>22</v>
      </c>
      <c r="B7" s="11">
        <f t="shared" si="1"/>
        <v>-240000</v>
      </c>
      <c r="C7" s="11">
        <f t="shared" si="1"/>
        <v>-384000</v>
      </c>
      <c r="D7" s="11">
        <f t="shared" si="1"/>
        <v>-800000</v>
      </c>
      <c r="E7" s="11">
        <f t="shared" si="1"/>
        <v>-1440000</v>
      </c>
    </row>
    <row r="8" spans="1:5" x14ac:dyDescent="0.25">
      <c r="A8" s="15" t="s">
        <v>37</v>
      </c>
      <c r="B8" s="12">
        <f>SUM(B5:B7)</f>
        <v>2610000</v>
      </c>
      <c r="C8" s="12">
        <f t="shared" ref="C8:E8" si="2">SUM(C5:C7)</f>
        <v>4176000</v>
      </c>
      <c r="D8" s="12">
        <f t="shared" si="2"/>
        <v>8700000</v>
      </c>
      <c r="E8" s="12">
        <f t="shared" si="2"/>
        <v>15660000</v>
      </c>
    </row>
    <row r="9" spans="1:5" x14ac:dyDescent="0.25">
      <c r="B9" s="8"/>
    </row>
    <row r="10" spans="1:5" x14ac:dyDescent="0.25">
      <c r="A10" s="17" t="s">
        <v>39</v>
      </c>
    </row>
    <row r="11" spans="1:5" x14ac:dyDescent="0.25">
      <c r="A11" s="16" t="s">
        <v>24</v>
      </c>
      <c r="B11" s="8">
        <f t="shared" ref="B11:E13" si="3">B$8*B48</f>
        <v>913500</v>
      </c>
      <c r="C11" s="8">
        <f t="shared" si="3"/>
        <v>1461600</v>
      </c>
      <c r="D11" s="8">
        <f t="shared" si="3"/>
        <v>3045000</v>
      </c>
      <c r="E11" s="8">
        <f t="shared" si="3"/>
        <v>5481000</v>
      </c>
    </row>
    <row r="12" spans="1:5" x14ac:dyDescent="0.25">
      <c r="A12" s="16" t="s">
        <v>25</v>
      </c>
      <c r="B12" s="4">
        <f t="shared" si="3"/>
        <v>130500</v>
      </c>
      <c r="C12" s="4">
        <f t="shared" si="3"/>
        <v>208800</v>
      </c>
      <c r="D12" s="4">
        <f t="shared" si="3"/>
        <v>435000</v>
      </c>
      <c r="E12" s="4">
        <f t="shared" si="3"/>
        <v>783000</v>
      </c>
    </row>
    <row r="13" spans="1:5" x14ac:dyDescent="0.25">
      <c r="A13" s="16" t="s">
        <v>26</v>
      </c>
      <c r="B13" s="14">
        <f t="shared" si="3"/>
        <v>78300</v>
      </c>
      <c r="C13" s="14">
        <f t="shared" si="3"/>
        <v>125280</v>
      </c>
      <c r="D13" s="14">
        <f t="shared" si="3"/>
        <v>261000</v>
      </c>
      <c r="E13" s="14">
        <f t="shared" si="3"/>
        <v>469800</v>
      </c>
    </row>
    <row r="14" spans="1:5" x14ac:dyDescent="0.25">
      <c r="A14" s="15" t="s">
        <v>40</v>
      </c>
      <c r="B14" s="12">
        <f>SUM(B11:B13)</f>
        <v>1122300</v>
      </c>
      <c r="C14" s="12">
        <f t="shared" ref="C14:E14" si="4">SUM(C11:C13)</f>
        <v>1795680</v>
      </c>
      <c r="D14" s="12">
        <f t="shared" si="4"/>
        <v>3741000</v>
      </c>
      <c r="E14" s="12">
        <f t="shared" si="4"/>
        <v>6733800</v>
      </c>
    </row>
    <row r="16" spans="1:5" ht="15.75" thickBot="1" x14ac:dyDescent="0.3">
      <c r="A16" s="15" t="s">
        <v>41</v>
      </c>
      <c r="B16" s="22">
        <f>B8-B14</f>
        <v>1487700</v>
      </c>
      <c r="C16" s="22">
        <f t="shared" ref="C16:E16" si="5">C8-C14</f>
        <v>2380320</v>
      </c>
      <c r="D16" s="22">
        <f t="shared" si="5"/>
        <v>4959000</v>
      </c>
      <c r="E16" s="22">
        <f t="shared" si="5"/>
        <v>8926200</v>
      </c>
    </row>
    <row r="17" spans="1:5" ht="15.75" thickTop="1" x14ac:dyDescent="0.25">
      <c r="A17" s="16" t="s">
        <v>42</v>
      </c>
      <c r="B17" s="20">
        <f>B16/B8</f>
        <v>0.56999999999999995</v>
      </c>
      <c r="C17" s="20">
        <f t="shared" ref="C17:E17" si="6">C16/C8</f>
        <v>0.56999999999999995</v>
      </c>
      <c r="D17" s="20">
        <f t="shared" si="6"/>
        <v>0.56999999999999995</v>
      </c>
      <c r="E17" s="20">
        <f t="shared" si="6"/>
        <v>0.56999999999999995</v>
      </c>
    </row>
    <row r="18" spans="1:5" x14ac:dyDescent="0.25">
      <c r="B18" s="20"/>
      <c r="C18" s="20"/>
      <c r="D18" s="20"/>
      <c r="E18" s="20"/>
    </row>
    <row r="19" spans="1:5" x14ac:dyDescent="0.25">
      <c r="A19" s="17" t="s">
        <v>27</v>
      </c>
    </row>
    <row r="20" spans="1:5" x14ac:dyDescent="0.25">
      <c r="A20" s="16" t="s">
        <v>28</v>
      </c>
      <c r="B20" s="8">
        <f t="shared" ref="B20:E22" si="7">B$8*B53</f>
        <v>522000</v>
      </c>
      <c r="C20" s="8">
        <f t="shared" si="7"/>
        <v>835200</v>
      </c>
      <c r="D20" s="8">
        <f t="shared" si="7"/>
        <v>1740000</v>
      </c>
      <c r="E20" s="8">
        <f t="shared" si="7"/>
        <v>3132000</v>
      </c>
    </row>
    <row r="21" spans="1:5" x14ac:dyDescent="0.25">
      <c r="A21" s="16" t="s">
        <v>29</v>
      </c>
      <c r="B21" s="8">
        <f t="shared" si="7"/>
        <v>261000</v>
      </c>
      <c r="C21" s="8">
        <f t="shared" si="7"/>
        <v>417600</v>
      </c>
      <c r="D21" s="8">
        <f t="shared" si="7"/>
        <v>870000</v>
      </c>
      <c r="E21" s="8">
        <f t="shared" si="7"/>
        <v>1566000</v>
      </c>
    </row>
    <row r="22" spans="1:5" x14ac:dyDescent="0.25">
      <c r="A22" s="16" t="s">
        <v>30</v>
      </c>
      <c r="B22" s="8">
        <f t="shared" si="7"/>
        <v>130500</v>
      </c>
      <c r="C22" s="8">
        <f t="shared" si="7"/>
        <v>208800</v>
      </c>
      <c r="D22" s="8">
        <f t="shared" si="7"/>
        <v>435000</v>
      </c>
      <c r="E22" s="8">
        <f t="shared" si="7"/>
        <v>783000</v>
      </c>
    </row>
    <row r="23" spans="1:5" x14ac:dyDescent="0.25">
      <c r="A23" s="16" t="s">
        <v>31</v>
      </c>
      <c r="B23" s="21">
        <f>'Capex%Depreciation'!C13</f>
        <v>31666.666666666668</v>
      </c>
      <c r="C23" s="21">
        <f>'Capex%Depreciation'!D13</f>
        <v>65000</v>
      </c>
      <c r="D23" s="21">
        <f>'Capex%Depreciation'!E13</f>
        <v>103333.33333333334</v>
      </c>
      <c r="E23" s="21">
        <f>'Capex%Depreciation'!F13</f>
        <v>86666.666666666672</v>
      </c>
    </row>
    <row r="24" spans="1:5" x14ac:dyDescent="0.25">
      <c r="A24" s="15" t="s">
        <v>43</v>
      </c>
      <c r="B24" s="12">
        <f>SUM(B20:B23)</f>
        <v>945166.66666666663</v>
      </c>
      <c r="C24" s="12">
        <f t="shared" ref="C24:E24" si="8">SUM(C20:C23)</f>
        <v>1526600</v>
      </c>
      <c r="D24" s="12">
        <f t="shared" si="8"/>
        <v>3148333.3333333335</v>
      </c>
      <c r="E24" s="12">
        <f t="shared" si="8"/>
        <v>5567666.666666667</v>
      </c>
    </row>
    <row r="25" spans="1:5" x14ac:dyDescent="0.25">
      <c r="A25" s="15"/>
      <c r="B25" s="8"/>
    </row>
    <row r="26" spans="1:5" x14ac:dyDescent="0.25">
      <c r="A26" s="15" t="s">
        <v>44</v>
      </c>
      <c r="B26" s="12">
        <f>B16-B24</f>
        <v>542533.33333333337</v>
      </c>
      <c r="C26" s="12">
        <f t="shared" ref="C26:E26" si="9">C16-C24</f>
        <v>853720</v>
      </c>
      <c r="D26" s="12">
        <f t="shared" si="9"/>
        <v>1810666.6666666665</v>
      </c>
      <c r="E26" s="12">
        <f t="shared" si="9"/>
        <v>3358533.333333333</v>
      </c>
    </row>
    <row r="27" spans="1:5" x14ac:dyDescent="0.25">
      <c r="A27" s="15"/>
      <c r="B27" s="8"/>
    </row>
    <row r="28" spans="1:5" x14ac:dyDescent="0.25">
      <c r="A28" s="15" t="s">
        <v>45</v>
      </c>
      <c r="B28" s="23">
        <f>'Balance sheet'!C45</f>
        <v>192000</v>
      </c>
      <c r="C28" s="23">
        <f>'Balance sheet'!D45</f>
        <v>240000</v>
      </c>
      <c r="D28" s="23">
        <f>'Balance sheet'!E45</f>
        <v>168000</v>
      </c>
      <c r="E28" s="23">
        <f>'Balance sheet'!F45</f>
        <v>96000</v>
      </c>
    </row>
    <row r="30" spans="1:5" x14ac:dyDescent="0.25">
      <c r="A30" s="15" t="s">
        <v>46</v>
      </c>
      <c r="B30" s="12">
        <f>B26-B28</f>
        <v>350533.33333333337</v>
      </c>
      <c r="C30" s="12">
        <f t="shared" ref="C30:E30" si="10">C26-C28</f>
        <v>613720</v>
      </c>
      <c r="D30" s="12">
        <f t="shared" si="10"/>
        <v>1642666.6666666665</v>
      </c>
      <c r="E30" s="12">
        <f t="shared" si="10"/>
        <v>3262533.333333333</v>
      </c>
    </row>
    <row r="31" spans="1:5" x14ac:dyDescent="0.25">
      <c r="A31" s="15"/>
    </row>
    <row r="32" spans="1:5" x14ac:dyDescent="0.25">
      <c r="A32" s="15" t="s">
        <v>47</v>
      </c>
      <c r="B32" s="12">
        <f>B30*B60</f>
        <v>73612</v>
      </c>
      <c r="C32" s="12">
        <f>C30*C60</f>
        <v>128881.2</v>
      </c>
      <c r="D32" s="12">
        <f>D30*D60</f>
        <v>344959.99999999994</v>
      </c>
      <c r="E32" s="12">
        <f>E30*E60</f>
        <v>685131.99999999988</v>
      </c>
    </row>
    <row r="33" spans="1:5" x14ac:dyDescent="0.25">
      <c r="A33" s="15"/>
    </row>
    <row r="34" spans="1:5" x14ac:dyDescent="0.25">
      <c r="A34" s="15" t="s">
        <v>48</v>
      </c>
      <c r="B34" s="12">
        <f>B30-B32</f>
        <v>276921.33333333337</v>
      </c>
      <c r="C34" s="12">
        <f t="shared" ref="C34:E34" si="11">C30-C32</f>
        <v>484838.8</v>
      </c>
      <c r="D34" s="12">
        <f t="shared" si="11"/>
        <v>1297706.6666666665</v>
      </c>
      <c r="E34" s="12">
        <f t="shared" si="11"/>
        <v>2577401.333333333</v>
      </c>
    </row>
    <row r="35" spans="1:5" x14ac:dyDescent="0.25">
      <c r="A35" s="15" t="s">
        <v>49</v>
      </c>
      <c r="B35" s="24">
        <f>B34/B8</f>
        <v>0.10610012771392083</v>
      </c>
      <c r="C35" s="24">
        <f t="shared" ref="C35:E35" si="12">C34/C8</f>
        <v>0.11610124521072797</v>
      </c>
      <c r="D35" s="24">
        <f t="shared" si="12"/>
        <v>0.14916168582375477</v>
      </c>
      <c r="E35" s="24">
        <f t="shared" si="12"/>
        <v>0.16458501489995742</v>
      </c>
    </row>
    <row r="36" spans="1:5" x14ac:dyDescent="0.25">
      <c r="A36" s="15"/>
    </row>
    <row r="37" spans="1:5" x14ac:dyDescent="0.25">
      <c r="A37" s="15" t="s">
        <v>50</v>
      </c>
      <c r="B37" s="12">
        <f t="shared" ref="B37:E37" si="13">B26+B23</f>
        <v>574200</v>
      </c>
      <c r="C37" s="12">
        <f t="shared" si="13"/>
        <v>918720</v>
      </c>
      <c r="D37" s="12">
        <f t="shared" si="13"/>
        <v>1913999.9999999998</v>
      </c>
      <c r="E37" s="12">
        <f t="shared" si="13"/>
        <v>3445199.9999999995</v>
      </c>
    </row>
    <row r="38" spans="1:5" x14ac:dyDescent="0.25">
      <c r="A38" s="15"/>
    </row>
    <row r="39" spans="1:5" s="2" customFormat="1" x14ac:dyDescent="0.25">
      <c r="A39" s="18" t="s">
        <v>18</v>
      </c>
    </row>
    <row r="41" spans="1:5" x14ac:dyDescent="0.25">
      <c r="A41" s="19" t="s">
        <v>19</v>
      </c>
    </row>
    <row r="42" spans="1:5" x14ac:dyDescent="0.25">
      <c r="A42" s="16" t="s">
        <v>20</v>
      </c>
      <c r="B42" s="6">
        <v>75000</v>
      </c>
      <c r="C42" s="6">
        <v>120000</v>
      </c>
      <c r="D42" s="6">
        <v>250000</v>
      </c>
      <c r="E42" s="6">
        <v>450000</v>
      </c>
    </row>
    <row r="43" spans="1:5" x14ac:dyDescent="0.25">
      <c r="A43" s="16" t="s">
        <v>38</v>
      </c>
      <c r="B43" s="7">
        <v>40</v>
      </c>
      <c r="C43" s="7">
        <v>40</v>
      </c>
      <c r="D43" s="7">
        <v>40</v>
      </c>
      <c r="E43" s="7">
        <v>40</v>
      </c>
    </row>
    <row r="44" spans="1:5" x14ac:dyDescent="0.25">
      <c r="A44" s="16" t="s">
        <v>21</v>
      </c>
      <c r="B44" s="5">
        <v>0.05</v>
      </c>
      <c r="C44" s="5">
        <v>0.05</v>
      </c>
      <c r="D44" s="5">
        <v>0.05</v>
      </c>
      <c r="E44" s="5">
        <v>0.05</v>
      </c>
    </row>
    <row r="45" spans="1:5" x14ac:dyDescent="0.25">
      <c r="A45" s="16" t="s">
        <v>22</v>
      </c>
      <c r="B45" s="5">
        <v>0.08</v>
      </c>
      <c r="C45" s="5">
        <v>0.08</v>
      </c>
      <c r="D45" s="5">
        <v>0.08</v>
      </c>
      <c r="E45" s="5">
        <v>0.08</v>
      </c>
    </row>
    <row r="47" spans="1:5" x14ac:dyDescent="0.25">
      <c r="A47" s="19" t="s">
        <v>23</v>
      </c>
    </row>
    <row r="48" spans="1:5" x14ac:dyDescent="0.25">
      <c r="A48" s="16" t="s">
        <v>24</v>
      </c>
      <c r="B48" s="5">
        <v>0.35</v>
      </c>
      <c r="C48" s="5">
        <v>0.35</v>
      </c>
      <c r="D48" s="5">
        <v>0.35</v>
      </c>
      <c r="E48" s="5">
        <v>0.35</v>
      </c>
    </row>
    <row r="49" spans="1:8" x14ac:dyDescent="0.25">
      <c r="A49" s="16" t="s">
        <v>25</v>
      </c>
      <c r="B49" s="5">
        <v>0.05</v>
      </c>
      <c r="C49" s="5">
        <v>0.05</v>
      </c>
      <c r="D49" s="5">
        <v>0.05</v>
      </c>
      <c r="E49" s="5">
        <v>0.05</v>
      </c>
    </row>
    <row r="50" spans="1:8" x14ac:dyDescent="0.25">
      <c r="A50" s="16" t="s">
        <v>26</v>
      </c>
      <c r="B50" s="5">
        <v>0.03</v>
      </c>
      <c r="C50" s="5">
        <v>0.03</v>
      </c>
      <c r="D50" s="5">
        <v>0.03</v>
      </c>
      <c r="E50" s="5">
        <v>0.03</v>
      </c>
    </row>
    <row r="52" spans="1:8" x14ac:dyDescent="0.25">
      <c r="A52" s="19" t="s">
        <v>27</v>
      </c>
    </row>
    <row r="53" spans="1:8" x14ac:dyDescent="0.25">
      <c r="A53" s="16" t="s">
        <v>28</v>
      </c>
      <c r="B53" s="5">
        <v>0.2</v>
      </c>
      <c r="C53" s="5">
        <v>0.2</v>
      </c>
      <c r="D53" s="5">
        <v>0.2</v>
      </c>
      <c r="E53" s="5">
        <v>0.2</v>
      </c>
      <c r="F53" s="5"/>
      <c r="G53" s="5"/>
      <c r="H53" s="5"/>
    </row>
    <row r="54" spans="1:8" x14ac:dyDescent="0.25">
      <c r="A54" s="16" t="s">
        <v>29</v>
      </c>
      <c r="B54" s="5">
        <v>0.1</v>
      </c>
      <c r="C54" s="5">
        <v>0.1</v>
      </c>
      <c r="D54" s="5">
        <v>0.1</v>
      </c>
      <c r="E54" s="5">
        <v>0.1</v>
      </c>
      <c r="F54" s="5"/>
      <c r="G54" s="5"/>
      <c r="H54" s="5"/>
    </row>
    <row r="55" spans="1:8" x14ac:dyDescent="0.25">
      <c r="A55" s="16" t="s">
        <v>30</v>
      </c>
      <c r="B55" s="5">
        <v>0.05</v>
      </c>
      <c r="C55" s="5">
        <v>0.05</v>
      </c>
      <c r="D55" s="5">
        <v>0.05</v>
      </c>
      <c r="E55" s="5">
        <v>0.05</v>
      </c>
      <c r="F55" s="5"/>
      <c r="G55" s="5"/>
      <c r="H55" s="5"/>
    </row>
    <row r="56" spans="1:8" x14ac:dyDescent="0.25">
      <c r="A56" s="16" t="s">
        <v>31</v>
      </c>
      <c r="B56" t="s">
        <v>34</v>
      </c>
      <c r="C56" t="s">
        <v>34</v>
      </c>
      <c r="D56" t="s">
        <v>34</v>
      </c>
      <c r="E56" t="s">
        <v>34</v>
      </c>
    </row>
    <row r="58" spans="1:8" x14ac:dyDescent="0.25">
      <c r="A58" s="16" t="s">
        <v>32</v>
      </c>
      <c r="B58" t="s">
        <v>34</v>
      </c>
      <c r="C58" t="s">
        <v>34</v>
      </c>
      <c r="D58" t="s">
        <v>34</v>
      </c>
      <c r="E58" t="s">
        <v>34</v>
      </c>
    </row>
    <row r="60" spans="1:8" x14ac:dyDescent="0.25">
      <c r="A60" s="16" t="s">
        <v>33</v>
      </c>
      <c r="B60" s="5">
        <v>0.21</v>
      </c>
      <c r="C60" s="5">
        <v>0.21</v>
      </c>
      <c r="D60" s="5">
        <v>0.21</v>
      </c>
      <c r="E60" s="5">
        <v>0.21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B7" sqref="B7"/>
    </sheetView>
  </sheetViews>
  <sheetFormatPr defaultRowHeight="15" x14ac:dyDescent="0.25"/>
  <cols>
    <col min="1" max="1" width="22.42578125" bestFit="1" customWidth="1"/>
    <col min="2" max="2" width="22.42578125" customWidth="1"/>
    <col min="3" max="3" width="10.42578125" bestFit="1" customWidth="1"/>
    <col min="4" max="5" width="11.5703125" bestFit="1" customWidth="1"/>
    <col min="6" max="6" width="10.28515625" bestFit="1" customWidth="1"/>
  </cols>
  <sheetData>
    <row r="1" spans="1:6" ht="15.75" x14ac:dyDescent="0.25">
      <c r="A1" s="25" t="s">
        <v>51</v>
      </c>
      <c r="B1" s="27" t="s">
        <v>52</v>
      </c>
      <c r="C1" s="13" t="s">
        <v>14</v>
      </c>
      <c r="D1" s="13" t="s">
        <v>15</v>
      </c>
      <c r="E1" s="13" t="s">
        <v>16</v>
      </c>
      <c r="F1" s="13" t="s">
        <v>17</v>
      </c>
    </row>
    <row r="3" spans="1:6" x14ac:dyDescent="0.25">
      <c r="A3" s="28" t="s">
        <v>53</v>
      </c>
    </row>
    <row r="4" spans="1:6" x14ac:dyDescent="0.25">
      <c r="A4" t="s">
        <v>54</v>
      </c>
      <c r="B4" s="29">
        <v>5</v>
      </c>
      <c r="C4" s="7">
        <v>75000</v>
      </c>
      <c r="D4" s="7"/>
      <c r="E4" s="7"/>
      <c r="F4" s="7"/>
    </row>
    <row r="5" spans="1:6" x14ac:dyDescent="0.25">
      <c r="A5" t="s">
        <v>55</v>
      </c>
      <c r="B5" s="29">
        <v>3</v>
      </c>
      <c r="C5" s="7">
        <v>50000</v>
      </c>
      <c r="D5" s="7">
        <v>100000</v>
      </c>
      <c r="E5" s="7">
        <v>100000</v>
      </c>
      <c r="F5" s="7"/>
    </row>
    <row r="6" spans="1:6" x14ac:dyDescent="0.25">
      <c r="A6" t="s">
        <v>56</v>
      </c>
      <c r="B6" s="29">
        <v>6</v>
      </c>
      <c r="C6" s="31"/>
      <c r="D6" s="31"/>
      <c r="E6" s="31">
        <v>30000</v>
      </c>
      <c r="F6" s="31"/>
    </row>
    <row r="7" spans="1:6" x14ac:dyDescent="0.25">
      <c r="A7" s="26" t="s">
        <v>57</v>
      </c>
      <c r="C7" s="8">
        <f>SUM(C4:C6)</f>
        <v>125000</v>
      </c>
      <c r="D7" s="8">
        <f t="shared" ref="D7:F7" si="0">SUM(D4:D6)</f>
        <v>100000</v>
      </c>
      <c r="E7" s="8">
        <f t="shared" si="0"/>
        <v>130000</v>
      </c>
      <c r="F7" s="8">
        <f t="shared" si="0"/>
        <v>0</v>
      </c>
    </row>
    <row r="9" spans="1:6" x14ac:dyDescent="0.25">
      <c r="A9" s="28" t="s">
        <v>31</v>
      </c>
    </row>
    <row r="10" spans="1:6" x14ac:dyDescent="0.25">
      <c r="A10" t="s">
        <v>54</v>
      </c>
      <c r="C10" s="8">
        <f>$C$4/$B$4</f>
        <v>15000</v>
      </c>
      <c r="D10" s="8">
        <f t="shared" ref="D10:F10" si="1">$C$4/$B$4</f>
        <v>15000</v>
      </c>
      <c r="E10" s="8">
        <f t="shared" si="1"/>
        <v>15000</v>
      </c>
      <c r="F10" s="8">
        <f t="shared" si="1"/>
        <v>15000</v>
      </c>
    </row>
    <row r="11" spans="1:6" x14ac:dyDescent="0.25">
      <c r="A11" t="s">
        <v>55</v>
      </c>
      <c r="C11" s="8">
        <f>$C$5/$B$5</f>
        <v>16666.666666666668</v>
      </c>
      <c r="D11" s="8">
        <f>$C$5/$B$5+$D$5/$B$5</f>
        <v>50000</v>
      </c>
      <c r="E11" s="8">
        <f>$C$5/$B$5+$D$5/$B$5+$E$5/$B$5</f>
        <v>83333.333333333343</v>
      </c>
      <c r="F11" s="8">
        <f>$D$5/$B$5+$E$5/$B$5</f>
        <v>66666.666666666672</v>
      </c>
    </row>
    <row r="12" spans="1:6" x14ac:dyDescent="0.25">
      <c r="A12" t="s">
        <v>56</v>
      </c>
      <c r="C12" s="30"/>
      <c r="D12" s="30"/>
      <c r="E12" s="30">
        <f>$E$6/$B$6</f>
        <v>5000</v>
      </c>
      <c r="F12" s="30">
        <f>$E$6/$B$6</f>
        <v>5000</v>
      </c>
    </row>
    <row r="13" spans="1:6" x14ac:dyDescent="0.25">
      <c r="A13" s="26" t="s">
        <v>58</v>
      </c>
      <c r="C13" s="8">
        <f>SUM(C10:C12)</f>
        <v>31666.666666666668</v>
      </c>
      <c r="D13" s="8">
        <f t="shared" ref="D13:F13" si="2">SUM(D10:D12)</f>
        <v>65000</v>
      </c>
      <c r="E13" s="8">
        <f t="shared" si="2"/>
        <v>103333.33333333334</v>
      </c>
      <c r="F13" s="8">
        <f t="shared" si="2"/>
        <v>86666.666666666672</v>
      </c>
    </row>
    <row r="14" spans="1:6" x14ac:dyDescent="0.25">
      <c r="A14" t="s">
        <v>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120" zoomScaleNormal="120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28.5703125" customWidth="1"/>
    <col min="2" max="2" width="18.140625" bestFit="1" customWidth="1"/>
    <col min="3" max="5" width="14.7109375" bestFit="1" customWidth="1"/>
    <col min="6" max="6" width="15.7109375" bestFit="1" customWidth="1"/>
  </cols>
  <sheetData>
    <row r="1" spans="1:6" x14ac:dyDescent="0.25">
      <c r="A1" s="26" t="s">
        <v>60</v>
      </c>
      <c r="B1" s="26" t="s">
        <v>61</v>
      </c>
      <c r="C1" s="13" t="s">
        <v>14</v>
      </c>
      <c r="D1" s="13" t="s">
        <v>15</v>
      </c>
      <c r="E1" s="13" t="s">
        <v>16</v>
      </c>
      <c r="F1" s="13" t="s">
        <v>17</v>
      </c>
    </row>
    <row r="2" spans="1:6" x14ac:dyDescent="0.25">
      <c r="B2" s="32" t="s">
        <v>62</v>
      </c>
    </row>
    <row r="3" spans="1:6" x14ac:dyDescent="0.25">
      <c r="A3" s="13" t="s">
        <v>63</v>
      </c>
    </row>
    <row r="5" spans="1:6" x14ac:dyDescent="0.25">
      <c r="A5" t="s">
        <v>64</v>
      </c>
      <c r="B5" s="35">
        <v>4250000</v>
      </c>
      <c r="C5" s="54">
        <f>B5+'Cash flow statement'!B22</f>
        <v>3957988</v>
      </c>
      <c r="D5" s="54">
        <f>C5+'Cash flow statement'!C22</f>
        <v>5153986.8</v>
      </c>
      <c r="E5" s="54">
        <f>D5+'Cash flow statement'!D22</f>
        <v>6057466.7999999998</v>
      </c>
      <c r="F5" s="54">
        <f>E5+'Cash flow statement'!E22</f>
        <v>8761134.8000000007</v>
      </c>
    </row>
    <row r="6" spans="1:6" x14ac:dyDescent="0.25">
      <c r="A6" t="s">
        <v>65</v>
      </c>
      <c r="B6" s="36">
        <v>120000</v>
      </c>
      <c r="C6" s="47">
        <f>C37*C38</f>
        <v>130500</v>
      </c>
      <c r="D6" s="47">
        <f t="shared" ref="D6:F6" si="0">D37*D38</f>
        <v>208800</v>
      </c>
      <c r="E6" s="47">
        <f t="shared" si="0"/>
        <v>435000</v>
      </c>
      <c r="F6" s="47">
        <f t="shared" si="0"/>
        <v>783000</v>
      </c>
    </row>
    <row r="7" spans="1:6" x14ac:dyDescent="0.25">
      <c r="A7" s="26" t="s">
        <v>66</v>
      </c>
      <c r="B7" s="33">
        <f>SUM(B5:B6)</f>
        <v>4370000</v>
      </c>
      <c r="C7" s="48">
        <f t="shared" ref="C7:F7" si="1">SUM(C5:C6)</f>
        <v>4088488</v>
      </c>
      <c r="D7" s="48">
        <f t="shared" si="1"/>
        <v>5362786.8</v>
      </c>
      <c r="E7" s="48">
        <f t="shared" si="1"/>
        <v>6492466.7999999998</v>
      </c>
      <c r="F7" s="48">
        <f t="shared" si="1"/>
        <v>9544134.8000000007</v>
      </c>
    </row>
    <row r="9" spans="1:6" x14ac:dyDescent="0.25">
      <c r="A9" t="s">
        <v>67</v>
      </c>
      <c r="B9" s="35">
        <v>40000</v>
      </c>
      <c r="C9" s="49">
        <f>B9+'Capex%Depreciation'!C7</f>
        <v>165000</v>
      </c>
      <c r="D9" s="49">
        <f>C9+'Capex%Depreciation'!D7</f>
        <v>265000</v>
      </c>
      <c r="E9" s="49">
        <f>D9+'Capex%Depreciation'!E7</f>
        <v>395000</v>
      </c>
      <c r="F9" s="49">
        <f>E9+'Capex%Depreciation'!F7</f>
        <v>395000</v>
      </c>
    </row>
    <row r="10" spans="1:6" x14ac:dyDescent="0.25">
      <c r="A10" t="s">
        <v>68</v>
      </c>
      <c r="B10" s="39">
        <v>-10000</v>
      </c>
      <c r="C10" s="11">
        <f>B10-'Capex%Depreciation'!C13</f>
        <v>-41666.666666666672</v>
      </c>
      <c r="D10" s="11">
        <f>C10-'Capex%Depreciation'!D13</f>
        <v>-106666.66666666667</v>
      </c>
      <c r="E10" s="11">
        <f>D10-'Capex%Depreciation'!E13</f>
        <v>-210000</v>
      </c>
      <c r="F10" s="11">
        <f>E10-'Capex%Depreciation'!F13</f>
        <v>-296666.66666666669</v>
      </c>
    </row>
    <row r="11" spans="1:6" x14ac:dyDescent="0.25">
      <c r="A11" s="26" t="s">
        <v>69</v>
      </c>
      <c r="B11" s="33">
        <f>SUM(B9:B10)</f>
        <v>30000</v>
      </c>
      <c r="C11" s="48">
        <f t="shared" ref="C11" si="2">SUM(C9:C10)</f>
        <v>123333.33333333333</v>
      </c>
      <c r="D11" s="48">
        <f t="shared" ref="D11" si="3">SUM(D9:D10)</f>
        <v>158333.33333333331</v>
      </c>
      <c r="E11" s="48">
        <f t="shared" ref="E11" si="4">SUM(E9:E10)</f>
        <v>185000</v>
      </c>
      <c r="F11" s="48">
        <f t="shared" ref="F11" si="5">SUM(F9:F10)</f>
        <v>98333.333333333314</v>
      </c>
    </row>
    <row r="13" spans="1:6" ht="15.75" thickBot="1" x14ac:dyDescent="0.3">
      <c r="A13" s="26" t="s">
        <v>70</v>
      </c>
      <c r="B13" s="40">
        <f>B7+B11</f>
        <v>4400000</v>
      </c>
      <c r="C13" s="50">
        <f t="shared" ref="C13:F13" si="6">C7+C11</f>
        <v>4211821.333333333</v>
      </c>
      <c r="D13" s="50">
        <f t="shared" si="6"/>
        <v>5521120.1333333328</v>
      </c>
      <c r="E13" s="50">
        <f t="shared" si="6"/>
        <v>6677466.7999999998</v>
      </c>
      <c r="F13" s="50">
        <f t="shared" si="6"/>
        <v>9642468.1333333347</v>
      </c>
    </row>
    <row r="14" spans="1:6" ht="15.75" thickTop="1" x14ac:dyDescent="0.25"/>
    <row r="15" spans="1:6" x14ac:dyDescent="0.25">
      <c r="A15" s="13" t="s">
        <v>71</v>
      </c>
    </row>
    <row r="17" spans="1:7" x14ac:dyDescent="0.25">
      <c r="A17" t="s">
        <v>72</v>
      </c>
      <c r="B17" s="34">
        <v>75000</v>
      </c>
      <c r="C17" s="49">
        <f>C37*C39</f>
        <v>156600</v>
      </c>
      <c r="D17" s="49">
        <f t="shared" ref="D17:F17" si="7">D37*D39</f>
        <v>250560</v>
      </c>
      <c r="E17" s="49">
        <f t="shared" si="7"/>
        <v>522000</v>
      </c>
      <c r="F17" s="49">
        <f t="shared" si="7"/>
        <v>939600</v>
      </c>
    </row>
    <row r="18" spans="1:7" x14ac:dyDescent="0.25">
      <c r="A18" t="s">
        <v>75</v>
      </c>
      <c r="B18" s="36">
        <v>25000</v>
      </c>
      <c r="C18" s="47">
        <f>C37*C40</f>
        <v>78300</v>
      </c>
      <c r="D18" s="47">
        <f t="shared" ref="D18:F18" si="8">D37*D40</f>
        <v>208800</v>
      </c>
      <c r="E18" s="47">
        <f t="shared" si="8"/>
        <v>696000</v>
      </c>
      <c r="F18" s="47">
        <f t="shared" si="8"/>
        <v>1566000</v>
      </c>
    </row>
    <row r="19" spans="1:7" x14ac:dyDescent="0.25">
      <c r="A19" s="26" t="s">
        <v>74</v>
      </c>
      <c r="B19" s="33">
        <f>SUM(B17:B18)</f>
        <v>100000</v>
      </c>
      <c r="C19" s="48">
        <f t="shared" ref="C19" si="9">SUM(C17:C18)</f>
        <v>234900</v>
      </c>
      <c r="D19" s="48">
        <f t="shared" ref="D19" si="10">SUM(D17:D18)</f>
        <v>459360</v>
      </c>
      <c r="E19" s="48">
        <f t="shared" ref="E19" si="11">SUM(E17:E18)</f>
        <v>1218000</v>
      </c>
      <c r="F19" s="48">
        <f t="shared" ref="F19" si="12">SUM(F17:F18)</f>
        <v>2505600</v>
      </c>
    </row>
    <row r="21" spans="1:7" x14ac:dyDescent="0.25">
      <c r="A21" t="s">
        <v>76</v>
      </c>
      <c r="B21" s="34">
        <v>3000000</v>
      </c>
      <c r="C21" s="33">
        <f>B21+C42-C43</f>
        <v>2400000</v>
      </c>
      <c r="D21" s="33">
        <f>C21+D42-D43</f>
        <v>3000000</v>
      </c>
      <c r="E21" s="33">
        <f>D21+E42-E43</f>
        <v>2100000</v>
      </c>
      <c r="F21" s="33">
        <f>E21+F42-F43</f>
        <v>1200000</v>
      </c>
    </row>
    <row r="23" spans="1:7" ht="15.75" thickBot="1" x14ac:dyDescent="0.3">
      <c r="A23" s="26" t="s">
        <v>77</v>
      </c>
      <c r="B23" s="50">
        <f>B19+B21</f>
        <v>3100000</v>
      </c>
      <c r="C23" s="50">
        <f t="shared" ref="C23:F23" si="13">C19+C21</f>
        <v>2634900</v>
      </c>
      <c r="D23" s="50">
        <f t="shared" si="13"/>
        <v>3459360</v>
      </c>
      <c r="E23" s="50">
        <f t="shared" si="13"/>
        <v>3318000</v>
      </c>
      <c r="F23" s="50">
        <f t="shared" si="13"/>
        <v>3705600</v>
      </c>
    </row>
    <row r="24" spans="1:7" ht="15.75" thickTop="1" x14ac:dyDescent="0.25"/>
    <row r="25" spans="1:7" x14ac:dyDescent="0.25">
      <c r="A25" s="13" t="s">
        <v>78</v>
      </c>
    </row>
    <row r="27" spans="1:7" x14ac:dyDescent="0.25">
      <c r="A27" t="s">
        <v>79</v>
      </c>
      <c r="B27" s="42">
        <v>50000</v>
      </c>
      <c r="C27" s="33">
        <f>B27</f>
        <v>50000</v>
      </c>
      <c r="D27" s="33">
        <f t="shared" ref="D27:F27" si="14">C27</f>
        <v>50000</v>
      </c>
      <c r="E27" s="33">
        <f t="shared" si="14"/>
        <v>50000</v>
      </c>
      <c r="F27" s="33">
        <f t="shared" si="14"/>
        <v>50000</v>
      </c>
      <c r="G27" t="s">
        <v>91</v>
      </c>
    </row>
    <row r="28" spans="1:7" x14ac:dyDescent="0.25">
      <c r="A28" t="s">
        <v>92</v>
      </c>
      <c r="B28" s="43">
        <v>1250000</v>
      </c>
      <c r="C28" s="52">
        <f>B28+'Income statement'!B34</f>
        <v>1526921.3333333335</v>
      </c>
      <c r="D28" s="52">
        <f>C28+'Income statement'!C34</f>
        <v>2011760.1333333335</v>
      </c>
      <c r="E28" s="52">
        <f>D28+'Income statement'!D34</f>
        <v>3309466.8</v>
      </c>
      <c r="F28" s="52">
        <f>E28+'Income statement'!E34</f>
        <v>5886868.1333333328</v>
      </c>
      <c r="G28" t="s">
        <v>93</v>
      </c>
    </row>
    <row r="29" spans="1:7" x14ac:dyDescent="0.25">
      <c r="A29" t="s">
        <v>80</v>
      </c>
      <c r="B29" s="41">
        <f>SUM(B27:B28)</f>
        <v>1300000</v>
      </c>
      <c r="C29" s="41">
        <f>SUM(C27:C28)</f>
        <v>1576921.3333333335</v>
      </c>
      <c r="D29" s="41">
        <f t="shared" ref="D29:F29" si="15">SUM(D27:D28)</f>
        <v>2061760.1333333335</v>
      </c>
      <c r="E29" s="41">
        <f t="shared" si="15"/>
        <v>3359466.8</v>
      </c>
      <c r="F29" s="41">
        <f t="shared" si="15"/>
        <v>5936868.1333333328</v>
      </c>
    </row>
    <row r="31" spans="1:7" x14ac:dyDescent="0.25">
      <c r="A31" s="26" t="s">
        <v>81</v>
      </c>
      <c r="B31" s="33">
        <f>B23+B29</f>
        <v>4400000</v>
      </c>
      <c r="C31" s="33">
        <f t="shared" ref="C31:F31" si="16">C23+C29</f>
        <v>4211821.333333334</v>
      </c>
      <c r="D31" s="33">
        <f t="shared" si="16"/>
        <v>5521120.1333333338</v>
      </c>
      <c r="E31" s="33">
        <f t="shared" si="16"/>
        <v>6677466.7999999998</v>
      </c>
      <c r="F31" s="33">
        <f t="shared" si="16"/>
        <v>9642468.1333333328</v>
      </c>
    </row>
    <row r="33" spans="1:6" x14ac:dyDescent="0.25">
      <c r="A33" t="s">
        <v>82</v>
      </c>
      <c r="B33" s="33">
        <f>B13-B31</f>
        <v>0</v>
      </c>
      <c r="C33" s="33">
        <f t="shared" ref="C33:F33" si="17">C13-C31</f>
        <v>0</v>
      </c>
      <c r="D33" s="33">
        <f t="shared" si="17"/>
        <v>0</v>
      </c>
      <c r="E33" s="33">
        <f t="shared" si="17"/>
        <v>0</v>
      </c>
      <c r="F33" s="33">
        <f t="shared" si="17"/>
        <v>0</v>
      </c>
    </row>
    <row r="35" spans="1:6" s="44" customFormat="1" x14ac:dyDescent="0.25">
      <c r="A35" s="45" t="s">
        <v>18</v>
      </c>
    </row>
    <row r="37" spans="1:6" x14ac:dyDescent="0.25">
      <c r="A37" t="s">
        <v>83</v>
      </c>
      <c r="C37" s="33">
        <f>'Income statement'!B8</f>
        <v>2610000</v>
      </c>
      <c r="D37" s="33">
        <f>'Income statement'!C8</f>
        <v>4176000</v>
      </c>
      <c r="E37" s="33">
        <f>'Income statement'!D8</f>
        <v>8700000</v>
      </c>
      <c r="F37" s="33">
        <f>'Income statement'!E8</f>
        <v>15660000</v>
      </c>
    </row>
    <row r="38" spans="1:6" x14ac:dyDescent="0.25">
      <c r="A38" t="s">
        <v>84</v>
      </c>
      <c r="C38" s="46">
        <v>0.05</v>
      </c>
      <c r="D38" s="46">
        <v>0.05</v>
      </c>
      <c r="E38" s="46">
        <v>0.05</v>
      </c>
      <c r="F38" s="46">
        <v>0.05</v>
      </c>
    </row>
    <row r="39" spans="1:6" x14ac:dyDescent="0.25">
      <c r="A39" t="s">
        <v>85</v>
      </c>
      <c r="C39" s="46">
        <v>0.06</v>
      </c>
      <c r="D39" s="46">
        <v>0.06</v>
      </c>
      <c r="E39" s="46">
        <v>0.06</v>
      </c>
      <c r="F39" s="46">
        <v>0.06</v>
      </c>
    </row>
    <row r="40" spans="1:6" x14ac:dyDescent="0.25">
      <c r="A40" t="s">
        <v>73</v>
      </c>
      <c r="C40" s="46">
        <v>0.03</v>
      </c>
      <c r="D40" s="46">
        <v>0.05</v>
      </c>
      <c r="E40" s="46">
        <v>0.08</v>
      </c>
      <c r="F40" s="46">
        <v>0.1</v>
      </c>
    </row>
    <row r="42" spans="1:6" x14ac:dyDescent="0.25">
      <c r="A42" t="s">
        <v>87</v>
      </c>
      <c r="C42" s="33"/>
      <c r="D42" s="34">
        <v>1500000</v>
      </c>
      <c r="E42" s="33"/>
      <c r="F42" s="33"/>
    </row>
    <row r="43" spans="1:6" x14ac:dyDescent="0.25">
      <c r="A43" t="s">
        <v>88</v>
      </c>
      <c r="C43" s="51">
        <v>600000</v>
      </c>
      <c r="D43" s="34">
        <v>900000</v>
      </c>
      <c r="E43" s="34">
        <v>900000</v>
      </c>
      <c r="F43" s="34">
        <v>900000</v>
      </c>
    </row>
    <row r="44" spans="1:6" x14ac:dyDescent="0.25">
      <c r="A44" t="s">
        <v>89</v>
      </c>
      <c r="C44" s="46">
        <v>0.08</v>
      </c>
      <c r="D44" s="46">
        <v>0.08</v>
      </c>
      <c r="E44" s="46">
        <v>0.08</v>
      </c>
      <c r="F44" s="46">
        <v>0.08</v>
      </c>
    </row>
    <row r="45" spans="1:6" x14ac:dyDescent="0.25">
      <c r="A45" t="s">
        <v>90</v>
      </c>
      <c r="C45" s="33">
        <f>C44*C21</f>
        <v>192000</v>
      </c>
      <c r="D45" s="33">
        <f t="shared" ref="D45:F45" si="18">D44*D21</f>
        <v>240000</v>
      </c>
      <c r="E45" s="33">
        <f t="shared" si="18"/>
        <v>168000</v>
      </c>
      <c r="F45" s="33">
        <f t="shared" si="18"/>
        <v>96000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70" zoomScaleNormal="170" workbookViewId="0">
      <pane ySplit="1" topLeftCell="A20" activePane="bottomLeft" state="frozen"/>
      <selection pane="bottomLeft" activeCell="E22" sqref="E22"/>
    </sheetView>
  </sheetViews>
  <sheetFormatPr defaultRowHeight="15" x14ac:dyDescent="0.25"/>
  <cols>
    <col min="1" max="1" width="19.85546875" bestFit="1" customWidth="1"/>
    <col min="2" max="2" width="13.85546875" bestFit="1" customWidth="1"/>
    <col min="3" max="3" width="14.85546875" bestFit="1" customWidth="1"/>
    <col min="4" max="4" width="14.28515625" bestFit="1" customWidth="1"/>
    <col min="5" max="5" width="14.85546875" bestFit="1" customWidth="1"/>
  </cols>
  <sheetData>
    <row r="1" spans="1:5" x14ac:dyDescent="0.25">
      <c r="A1" s="26" t="s">
        <v>94</v>
      </c>
      <c r="B1" s="13" t="s">
        <v>14</v>
      </c>
      <c r="C1" s="13" t="s">
        <v>15</v>
      </c>
      <c r="D1" s="13" t="s">
        <v>16</v>
      </c>
      <c r="E1" s="13" t="s">
        <v>17</v>
      </c>
    </row>
    <row r="3" spans="1:5" x14ac:dyDescent="0.25">
      <c r="A3" t="s">
        <v>48</v>
      </c>
      <c r="B3" s="33">
        <f>'Income statement'!B34</f>
        <v>276921.33333333337</v>
      </c>
      <c r="C3" s="33">
        <f>'Income statement'!C34</f>
        <v>484838.8</v>
      </c>
      <c r="D3" s="33">
        <f>'Income statement'!D34</f>
        <v>1297706.6666666665</v>
      </c>
      <c r="E3" s="33">
        <f>'Income statement'!E34</f>
        <v>2577401.333333333</v>
      </c>
    </row>
    <row r="5" spans="1:5" x14ac:dyDescent="0.25">
      <c r="A5" s="28" t="s">
        <v>95</v>
      </c>
    </row>
    <row r="6" spans="1:5" x14ac:dyDescent="0.25">
      <c r="A6" t="s">
        <v>96</v>
      </c>
      <c r="B6" s="4">
        <f>'Capex%Depreciation'!C13</f>
        <v>31666.666666666668</v>
      </c>
      <c r="C6" s="4">
        <f>'Capex%Depreciation'!D13</f>
        <v>65000</v>
      </c>
      <c r="D6" s="4">
        <f>'Capex%Depreciation'!E13</f>
        <v>103333.33333333334</v>
      </c>
      <c r="E6" s="4">
        <f>'Capex%Depreciation'!F13</f>
        <v>86666.666666666672</v>
      </c>
    </row>
    <row r="7" spans="1:5" x14ac:dyDescent="0.25">
      <c r="A7" t="s">
        <v>102</v>
      </c>
      <c r="B7" s="37">
        <f>'Balance sheet'!B6-'Balance sheet'!C6</f>
        <v>-10500</v>
      </c>
      <c r="C7" s="37">
        <f>'Balance sheet'!C6-'Balance sheet'!D6</f>
        <v>-78300</v>
      </c>
      <c r="D7" s="37">
        <f>'Balance sheet'!D6-'Balance sheet'!E6</f>
        <v>-226200</v>
      </c>
      <c r="E7" s="37">
        <f>'Balance sheet'!E6-'Balance sheet'!F6</f>
        <v>-348000</v>
      </c>
    </row>
    <row r="8" spans="1:5" x14ac:dyDescent="0.25">
      <c r="A8" t="s">
        <v>103</v>
      </c>
      <c r="B8" s="4">
        <f>'Balance sheet'!C17-'Balance sheet'!B17</f>
        <v>81600</v>
      </c>
      <c r="C8" s="4">
        <f>'Balance sheet'!D17-'Balance sheet'!C17</f>
        <v>93960</v>
      </c>
      <c r="D8" s="4">
        <f>'Balance sheet'!E17-'Balance sheet'!D17</f>
        <v>271440</v>
      </c>
      <c r="E8" s="4">
        <f>'Balance sheet'!F17-'Balance sheet'!E17</f>
        <v>417600</v>
      </c>
    </row>
    <row r="9" spans="1:5" x14ac:dyDescent="0.25">
      <c r="A9" t="s">
        <v>104</v>
      </c>
      <c r="B9" s="14">
        <f>'Balance sheet'!C18-'Balance sheet'!B18</f>
        <v>53300</v>
      </c>
      <c r="C9" s="14">
        <f>'Balance sheet'!D18-'Balance sheet'!C18</f>
        <v>130500</v>
      </c>
      <c r="D9" s="14">
        <f>'Balance sheet'!E18-'Balance sheet'!D18</f>
        <v>487200</v>
      </c>
      <c r="E9" s="14">
        <f>'Balance sheet'!F18-'Balance sheet'!E18</f>
        <v>870000</v>
      </c>
    </row>
    <row r="10" spans="1:5" x14ac:dyDescent="0.25">
      <c r="A10" t="s">
        <v>105</v>
      </c>
      <c r="B10" s="33">
        <f>B3+SUM(B6:B9)</f>
        <v>432988.00000000006</v>
      </c>
      <c r="C10" s="33">
        <f t="shared" ref="C10:E10" si="0">C3+SUM(C6:C9)</f>
        <v>695998.8</v>
      </c>
      <c r="D10" s="33">
        <f t="shared" si="0"/>
        <v>1933480</v>
      </c>
      <c r="E10" s="33">
        <f t="shared" si="0"/>
        <v>3603668</v>
      </c>
    </row>
    <row r="12" spans="1:5" x14ac:dyDescent="0.25">
      <c r="A12" s="28" t="s">
        <v>97</v>
      </c>
    </row>
    <row r="13" spans="1:5" x14ac:dyDescent="0.25">
      <c r="A13" t="s">
        <v>53</v>
      </c>
      <c r="B13" s="4">
        <f>'Capex%Depreciation'!C7</f>
        <v>125000</v>
      </c>
      <c r="C13" s="4">
        <f>'Capex%Depreciation'!D7</f>
        <v>100000</v>
      </c>
      <c r="D13" s="4">
        <f>'Capex%Depreciation'!E7</f>
        <v>130000</v>
      </c>
      <c r="E13" s="4">
        <f>'Capex%Depreciation'!F7</f>
        <v>0</v>
      </c>
    </row>
    <row r="15" spans="1:5" x14ac:dyDescent="0.25">
      <c r="A15" t="s">
        <v>106</v>
      </c>
      <c r="B15" s="33">
        <f>B10-B13</f>
        <v>307988.00000000006</v>
      </c>
      <c r="C15" s="33">
        <f t="shared" ref="C15:E15" si="1">C10-C13</f>
        <v>595998.80000000005</v>
      </c>
      <c r="D15" s="33">
        <f t="shared" si="1"/>
        <v>1803480</v>
      </c>
      <c r="E15" s="33">
        <f t="shared" si="1"/>
        <v>3603668</v>
      </c>
    </row>
    <row r="17" spans="1:5" x14ac:dyDescent="0.25">
      <c r="A17" s="28" t="s">
        <v>98</v>
      </c>
    </row>
    <row r="18" spans="1:5" x14ac:dyDescent="0.25">
      <c r="A18" t="s">
        <v>107</v>
      </c>
      <c r="B18" s="37">
        <f>-'Balance sheet'!C43</f>
        <v>-600000</v>
      </c>
      <c r="C18" s="37">
        <f>-'Balance sheet'!D43</f>
        <v>-900000</v>
      </c>
      <c r="D18" s="37">
        <f>-'Balance sheet'!E43</f>
        <v>-900000</v>
      </c>
      <c r="E18" s="37">
        <f>-'Balance sheet'!F43</f>
        <v>-900000</v>
      </c>
    </row>
    <row r="19" spans="1:5" x14ac:dyDescent="0.25">
      <c r="A19" t="s">
        <v>108</v>
      </c>
      <c r="B19" s="53">
        <f>'Balance sheet'!C42</f>
        <v>0</v>
      </c>
      <c r="C19" s="53">
        <f>'Balance sheet'!D42</f>
        <v>1500000</v>
      </c>
      <c r="D19" s="53">
        <f>'Balance sheet'!E42</f>
        <v>0</v>
      </c>
      <c r="E19" s="53">
        <f>'Balance sheet'!F42</f>
        <v>0</v>
      </c>
    </row>
    <row r="20" spans="1:5" x14ac:dyDescent="0.25">
      <c r="A20" t="s">
        <v>109</v>
      </c>
      <c r="B20" s="37">
        <f>SUM(B18:B19)</f>
        <v>-600000</v>
      </c>
      <c r="C20" s="37">
        <f t="shared" ref="C20:E20" si="2">SUM(C18:C19)</f>
        <v>600000</v>
      </c>
      <c r="D20" s="37">
        <f t="shared" si="2"/>
        <v>-900000</v>
      </c>
      <c r="E20" s="37">
        <f t="shared" si="2"/>
        <v>-900000</v>
      </c>
    </row>
    <row r="22" spans="1:5" x14ac:dyDescent="0.25">
      <c r="A22" t="s">
        <v>110</v>
      </c>
      <c r="B22" s="38">
        <f>B15+B20</f>
        <v>-292011.99999999994</v>
      </c>
      <c r="C22" s="38">
        <f t="shared" ref="C22:E22" si="3">C15+C20</f>
        <v>1195998.8</v>
      </c>
      <c r="D22" s="38">
        <f t="shared" si="3"/>
        <v>903480</v>
      </c>
      <c r="E22" s="38">
        <f t="shared" si="3"/>
        <v>2703668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Capex%Depreciation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2022-09-28T10:22:48Z</dcterms:modified>
</cp:coreProperties>
</file>