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C\SI2\TP\1.TP2_DataMining\"/>
    </mc:Choice>
  </mc:AlternateContent>
  <xr:revisionPtr revIDLastSave="0" documentId="13_ncr:1_{54A71913-B92F-47F5-9C7C-8298CEEBBA59}" xr6:coauthVersionLast="47" xr6:coauthVersionMax="47" xr10:uidLastSave="{00000000-0000-0000-0000-000000000000}"/>
  <bookViews>
    <workbookView xWindow="28680" yWindow="-30" windowWidth="29040" windowHeight="15720" activeTab="2" xr2:uid="{04EB37FA-E86E-4BD7-A0C9-4B3D3FB52249}"/>
  </bookViews>
  <sheets>
    <sheet name="DecisionTree" sheetId="1" r:id="rId1"/>
    <sheet name="Clustering" sheetId="2" r:id="rId2"/>
    <sheet name="Neuronal_Network" sheetId="3" r:id="rId3"/>
    <sheet name="Microsoft_Association_Rules" sheetId="4" r:id="rId4"/>
    <sheet name="Logistic_Regression" sheetId="5" r:id="rId5"/>
    <sheet name="Native_Bay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P21" i="1"/>
  <c r="O21" i="1"/>
  <c r="Q20" i="1"/>
  <c r="P20" i="1"/>
  <c r="O20" i="1"/>
  <c r="Q18" i="1"/>
  <c r="P18" i="1"/>
  <c r="O18" i="1"/>
  <c r="Q17" i="1"/>
  <c r="P17" i="1"/>
  <c r="O17" i="1"/>
  <c r="Q15" i="1"/>
  <c r="P15" i="1"/>
  <c r="O15" i="1"/>
  <c r="Q14" i="1"/>
  <c r="P14" i="1"/>
  <c r="O14" i="1"/>
  <c r="Q12" i="1"/>
  <c r="P12" i="1"/>
  <c r="O12" i="1"/>
  <c r="Q11" i="1"/>
  <c r="P11" i="1"/>
  <c r="O11" i="1"/>
  <c r="Q4" i="6"/>
  <c r="P4" i="6"/>
  <c r="O4" i="6"/>
  <c r="Q3" i="6"/>
  <c r="P3" i="6"/>
  <c r="O3" i="6"/>
  <c r="Q4" i="4"/>
  <c r="P4" i="4"/>
  <c r="O4" i="4"/>
  <c r="Q3" i="4"/>
  <c r="P3" i="4"/>
  <c r="O3" i="4"/>
  <c r="Q4" i="5"/>
  <c r="P4" i="5"/>
  <c r="O4" i="5"/>
  <c r="Q3" i="5"/>
  <c r="P3" i="5"/>
  <c r="O3" i="5"/>
  <c r="Q10" i="3"/>
  <c r="P10" i="3"/>
  <c r="O10" i="3"/>
  <c r="Q7" i="3"/>
  <c r="P7" i="3"/>
  <c r="O7" i="3"/>
  <c r="Q9" i="3"/>
  <c r="P9" i="3"/>
  <c r="O9" i="3"/>
  <c r="Q6" i="3"/>
  <c r="P6" i="3"/>
  <c r="O6" i="3"/>
  <c r="Q3" i="3"/>
  <c r="P3" i="3"/>
  <c r="O3" i="3"/>
  <c r="Q9" i="2"/>
  <c r="P9" i="2"/>
  <c r="O9" i="2"/>
  <c r="Q6" i="2"/>
  <c r="P6" i="2"/>
  <c r="O6" i="2"/>
  <c r="Q3" i="2"/>
  <c r="P3" i="2"/>
  <c r="O3" i="2"/>
  <c r="Q4" i="2"/>
  <c r="O4" i="2"/>
  <c r="P4" i="2"/>
  <c r="Q10" i="2"/>
  <c r="P10" i="2"/>
  <c r="O10" i="2"/>
  <c r="Q7" i="2"/>
  <c r="P7" i="2"/>
  <c r="O7" i="2"/>
  <c r="Q4" i="3"/>
  <c r="P4" i="3"/>
  <c r="O4" i="3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O3" i="1"/>
  <c r="Q3" i="1"/>
  <c r="P3" i="1"/>
</calcChain>
</file>

<file path=xl/sharedStrings.xml><?xml version="1.0" encoding="utf-8"?>
<sst xmlns="http://schemas.openxmlformats.org/spreadsheetml/2006/main" count="431" uniqueCount="58">
  <si>
    <t>Decision Tree</t>
  </si>
  <si>
    <t>maritalstatus</t>
  </si>
  <si>
    <t>relationship</t>
  </si>
  <si>
    <t>capitalgain</t>
  </si>
  <si>
    <t>age</t>
  </si>
  <si>
    <t>educationum</t>
  </si>
  <si>
    <t>education</t>
  </si>
  <si>
    <t>occupation</t>
  </si>
  <si>
    <t>hoursperweek</t>
  </si>
  <si>
    <t>capitalloss</t>
  </si>
  <si>
    <t>sex</t>
  </si>
  <si>
    <t>INPUTS</t>
  </si>
  <si>
    <t>Score</t>
  </si>
  <si>
    <t>Acc</t>
  </si>
  <si>
    <t>&gt;50</t>
  </si>
  <si>
    <t>&lt;50</t>
  </si>
  <si>
    <t>Pred</t>
  </si>
  <si>
    <t>Real</t>
  </si>
  <si>
    <t>TN</t>
  </si>
  <si>
    <t>FP</t>
  </si>
  <si>
    <t>FN</t>
  </si>
  <si>
    <t>TP</t>
  </si>
  <si>
    <t>P = (TP)/(TP+FP)</t>
  </si>
  <si>
    <t>R = (TP)/(TP+FN)</t>
  </si>
  <si>
    <t>Acc = diagonal / total de casos</t>
  </si>
  <si>
    <t>Score - ver grafico VS</t>
  </si>
  <si>
    <t>R - Recall</t>
  </si>
  <si>
    <t>P - Precisão</t>
  </si>
  <si>
    <t>P</t>
  </si>
  <si>
    <t>R</t>
  </si>
  <si>
    <t>Discrete</t>
  </si>
  <si>
    <t>Discretized</t>
  </si>
  <si>
    <t>Parametros Default</t>
  </si>
  <si>
    <t>Tudo para Discretized</t>
  </si>
  <si>
    <t>Retirar parametros sem grande sentido e info</t>
  </si>
  <si>
    <t>Retirar parametros e ver</t>
  </si>
  <si>
    <t>0,91</t>
  </si>
  <si>
    <t>0,92</t>
  </si>
  <si>
    <t>0,88</t>
  </si>
  <si>
    <t>0,87</t>
  </si>
  <si>
    <t>Clustering</t>
  </si>
  <si>
    <t>CLUSTER_COUNT 10</t>
  </si>
  <si>
    <t>Padrão:</t>
  </si>
  <si>
    <t>CLUSTER_COUNT 5</t>
  </si>
  <si>
    <t>CLUSTER_COUNT 15</t>
  </si>
  <si>
    <t>Neuronal Network</t>
  </si>
  <si>
    <t>HIDDEN_NODE_RATIO = 4.0</t>
  </si>
  <si>
    <t>HIDDEN_NODE_RATIO = 5.0</t>
  </si>
  <si>
    <t>HIDDEN_NODE_RATIO = 3.0</t>
  </si>
  <si>
    <t>Logic Regression</t>
  </si>
  <si>
    <t>Microsoft Association Rules</t>
  </si>
  <si>
    <t>Native Bayes</t>
  </si>
  <si>
    <t>Mudar:</t>
  </si>
  <si>
    <t>SPLIT_METHOD 1</t>
  </si>
  <si>
    <t>SPLIT_METHOD 2</t>
  </si>
  <si>
    <t>SCORE_METHOD 1</t>
  </si>
  <si>
    <t>SCORE_METHOD 3</t>
  </si>
  <si>
    <t>0,86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</si>
</sst>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AADF-5390-4B8B-93AD-C26DD74CB842}">
  <dimension ref="A1:V21"/>
  <sheetViews>
    <sheetView topLeftCell="B1" workbookViewId="0">
      <selection activeCell="N7" sqref="N7:Q7"/>
    </sheetView>
  </sheetViews>
  <sheetFormatPr defaultRowHeight="14.4" x14ac:dyDescent="0.3"/>
  <cols>
    <col min="1" max="1" width="31.77734375" customWidth="1"/>
    <col min="2" max="2" width="19.6640625" customWidth="1"/>
    <col min="3" max="3" width="17.109375" customWidth="1"/>
    <col min="4" max="4" width="12" customWidth="1"/>
    <col min="5" max="5" width="11.77734375" customWidth="1"/>
    <col min="6" max="6" width="12.21875" customWidth="1"/>
    <col min="7" max="7" width="12.44140625" customWidth="1"/>
    <col min="8" max="8" width="11" customWidth="1"/>
    <col min="9" max="9" width="11.109375" customWidth="1"/>
    <col min="10" max="10" width="13.77734375" customWidth="1"/>
    <col min="11" max="11" width="11.21875" customWidth="1"/>
    <col min="12" max="12" width="11.5546875" customWidth="1"/>
    <col min="13" max="13" width="5.21875" customWidth="1"/>
    <col min="18" max="18" width="3.33203125" customWidth="1"/>
  </cols>
  <sheetData>
    <row r="1" spans="1:22" x14ac:dyDescent="0.3">
      <c r="C1" s="11" t="s">
        <v>11</v>
      </c>
      <c r="D1" s="11"/>
      <c r="E1" s="11"/>
      <c r="F1" s="11"/>
      <c r="G1" s="11"/>
      <c r="H1" s="11"/>
      <c r="I1" s="11"/>
      <c r="J1" s="11"/>
      <c r="K1" s="11"/>
      <c r="L1" s="11"/>
      <c r="P1" s="11" t="s">
        <v>14</v>
      </c>
      <c r="Q1" s="11"/>
      <c r="S1" s="1"/>
      <c r="T1" s="1"/>
      <c r="U1" s="1" t="s">
        <v>17</v>
      </c>
      <c r="V1" s="1"/>
    </row>
    <row r="2" spans="1:22" x14ac:dyDescent="0.3">
      <c r="C2" s="4" t="s">
        <v>1</v>
      </c>
      <c r="D2" s="4" t="s">
        <v>2</v>
      </c>
      <c r="E2" s="4" t="s">
        <v>3</v>
      </c>
      <c r="F2" s="4" t="s">
        <v>9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10</v>
      </c>
      <c r="M2" s="5"/>
      <c r="N2" s="5" t="s">
        <v>12</v>
      </c>
      <c r="O2" s="5" t="s">
        <v>13</v>
      </c>
      <c r="P2" s="5" t="s">
        <v>28</v>
      </c>
      <c r="Q2" s="5" t="s">
        <v>29</v>
      </c>
      <c r="S2" s="1"/>
      <c r="T2" s="1"/>
      <c r="U2" s="1" t="s">
        <v>15</v>
      </c>
      <c r="V2" s="1" t="s">
        <v>14</v>
      </c>
    </row>
    <row r="3" spans="1:22" x14ac:dyDescent="0.3">
      <c r="A3" t="s">
        <v>0</v>
      </c>
      <c r="B3" t="s">
        <v>32</v>
      </c>
      <c r="C3" t="s">
        <v>30</v>
      </c>
      <c r="D3" s="3"/>
      <c r="E3" t="s">
        <v>30</v>
      </c>
      <c r="F3" t="s">
        <v>30</v>
      </c>
      <c r="G3" s="3"/>
      <c r="H3" t="s">
        <v>30</v>
      </c>
      <c r="I3" t="s">
        <v>30</v>
      </c>
      <c r="J3" t="s">
        <v>30</v>
      </c>
      <c r="K3" t="s">
        <v>30</v>
      </c>
      <c r="L3" t="s">
        <v>30</v>
      </c>
      <c r="N3" t="s">
        <v>36</v>
      </c>
      <c r="O3">
        <f>(6372+1151)/(6372+1184+341+1151)</f>
        <v>0.83145446507515475</v>
      </c>
      <c r="P3">
        <f>(1151)/(1151+341)</f>
        <v>0.77144772117962468</v>
      </c>
      <c r="Q3">
        <f>(1151)/(1151+1184)</f>
        <v>0.49293361884368309</v>
      </c>
      <c r="S3" s="12" t="s">
        <v>16</v>
      </c>
      <c r="T3" s="1" t="s">
        <v>15</v>
      </c>
      <c r="U3" s="2" t="s">
        <v>18</v>
      </c>
      <c r="V3" s="2" t="s">
        <v>20</v>
      </c>
    </row>
    <row r="4" spans="1:22" x14ac:dyDescent="0.3">
      <c r="A4" t="s">
        <v>0</v>
      </c>
      <c r="B4" t="s">
        <v>32</v>
      </c>
      <c r="C4" s="3"/>
      <c r="D4" t="s">
        <v>30</v>
      </c>
      <c r="E4" t="s">
        <v>30</v>
      </c>
      <c r="F4" t="s">
        <v>30</v>
      </c>
      <c r="G4" t="s">
        <v>30</v>
      </c>
      <c r="H4" s="3"/>
      <c r="I4" t="s">
        <v>30</v>
      </c>
      <c r="J4" t="s">
        <v>30</v>
      </c>
      <c r="K4" t="s">
        <v>30</v>
      </c>
      <c r="L4" t="s">
        <v>30</v>
      </c>
      <c r="N4" t="s">
        <v>37</v>
      </c>
      <c r="O4">
        <f>(6229+1373)/(6229+915+531+1373)</f>
        <v>0.84018567639257291</v>
      </c>
      <c r="P4">
        <f>(1373)/(1373+531)</f>
        <v>0.72111344537815125</v>
      </c>
      <c r="Q4">
        <f>(1373)/(1373+915)</f>
        <v>0.60008741258741261</v>
      </c>
      <c r="S4" s="12"/>
      <c r="T4" s="1"/>
      <c r="U4" s="2"/>
      <c r="V4" s="2"/>
    </row>
    <row r="5" spans="1:22" x14ac:dyDescent="0.3">
      <c r="A5" t="s">
        <v>0</v>
      </c>
      <c r="B5" t="s">
        <v>33</v>
      </c>
      <c r="C5" t="s">
        <v>31</v>
      </c>
      <c r="D5" s="3"/>
      <c r="E5" t="s">
        <v>31</v>
      </c>
      <c r="F5" t="s">
        <v>31</v>
      </c>
      <c r="G5" s="3"/>
      <c r="H5" t="s">
        <v>31</v>
      </c>
      <c r="I5" t="s">
        <v>31</v>
      </c>
      <c r="J5" t="s">
        <v>31</v>
      </c>
      <c r="K5" t="s">
        <v>31</v>
      </c>
      <c r="L5" t="s">
        <v>31</v>
      </c>
      <c r="N5" t="s">
        <v>37</v>
      </c>
      <c r="O5">
        <f>(6425+1194)/(6425+1043+386+1194)</f>
        <v>0.84206454465075153</v>
      </c>
      <c r="P5">
        <f>(1194)/(1194+386)</f>
        <v>0.7556962025316456</v>
      </c>
      <c r="Q5">
        <f>(1194)/(1194+1043)</f>
        <v>0.53375055878408584</v>
      </c>
      <c r="S5" s="12"/>
      <c r="T5" s="1"/>
      <c r="U5" s="2"/>
      <c r="V5" s="2"/>
    </row>
    <row r="6" spans="1:22" x14ac:dyDescent="0.3">
      <c r="A6" t="s">
        <v>0</v>
      </c>
      <c r="B6" t="s">
        <v>33</v>
      </c>
      <c r="C6" s="3"/>
      <c r="D6" t="s">
        <v>30</v>
      </c>
      <c r="E6" t="s">
        <v>31</v>
      </c>
      <c r="F6" t="s">
        <v>31</v>
      </c>
      <c r="G6" t="s">
        <v>31</v>
      </c>
      <c r="H6" s="3"/>
      <c r="I6" t="s">
        <v>30</v>
      </c>
      <c r="J6" t="s">
        <v>31</v>
      </c>
      <c r="K6" t="s">
        <v>31</v>
      </c>
      <c r="L6" t="s">
        <v>30</v>
      </c>
      <c r="N6" t="s">
        <v>37</v>
      </c>
      <c r="O6">
        <f>(6415+1199)/(6415+1056+378+1199)</f>
        <v>0.84151193633952259</v>
      </c>
      <c r="P6">
        <f>(1199)/(1199+378)</f>
        <v>0.76030437539632212</v>
      </c>
      <c r="Q6">
        <f>(1199)/(1199+1056)</f>
        <v>0.53170731707317076</v>
      </c>
      <c r="S6" s="12"/>
      <c r="T6" s="1" t="s">
        <v>14</v>
      </c>
      <c r="U6" s="2" t="s">
        <v>19</v>
      </c>
      <c r="V6" s="2" t="s">
        <v>21</v>
      </c>
    </row>
    <row r="7" spans="1:22" x14ac:dyDescent="0.3">
      <c r="A7" t="s">
        <v>0</v>
      </c>
      <c r="B7" t="s">
        <v>34</v>
      </c>
      <c r="C7" s="3"/>
      <c r="D7" s="3"/>
      <c r="E7" s="3"/>
      <c r="F7" s="3"/>
      <c r="G7" s="3"/>
      <c r="H7" t="s">
        <v>31</v>
      </c>
      <c r="I7" t="s">
        <v>30</v>
      </c>
      <c r="J7" t="s">
        <v>31</v>
      </c>
      <c r="K7" t="s">
        <v>31</v>
      </c>
      <c r="L7" t="s">
        <v>30</v>
      </c>
      <c r="N7" t="s">
        <v>38</v>
      </c>
      <c r="O7">
        <f>(6247+977)/(6247+1261+563+977)</f>
        <v>0.79840848806366049</v>
      </c>
      <c r="P7">
        <f>(977)/(977+563)</f>
        <v>0.63441558441558443</v>
      </c>
      <c r="Q7">
        <f>(977)/(977+1261)</f>
        <v>0.43655049151027703</v>
      </c>
    </row>
    <row r="8" spans="1:22" x14ac:dyDescent="0.3">
      <c r="A8" t="s">
        <v>0</v>
      </c>
      <c r="B8" t="s">
        <v>35</v>
      </c>
      <c r="C8" s="3"/>
      <c r="D8" s="3"/>
      <c r="E8" s="3"/>
      <c r="F8" s="3"/>
      <c r="G8" s="3"/>
      <c r="H8" s="3"/>
      <c r="I8" t="s">
        <v>30</v>
      </c>
      <c r="J8" t="s">
        <v>31</v>
      </c>
      <c r="K8" t="s">
        <v>31</v>
      </c>
      <c r="L8" t="s">
        <v>30</v>
      </c>
      <c r="N8" t="s">
        <v>39</v>
      </c>
      <c r="O8">
        <f>(6231+896)/(6231+1384+537+896)</f>
        <v>0.78768788682581781</v>
      </c>
      <c r="P8">
        <f>(896)/(896+537)</f>
        <v>0.62526168876482902</v>
      </c>
      <c r="Q8">
        <f>(896)/(896+1384)</f>
        <v>0.39298245614035088</v>
      </c>
      <c r="S8" s="13" t="s">
        <v>22</v>
      </c>
      <c r="T8" s="13"/>
      <c r="U8" s="2"/>
    </row>
    <row r="9" spans="1:22" x14ac:dyDescent="0.3">
      <c r="S9" s="14" t="s">
        <v>23</v>
      </c>
      <c r="T9" s="14"/>
      <c r="U9" s="2"/>
    </row>
    <row r="10" spans="1:22" x14ac:dyDescent="0.3">
      <c r="B10" t="s">
        <v>52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S10" s="2" t="s">
        <v>24</v>
      </c>
      <c r="T10" s="2"/>
      <c r="U10" s="2"/>
    </row>
    <row r="11" spans="1:22" x14ac:dyDescent="0.3">
      <c r="A11" t="s">
        <v>0</v>
      </c>
      <c r="B11" t="s">
        <v>53</v>
      </c>
      <c r="C11" s="3"/>
      <c r="D11" s="3"/>
      <c r="E11" s="3"/>
      <c r="F11" s="3"/>
      <c r="G11" s="3"/>
      <c r="H11" t="s">
        <v>31</v>
      </c>
      <c r="I11" t="s">
        <v>30</v>
      </c>
      <c r="J11" t="s">
        <v>31</v>
      </c>
      <c r="K11" t="s">
        <v>31</v>
      </c>
      <c r="L11" t="s">
        <v>30</v>
      </c>
      <c r="N11" t="s">
        <v>38</v>
      </c>
      <c r="O11">
        <f>(6409+858)/(6408+1380+401+858)</f>
        <v>0.80324969603183372</v>
      </c>
      <c r="P11">
        <f>(858)/(858+401)</f>
        <v>0.68149324861000793</v>
      </c>
      <c r="Q11">
        <f>(858)/(858+1380)</f>
        <v>0.38337801608579086</v>
      </c>
      <c r="S11" s="9" t="s">
        <v>25</v>
      </c>
      <c r="T11" s="9"/>
      <c r="U11" s="9"/>
    </row>
    <row r="12" spans="1:22" x14ac:dyDescent="0.3">
      <c r="A12" t="s">
        <v>0</v>
      </c>
      <c r="B12" t="s">
        <v>53</v>
      </c>
      <c r="C12" s="3"/>
      <c r="D12" s="3"/>
      <c r="E12" s="3"/>
      <c r="F12" s="3"/>
      <c r="G12" s="3"/>
      <c r="H12" s="3"/>
      <c r="I12" t="s">
        <v>30</v>
      </c>
      <c r="J12" t="s">
        <v>31</v>
      </c>
      <c r="K12" t="s">
        <v>31</v>
      </c>
      <c r="L12" t="s">
        <v>30</v>
      </c>
      <c r="N12" t="s">
        <v>39</v>
      </c>
      <c r="O12">
        <f>(6378+799)/(6378+1481+390+799)</f>
        <v>0.79321396993810789</v>
      </c>
      <c r="P12">
        <f>(799)/(799+390)</f>
        <v>0.67199327165685452</v>
      </c>
      <c r="Q12">
        <f>(799)/(799+1481)</f>
        <v>0.35043859649122805</v>
      </c>
    </row>
    <row r="13" spans="1:22" x14ac:dyDescent="0.3">
      <c r="B13" t="s">
        <v>52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S13" s="10" t="s">
        <v>27</v>
      </c>
      <c r="T13" s="10"/>
    </row>
    <row r="14" spans="1:22" x14ac:dyDescent="0.3">
      <c r="A14" t="s">
        <v>0</v>
      </c>
      <c r="B14" t="s">
        <v>54</v>
      </c>
      <c r="C14" s="3"/>
      <c r="D14" s="3"/>
      <c r="E14" s="3"/>
      <c r="F14" s="3"/>
      <c r="G14" s="3"/>
      <c r="H14" t="s">
        <v>31</v>
      </c>
      <c r="I14" t="s">
        <v>30</v>
      </c>
      <c r="J14" t="s">
        <v>31</v>
      </c>
      <c r="K14" t="s">
        <v>31</v>
      </c>
      <c r="L14" t="s">
        <v>30</v>
      </c>
      <c r="N14" t="s">
        <v>39</v>
      </c>
      <c r="O14">
        <f>(6213+971)/(6213+1267+597+971)</f>
        <v>0.79398762157382852</v>
      </c>
      <c r="P14">
        <f>(971)/(971+597)</f>
        <v>0.61926020408163263</v>
      </c>
      <c r="Q14">
        <f>(971)/(971+1267)</f>
        <v>0.43386952636282394</v>
      </c>
      <c r="S14" s="10" t="s">
        <v>26</v>
      </c>
      <c r="T14" s="10"/>
    </row>
    <row r="15" spans="1:22" x14ac:dyDescent="0.3">
      <c r="A15" t="s">
        <v>0</v>
      </c>
      <c r="B15" t="s">
        <v>54</v>
      </c>
      <c r="C15" s="3"/>
      <c r="D15" s="3"/>
      <c r="E15" s="3"/>
      <c r="F15" s="3"/>
      <c r="G15" s="3"/>
      <c r="H15" s="3"/>
      <c r="I15" t="s">
        <v>30</v>
      </c>
      <c r="J15" t="s">
        <v>31</v>
      </c>
      <c r="K15" t="s">
        <v>31</v>
      </c>
      <c r="L15" t="s">
        <v>30</v>
      </c>
      <c r="N15" t="s">
        <v>57</v>
      </c>
      <c r="O15">
        <f>(6313+631)/(6313+1649+455+631)</f>
        <v>0.76746242263483644</v>
      </c>
      <c r="P15">
        <f>(631)/(631+455)</f>
        <v>0.58103130755064458</v>
      </c>
      <c r="Q15">
        <f>(631)/(631+1649)</f>
        <v>0.27675438596491231</v>
      </c>
    </row>
    <row r="16" spans="1:22" x14ac:dyDescent="0.3">
      <c r="B16" t="s">
        <v>52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t="s">
        <v>0</v>
      </c>
      <c r="B17" t="s">
        <v>55</v>
      </c>
      <c r="C17" s="3"/>
      <c r="D17" s="3"/>
      <c r="E17" s="3"/>
      <c r="F17" s="3"/>
      <c r="G17" s="3"/>
      <c r="H17" t="s">
        <v>31</v>
      </c>
      <c r="I17" t="s">
        <v>30</v>
      </c>
      <c r="J17" t="s">
        <v>31</v>
      </c>
      <c r="K17" t="s">
        <v>31</v>
      </c>
      <c r="L17" t="s">
        <v>30</v>
      </c>
      <c r="N17" t="s">
        <v>38</v>
      </c>
      <c r="O17">
        <f>(6221+1013)/(6221+1225+589+1013)</f>
        <v>0.79951370468611849</v>
      </c>
      <c r="P17">
        <f>(1023)/(1013+589)</f>
        <v>0.63857677902621723</v>
      </c>
      <c r="Q17">
        <f>(1013)/(1013+1225)</f>
        <v>0.45263628239499554</v>
      </c>
    </row>
    <row r="18" spans="1:17" x14ac:dyDescent="0.3">
      <c r="A18" t="s">
        <v>0</v>
      </c>
      <c r="B18" t="s">
        <v>55</v>
      </c>
      <c r="C18" s="3"/>
      <c r="D18" s="3"/>
      <c r="E18" s="3"/>
      <c r="F18" s="3"/>
      <c r="G18" s="3"/>
      <c r="H18" s="3"/>
      <c r="I18" t="s">
        <v>30</v>
      </c>
      <c r="J18" t="s">
        <v>31</v>
      </c>
      <c r="K18" t="s">
        <v>31</v>
      </c>
      <c r="L18" t="s">
        <v>30</v>
      </c>
      <c r="N18" t="s">
        <v>39</v>
      </c>
      <c r="O18">
        <f>(1026+6172)/(6172+1254+596+1026)</f>
        <v>0.79553492484526966</v>
      </c>
      <c r="P18">
        <f>(1026)/(1026+596)</f>
        <v>0.63255240443896421</v>
      </c>
      <c r="Q18">
        <f>(1026)/(1026+1254)</f>
        <v>0.45</v>
      </c>
    </row>
    <row r="19" spans="1:17" x14ac:dyDescent="0.3">
      <c r="B19" t="s">
        <v>52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t="s">
        <v>0</v>
      </c>
      <c r="B20" t="s">
        <v>56</v>
      </c>
      <c r="C20" s="3"/>
      <c r="D20" s="3"/>
      <c r="E20" s="3"/>
      <c r="F20" s="3"/>
      <c r="G20" s="3"/>
      <c r="H20" t="s">
        <v>31</v>
      </c>
      <c r="I20" t="s">
        <v>30</v>
      </c>
      <c r="J20" t="s">
        <v>31</v>
      </c>
      <c r="K20" t="s">
        <v>31</v>
      </c>
      <c r="L20" t="s">
        <v>30</v>
      </c>
      <c r="N20" t="s">
        <v>38</v>
      </c>
      <c r="O20">
        <f>(6248+978)/(6248+1260+562+978)</f>
        <v>0.79862953138815207</v>
      </c>
      <c r="P20">
        <f>(978)/(978+562)</f>
        <v>0.63506493506493511</v>
      </c>
      <c r="Q20">
        <f>(978)/(978+1260)</f>
        <v>0.43699731903485256</v>
      </c>
    </row>
    <row r="21" spans="1:17" x14ac:dyDescent="0.3">
      <c r="A21" t="s">
        <v>0</v>
      </c>
      <c r="B21" t="s">
        <v>56</v>
      </c>
      <c r="C21" s="3"/>
      <c r="D21" s="3"/>
      <c r="E21" s="3"/>
      <c r="F21" s="3"/>
      <c r="G21" s="3"/>
      <c r="H21" s="3"/>
      <c r="I21" t="s">
        <v>30</v>
      </c>
      <c r="J21" t="s">
        <v>31</v>
      </c>
      <c r="K21" t="s">
        <v>31</v>
      </c>
      <c r="L21" t="s">
        <v>30</v>
      </c>
      <c r="N21" t="s">
        <v>39</v>
      </c>
      <c r="O21">
        <f>(6227+961)/(6227+1319+541+961)</f>
        <v>0.79442970822281167</v>
      </c>
      <c r="P21">
        <f>(961)/(961+541)</f>
        <v>0.63981358189081228</v>
      </c>
      <c r="Q21">
        <f>(961)/(961+1319)</f>
        <v>0.42149122807017542</v>
      </c>
    </row>
  </sheetData>
  <mergeCells count="8">
    <mergeCell ref="S11:U11"/>
    <mergeCell ref="S13:T13"/>
    <mergeCell ref="S14:T14"/>
    <mergeCell ref="C1:L1"/>
    <mergeCell ref="P1:Q1"/>
    <mergeCell ref="S3:S6"/>
    <mergeCell ref="S8:T8"/>
    <mergeCell ref="S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BC6B-9AF0-4F9B-8BE2-8F87E7B0187F}">
  <dimension ref="A1:V14"/>
  <sheetViews>
    <sheetView workbookViewId="0">
      <selection activeCell="F30" sqref="F30"/>
    </sheetView>
  </sheetViews>
  <sheetFormatPr defaultRowHeight="14.4" x14ac:dyDescent="0.3"/>
  <cols>
    <col min="1" max="1" width="31.77734375" customWidth="1"/>
    <col min="2" max="2" width="19.6640625" customWidth="1"/>
    <col min="3" max="3" width="17.109375" customWidth="1"/>
    <col min="4" max="4" width="12" customWidth="1"/>
    <col min="5" max="5" width="11.77734375" customWidth="1"/>
    <col min="6" max="6" width="12.21875" customWidth="1"/>
    <col min="7" max="7" width="12.44140625" customWidth="1"/>
    <col min="8" max="8" width="11" customWidth="1"/>
    <col min="9" max="9" width="11.109375" customWidth="1"/>
    <col min="10" max="10" width="13.77734375" customWidth="1"/>
    <col min="11" max="11" width="11.21875" customWidth="1"/>
    <col min="12" max="12" width="11.5546875" customWidth="1"/>
    <col min="13" max="13" width="5.21875" customWidth="1"/>
    <col min="18" max="18" width="3.33203125" customWidth="1"/>
  </cols>
  <sheetData>
    <row r="1" spans="1:22" x14ac:dyDescent="0.3">
      <c r="C1" s="11" t="s">
        <v>11</v>
      </c>
      <c r="D1" s="11"/>
      <c r="E1" s="11"/>
      <c r="F1" s="11"/>
      <c r="G1" s="11"/>
      <c r="H1" s="11"/>
      <c r="I1" s="11"/>
      <c r="J1" s="11"/>
      <c r="K1" s="11"/>
      <c r="L1" s="11"/>
      <c r="P1" s="11" t="s">
        <v>14</v>
      </c>
      <c r="Q1" s="11"/>
      <c r="S1" s="1"/>
      <c r="T1" s="1"/>
      <c r="U1" s="1" t="s">
        <v>17</v>
      </c>
      <c r="V1" s="1"/>
    </row>
    <row r="2" spans="1:22" x14ac:dyDescent="0.3">
      <c r="B2" t="s">
        <v>42</v>
      </c>
      <c r="C2" s="4" t="s">
        <v>1</v>
      </c>
      <c r="D2" s="4" t="s">
        <v>2</v>
      </c>
      <c r="E2" s="4" t="s">
        <v>3</v>
      </c>
      <c r="F2" s="4" t="s">
        <v>9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10</v>
      </c>
      <c r="M2" s="5"/>
      <c r="N2" s="5" t="s">
        <v>12</v>
      </c>
      <c r="O2" s="5" t="s">
        <v>13</v>
      </c>
      <c r="P2" s="5" t="s">
        <v>28</v>
      </c>
      <c r="Q2" s="5" t="s">
        <v>29</v>
      </c>
      <c r="S2" s="1"/>
      <c r="T2" s="1"/>
      <c r="U2" s="1" t="s">
        <v>15</v>
      </c>
      <c r="V2" s="1" t="s">
        <v>14</v>
      </c>
    </row>
    <row r="3" spans="1:22" x14ac:dyDescent="0.3">
      <c r="A3" t="s">
        <v>40</v>
      </c>
      <c r="B3" t="s">
        <v>41</v>
      </c>
      <c r="C3" s="3"/>
      <c r="D3" s="3"/>
      <c r="E3" s="3"/>
      <c r="F3" s="3"/>
      <c r="G3" s="3"/>
      <c r="H3" t="s">
        <v>31</v>
      </c>
      <c r="I3" t="s">
        <v>30</v>
      </c>
      <c r="J3" t="s">
        <v>31</v>
      </c>
      <c r="K3" t="s">
        <v>31</v>
      </c>
      <c r="L3" t="s">
        <v>30</v>
      </c>
      <c r="N3">
        <v>0.84</v>
      </c>
      <c r="O3">
        <f>(6699+149)/(6699+2089+111+149)</f>
        <v>0.75685234305923965</v>
      </c>
      <c r="P3">
        <f>(149)/(149+111)</f>
        <v>0.57307692307692304</v>
      </c>
      <c r="Q3">
        <f>(149)/(149+2089)</f>
        <v>6.6577301161751562E-2</v>
      </c>
      <c r="S3" s="12" t="s">
        <v>16</v>
      </c>
      <c r="T3" s="1" t="s">
        <v>15</v>
      </c>
      <c r="U3" s="2" t="s">
        <v>18</v>
      </c>
      <c r="V3" s="2" t="s">
        <v>20</v>
      </c>
    </row>
    <row r="4" spans="1:22" x14ac:dyDescent="0.3">
      <c r="A4" t="s">
        <v>40</v>
      </c>
      <c r="B4" t="s">
        <v>41</v>
      </c>
      <c r="C4" s="3"/>
      <c r="D4" s="3"/>
      <c r="E4" s="3"/>
      <c r="F4" s="3"/>
      <c r="G4" s="3"/>
      <c r="H4" s="3"/>
      <c r="I4" t="s">
        <v>30</v>
      </c>
      <c r="J4" t="s">
        <v>31</v>
      </c>
      <c r="K4" t="s">
        <v>31</v>
      </c>
      <c r="L4" t="s">
        <v>30</v>
      </c>
      <c r="N4">
        <v>0.83</v>
      </c>
      <c r="O4">
        <f>(6768+0)/(6768+2280+0+0)</f>
        <v>0.74801061007957559</v>
      </c>
      <c r="P4" s="7" t="e">
        <f>(0)/(0+0)</f>
        <v>#DIV/0!</v>
      </c>
      <c r="Q4">
        <f>(0)/(0+2280)</f>
        <v>0</v>
      </c>
      <c r="S4" s="12"/>
      <c r="T4" s="1"/>
      <c r="U4" s="2"/>
      <c r="V4" s="2"/>
    </row>
    <row r="5" spans="1:2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S5" s="12"/>
      <c r="T5" s="1"/>
      <c r="U5" s="2"/>
      <c r="V5" s="2"/>
    </row>
    <row r="6" spans="1:22" x14ac:dyDescent="0.3">
      <c r="A6" t="s">
        <v>40</v>
      </c>
      <c r="B6" t="s">
        <v>43</v>
      </c>
      <c r="C6" s="3"/>
      <c r="D6" s="3"/>
      <c r="E6" s="3"/>
      <c r="F6" s="3"/>
      <c r="G6" s="3"/>
      <c r="H6" t="s">
        <v>31</v>
      </c>
      <c r="I6" t="s">
        <v>30</v>
      </c>
      <c r="J6" t="s">
        <v>31</v>
      </c>
      <c r="K6" t="s">
        <v>31</v>
      </c>
      <c r="L6" t="s">
        <v>30</v>
      </c>
      <c r="N6">
        <v>0.85</v>
      </c>
      <c r="O6">
        <f>(6544+457)/(6544+1781+266+457)</f>
        <v>0.77376215738284704</v>
      </c>
      <c r="P6">
        <f>(457)/(457+266)</f>
        <v>0.63208852005532501</v>
      </c>
      <c r="Q6">
        <f>(457)/(457+1781)</f>
        <v>0.20420017873100982</v>
      </c>
      <c r="S6" s="12"/>
      <c r="T6" s="1" t="s">
        <v>14</v>
      </c>
      <c r="U6" s="2" t="s">
        <v>19</v>
      </c>
      <c r="V6" s="2" t="s">
        <v>21</v>
      </c>
    </row>
    <row r="7" spans="1:22" x14ac:dyDescent="0.3">
      <c r="A7" t="s">
        <v>40</v>
      </c>
      <c r="B7" t="s">
        <v>43</v>
      </c>
      <c r="C7" s="3"/>
      <c r="D7" s="3"/>
      <c r="E7" s="3"/>
      <c r="F7" s="3"/>
      <c r="G7" s="3"/>
      <c r="H7" s="3"/>
      <c r="I7" t="s">
        <v>30</v>
      </c>
      <c r="J7" t="s">
        <v>31</v>
      </c>
      <c r="K7" t="s">
        <v>31</v>
      </c>
      <c r="L7" t="s">
        <v>30</v>
      </c>
      <c r="N7">
        <v>0.83</v>
      </c>
      <c r="O7">
        <f>(6113+680)/(6113+1600+655+680)</f>
        <v>0.75077365163572063</v>
      </c>
      <c r="P7">
        <f>(680)/(680+655)</f>
        <v>0.50936329588014984</v>
      </c>
      <c r="Q7">
        <f>(680)/(680+1600)</f>
        <v>0.2982456140350877</v>
      </c>
    </row>
    <row r="8" spans="1:22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S8" s="13" t="s">
        <v>22</v>
      </c>
      <c r="T8" s="13"/>
      <c r="U8" s="2"/>
    </row>
    <row r="9" spans="1:22" x14ac:dyDescent="0.3">
      <c r="A9" t="s">
        <v>40</v>
      </c>
      <c r="B9" t="s">
        <v>44</v>
      </c>
      <c r="C9" s="3"/>
      <c r="D9" s="3"/>
      <c r="E9" s="3"/>
      <c r="F9" s="3"/>
      <c r="G9" s="3"/>
      <c r="H9" t="s">
        <v>31</v>
      </c>
      <c r="I9" t="s">
        <v>30</v>
      </c>
      <c r="J9" t="s">
        <v>31</v>
      </c>
      <c r="K9" t="s">
        <v>31</v>
      </c>
      <c r="L9" t="s">
        <v>30</v>
      </c>
      <c r="N9">
        <v>0.84</v>
      </c>
      <c r="O9">
        <f>(6326+493)/(6326+1745+484+493)</f>
        <v>0.75364721485411146</v>
      </c>
      <c r="P9">
        <f>(493)/(493+484)</f>
        <v>0.50460593654042984</v>
      </c>
      <c r="Q9">
        <f>(493)/(493+1745)</f>
        <v>0.22028596961572833</v>
      </c>
      <c r="S9" s="14" t="s">
        <v>23</v>
      </c>
      <c r="T9" s="14"/>
      <c r="U9" s="2"/>
    </row>
    <row r="10" spans="1:22" x14ac:dyDescent="0.3">
      <c r="A10" t="s">
        <v>40</v>
      </c>
      <c r="B10" t="s">
        <v>44</v>
      </c>
      <c r="C10" s="3"/>
      <c r="D10" s="3"/>
      <c r="E10" s="3"/>
      <c r="F10" s="3"/>
      <c r="G10" s="3"/>
      <c r="H10" s="3"/>
      <c r="I10" t="s">
        <v>30</v>
      </c>
      <c r="J10" t="s">
        <v>31</v>
      </c>
      <c r="K10" t="s">
        <v>31</v>
      </c>
      <c r="L10" t="s">
        <v>30</v>
      </c>
      <c r="N10">
        <v>0.84</v>
      </c>
      <c r="O10">
        <f>(6352+536)/(6352+1744+416+536)</f>
        <v>0.76127320954907163</v>
      </c>
      <c r="P10">
        <f>(536)/(536+416)</f>
        <v>0.56302521008403361</v>
      </c>
      <c r="Q10">
        <f>(536)/(536+1744)</f>
        <v>0.23508771929824562</v>
      </c>
      <c r="S10" s="2" t="s">
        <v>24</v>
      </c>
      <c r="T10" s="2"/>
      <c r="U10" s="2"/>
    </row>
    <row r="11" spans="1:22" x14ac:dyDescent="0.3">
      <c r="S11" s="9" t="s">
        <v>25</v>
      </c>
      <c r="T11" s="9"/>
      <c r="U11" s="9"/>
    </row>
    <row r="13" spans="1:22" x14ac:dyDescent="0.3">
      <c r="S13" s="10" t="s">
        <v>27</v>
      </c>
      <c r="T13" s="10"/>
    </row>
    <row r="14" spans="1:22" x14ac:dyDescent="0.3">
      <c r="S14" s="10" t="s">
        <v>26</v>
      </c>
      <c r="T14" s="10"/>
    </row>
  </sheetData>
  <mergeCells count="8">
    <mergeCell ref="S13:T13"/>
    <mergeCell ref="S14:T14"/>
    <mergeCell ref="C1:L1"/>
    <mergeCell ref="P1:Q1"/>
    <mergeCell ref="S3:S6"/>
    <mergeCell ref="S8:T8"/>
    <mergeCell ref="S9:T9"/>
    <mergeCell ref="S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8BD5-1244-4C2A-907E-F3618C6C3670}">
  <dimension ref="A1:V14"/>
  <sheetViews>
    <sheetView tabSelected="1" topLeftCell="F1" zoomScale="145" zoomScaleNormal="145" workbookViewId="0">
      <selection activeCell="P15" sqref="P15"/>
    </sheetView>
  </sheetViews>
  <sheetFormatPr defaultRowHeight="14.4" x14ac:dyDescent="0.3"/>
  <cols>
    <col min="1" max="1" width="31.77734375" customWidth="1"/>
    <col min="2" max="2" width="25.44140625" customWidth="1"/>
    <col min="3" max="3" width="17.109375" customWidth="1"/>
    <col min="4" max="4" width="12" customWidth="1"/>
    <col min="5" max="5" width="11.77734375" customWidth="1"/>
    <col min="6" max="6" width="12.21875" customWidth="1"/>
    <col min="7" max="7" width="12.44140625" customWidth="1"/>
    <col min="8" max="8" width="11" customWidth="1"/>
    <col min="9" max="9" width="11.109375" customWidth="1"/>
    <col min="10" max="10" width="13.77734375" customWidth="1"/>
    <col min="11" max="11" width="11.21875" customWidth="1"/>
    <col min="12" max="12" width="11.5546875" customWidth="1"/>
    <col min="13" max="13" width="5.21875" customWidth="1"/>
    <col min="18" max="18" width="3.33203125" customWidth="1"/>
  </cols>
  <sheetData>
    <row r="1" spans="1:22" x14ac:dyDescent="0.3">
      <c r="C1" s="11" t="s">
        <v>11</v>
      </c>
      <c r="D1" s="11"/>
      <c r="E1" s="11"/>
      <c r="F1" s="11"/>
      <c r="G1" s="11"/>
      <c r="H1" s="11"/>
      <c r="I1" s="11"/>
      <c r="J1" s="11"/>
      <c r="K1" s="11"/>
      <c r="L1" s="11"/>
      <c r="P1" s="11" t="s">
        <v>14</v>
      </c>
      <c r="Q1" s="11"/>
      <c r="S1" s="1"/>
      <c r="T1" s="1"/>
      <c r="U1" s="1" t="s">
        <v>17</v>
      </c>
      <c r="V1" s="1"/>
    </row>
    <row r="2" spans="1:22" x14ac:dyDescent="0.3">
      <c r="B2" t="s">
        <v>42</v>
      </c>
      <c r="C2" s="4" t="s">
        <v>1</v>
      </c>
      <c r="D2" s="4" t="s">
        <v>2</v>
      </c>
      <c r="E2" s="4" t="s">
        <v>3</v>
      </c>
      <c r="F2" s="4" t="s">
        <v>9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10</v>
      </c>
      <c r="M2" s="5"/>
      <c r="N2" s="5" t="s">
        <v>12</v>
      </c>
      <c r="O2" s="5" t="s">
        <v>13</v>
      </c>
      <c r="P2" s="5" t="s">
        <v>28</v>
      </c>
      <c r="Q2" s="5" t="s">
        <v>29</v>
      </c>
      <c r="S2" s="1"/>
      <c r="T2" s="1"/>
      <c r="U2" s="1" t="s">
        <v>15</v>
      </c>
      <c r="V2" s="1" t="s">
        <v>14</v>
      </c>
    </row>
    <row r="3" spans="1:22" x14ac:dyDescent="0.3">
      <c r="A3" t="s">
        <v>45</v>
      </c>
      <c r="B3" t="s">
        <v>46</v>
      </c>
      <c r="C3" s="3"/>
      <c r="D3" s="3"/>
      <c r="E3" s="3"/>
      <c r="F3" s="3"/>
      <c r="G3" s="3"/>
      <c r="H3" t="s">
        <v>31</v>
      </c>
      <c r="I3" t="s">
        <v>30</v>
      </c>
      <c r="J3" t="s">
        <v>31</v>
      </c>
      <c r="K3" t="s">
        <v>31</v>
      </c>
      <c r="L3" t="s">
        <v>30</v>
      </c>
      <c r="N3">
        <v>0.89</v>
      </c>
      <c r="O3">
        <f>(6221+1044)/(6221+1194+589+1044)</f>
        <v>0.80293987621573826</v>
      </c>
      <c r="P3">
        <f>(1044)/(1044+589)</f>
        <v>0.63931414574402934</v>
      </c>
      <c r="Q3">
        <f>(1044)/(1044+1194)</f>
        <v>0.46648793565683644</v>
      </c>
      <c r="S3" s="12" t="s">
        <v>16</v>
      </c>
      <c r="T3" s="1" t="s">
        <v>15</v>
      </c>
      <c r="U3" s="2" t="s">
        <v>18</v>
      </c>
      <c r="V3" s="2" t="s">
        <v>20</v>
      </c>
    </row>
    <row r="4" spans="1:22" x14ac:dyDescent="0.3">
      <c r="A4" t="s">
        <v>45</v>
      </c>
      <c r="B4" t="s">
        <v>46</v>
      </c>
      <c r="C4" s="3"/>
      <c r="D4" s="3"/>
      <c r="E4" s="3"/>
      <c r="F4" s="3"/>
      <c r="G4" s="3"/>
      <c r="H4" s="3"/>
      <c r="I4" t="s">
        <v>30</v>
      </c>
      <c r="J4" t="s">
        <v>31</v>
      </c>
      <c r="K4" t="s">
        <v>31</v>
      </c>
      <c r="L4" t="s">
        <v>30</v>
      </c>
      <c r="N4">
        <v>0.88</v>
      </c>
      <c r="O4">
        <f>(6237+927)/(6237+1353+531+927)</f>
        <v>0.79177718832891242</v>
      </c>
      <c r="P4">
        <f>(927)/(927+531)</f>
        <v>0.63580246913580252</v>
      </c>
      <c r="Q4">
        <f>(927)/(927+1353)</f>
        <v>0.40657894736842104</v>
      </c>
      <c r="S4" s="12"/>
      <c r="T4" s="1"/>
      <c r="U4" s="2"/>
      <c r="V4" s="2"/>
    </row>
    <row r="5" spans="1:2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S5" s="12"/>
      <c r="T5" s="1"/>
      <c r="U5" s="2"/>
      <c r="V5" s="2"/>
    </row>
    <row r="6" spans="1:22" x14ac:dyDescent="0.3">
      <c r="A6" t="s">
        <v>45</v>
      </c>
      <c r="B6" t="s">
        <v>47</v>
      </c>
      <c r="C6" s="3"/>
      <c r="D6" s="3"/>
      <c r="E6" s="3"/>
      <c r="F6" s="3"/>
      <c r="G6" s="3"/>
      <c r="H6" t="s">
        <v>31</v>
      </c>
      <c r="I6" t="s">
        <v>30</v>
      </c>
      <c r="J6" t="s">
        <v>31</v>
      </c>
      <c r="K6" t="s">
        <v>31</v>
      </c>
      <c r="L6" t="s">
        <v>30</v>
      </c>
      <c r="N6">
        <v>0.89</v>
      </c>
      <c r="O6">
        <f>(6234+1052)/(6234+1186+576+1052)</f>
        <v>0.80526083112290003</v>
      </c>
      <c r="P6">
        <f>(1052)/(1052+576)</f>
        <v>0.64619164619164615</v>
      </c>
      <c r="Q6">
        <f>(1052)/(1052+1186)</f>
        <v>0.47006255585344059</v>
      </c>
      <c r="S6" s="12"/>
      <c r="T6" s="1" t="s">
        <v>14</v>
      </c>
      <c r="U6" s="2" t="s">
        <v>19</v>
      </c>
      <c r="V6" s="2" t="s">
        <v>21</v>
      </c>
    </row>
    <row r="7" spans="1:22" x14ac:dyDescent="0.3">
      <c r="A7" t="s">
        <v>45</v>
      </c>
      <c r="B7" t="s">
        <v>47</v>
      </c>
      <c r="C7" s="3"/>
      <c r="D7" s="3"/>
      <c r="E7" s="3"/>
      <c r="F7" s="3"/>
      <c r="G7" s="3"/>
      <c r="H7" s="3"/>
      <c r="I7" t="s">
        <v>30</v>
      </c>
      <c r="J7" t="s">
        <v>31</v>
      </c>
      <c r="K7" t="s">
        <v>31</v>
      </c>
      <c r="L7" t="s">
        <v>30</v>
      </c>
      <c r="N7">
        <v>0.88</v>
      </c>
      <c r="O7">
        <f>(6200+954)/(6200+1326+568+954)</f>
        <v>0.79067197170645442</v>
      </c>
      <c r="P7">
        <f>(954)/(954+568)</f>
        <v>0.62680683311432328</v>
      </c>
      <c r="Q7">
        <f>(954)/(954+1326)</f>
        <v>0.41842105263157897</v>
      </c>
    </row>
    <row r="8" spans="1:22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S8" s="13" t="s">
        <v>22</v>
      </c>
      <c r="T8" s="13"/>
      <c r="U8" s="2"/>
    </row>
    <row r="9" spans="1:22" x14ac:dyDescent="0.3">
      <c r="A9" t="s">
        <v>45</v>
      </c>
      <c r="B9" t="s">
        <v>48</v>
      </c>
      <c r="C9" s="3"/>
      <c r="D9" s="3"/>
      <c r="E9" s="3"/>
      <c r="F9" s="3"/>
      <c r="G9" s="3"/>
      <c r="H9" t="s">
        <v>31</v>
      </c>
      <c r="I9" t="s">
        <v>30</v>
      </c>
      <c r="J9" t="s">
        <v>31</v>
      </c>
      <c r="K9" t="s">
        <v>31</v>
      </c>
      <c r="L9" t="s">
        <v>30</v>
      </c>
      <c r="N9">
        <v>0.89</v>
      </c>
      <c r="O9">
        <f>(6191+1106)/(6191+1132+619+1106)</f>
        <v>0.80647656940760393</v>
      </c>
      <c r="P9">
        <f>(1106)/(1106+619)</f>
        <v>0.64115942028985506</v>
      </c>
      <c r="Q9">
        <f>(1106)/(1106+1132)</f>
        <v>0.4941912421805183</v>
      </c>
      <c r="S9" s="14" t="s">
        <v>23</v>
      </c>
      <c r="T9" s="14"/>
      <c r="U9" s="2"/>
    </row>
    <row r="10" spans="1:22" x14ac:dyDescent="0.3">
      <c r="A10" t="s">
        <v>45</v>
      </c>
      <c r="B10" t="s">
        <v>48</v>
      </c>
      <c r="C10" s="3"/>
      <c r="D10" s="3"/>
      <c r="E10" s="3"/>
      <c r="F10" s="3"/>
      <c r="G10" s="3"/>
      <c r="H10" s="3"/>
      <c r="I10" t="s">
        <v>30</v>
      </c>
      <c r="J10" t="s">
        <v>31</v>
      </c>
      <c r="K10" t="s">
        <v>31</v>
      </c>
      <c r="L10" t="s">
        <v>30</v>
      </c>
      <c r="N10">
        <v>0.88</v>
      </c>
      <c r="O10">
        <f>(6183+992)/(6183+1288+585+992)</f>
        <v>0.79299292661361631</v>
      </c>
      <c r="P10">
        <f>(992)/(992+585)</f>
        <v>0.62904248573240329</v>
      </c>
      <c r="Q10">
        <f>(992)/(992+1288)</f>
        <v>0.43508771929824563</v>
      </c>
      <c r="S10" s="2" t="s">
        <v>24</v>
      </c>
      <c r="T10" s="2"/>
      <c r="U10" s="2"/>
    </row>
    <row r="11" spans="1:22" x14ac:dyDescent="0.3">
      <c r="S11" s="9" t="s">
        <v>25</v>
      </c>
      <c r="T11" s="9"/>
      <c r="U11" s="9"/>
    </row>
    <row r="13" spans="1:22" x14ac:dyDescent="0.3">
      <c r="S13" s="10" t="s">
        <v>27</v>
      </c>
      <c r="T13" s="10"/>
    </row>
    <row r="14" spans="1:22" x14ac:dyDescent="0.3">
      <c r="S14" s="10" t="s">
        <v>26</v>
      </c>
      <c r="T14" s="10"/>
    </row>
  </sheetData>
  <mergeCells count="8">
    <mergeCell ref="S13:T13"/>
    <mergeCell ref="S14:T14"/>
    <mergeCell ref="C1:L1"/>
    <mergeCell ref="P1:Q1"/>
    <mergeCell ref="S3:S6"/>
    <mergeCell ref="S8:T8"/>
    <mergeCell ref="S9:T9"/>
    <mergeCell ref="S11:U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6BD1-817C-440B-8E5D-E612C46FEBD0}">
  <dimension ref="A1:V14"/>
  <sheetViews>
    <sheetView zoomScale="85" zoomScaleNormal="85" workbookViewId="0">
      <selection activeCell="H12" sqref="H12"/>
    </sheetView>
  </sheetViews>
  <sheetFormatPr defaultRowHeight="14.4" x14ac:dyDescent="0.3"/>
  <cols>
    <col min="1" max="1" width="31.77734375" customWidth="1"/>
    <col min="2" max="2" width="25.44140625" customWidth="1"/>
    <col min="3" max="3" width="17.109375" customWidth="1"/>
    <col min="4" max="4" width="12" customWidth="1"/>
    <col min="5" max="5" width="11.77734375" customWidth="1"/>
    <col min="6" max="6" width="12.21875" customWidth="1"/>
    <col min="7" max="7" width="12.44140625" customWidth="1"/>
    <col min="8" max="8" width="11" customWidth="1"/>
    <col min="9" max="9" width="11.109375" customWidth="1"/>
    <col min="10" max="10" width="13.77734375" customWidth="1"/>
    <col min="11" max="11" width="11.21875" customWidth="1"/>
    <col min="12" max="12" width="11.5546875" customWidth="1"/>
    <col min="13" max="13" width="5.21875" customWidth="1"/>
    <col min="18" max="18" width="3.33203125" customWidth="1"/>
  </cols>
  <sheetData>
    <row r="1" spans="1:22" x14ac:dyDescent="0.3">
      <c r="C1" s="11" t="s">
        <v>11</v>
      </c>
      <c r="D1" s="11"/>
      <c r="E1" s="11"/>
      <c r="F1" s="11"/>
      <c r="G1" s="11"/>
      <c r="H1" s="11"/>
      <c r="I1" s="11"/>
      <c r="J1" s="11"/>
      <c r="K1" s="11"/>
      <c r="L1" s="11"/>
      <c r="P1" s="11" t="s">
        <v>14</v>
      </c>
      <c r="Q1" s="11"/>
      <c r="S1" s="1"/>
      <c r="T1" s="1"/>
      <c r="U1" s="1" t="s">
        <v>17</v>
      </c>
      <c r="V1" s="1"/>
    </row>
    <row r="2" spans="1:22" x14ac:dyDescent="0.3">
      <c r="B2" t="s">
        <v>42</v>
      </c>
      <c r="C2" s="4" t="s">
        <v>1</v>
      </c>
      <c r="D2" s="4" t="s">
        <v>2</v>
      </c>
      <c r="E2" s="4" t="s">
        <v>3</v>
      </c>
      <c r="F2" s="4" t="s">
        <v>9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10</v>
      </c>
      <c r="M2" s="5"/>
      <c r="N2" s="5" t="s">
        <v>12</v>
      </c>
      <c r="O2" s="5" t="s">
        <v>13</v>
      </c>
      <c r="P2" s="5" t="s">
        <v>28</v>
      </c>
      <c r="Q2" s="5" t="s">
        <v>29</v>
      </c>
      <c r="S2" s="1"/>
      <c r="T2" s="1"/>
      <c r="U2" s="1" t="s">
        <v>15</v>
      </c>
      <c r="V2" s="1" t="s">
        <v>14</v>
      </c>
    </row>
    <row r="3" spans="1:22" x14ac:dyDescent="0.3">
      <c r="A3" t="s">
        <v>50</v>
      </c>
      <c r="C3" s="3"/>
      <c r="D3" s="3"/>
      <c r="E3" s="3"/>
      <c r="F3" s="3"/>
      <c r="G3" s="3"/>
      <c r="H3" t="s">
        <v>31</v>
      </c>
      <c r="I3" t="s">
        <v>30</v>
      </c>
      <c r="J3" t="s">
        <v>31</v>
      </c>
      <c r="K3" t="s">
        <v>31</v>
      </c>
      <c r="L3" t="s">
        <v>30</v>
      </c>
      <c r="N3">
        <v>0.85</v>
      </c>
      <c r="O3">
        <f>(6718+283)/(6718+1955+92+283)</f>
        <v>0.77376215738284704</v>
      </c>
      <c r="P3">
        <f>(283)/(283+92)</f>
        <v>0.75466666666666671</v>
      </c>
      <c r="Q3">
        <f>(283)/(283+1955)</f>
        <v>0.12645218945487041</v>
      </c>
      <c r="S3" s="12" t="s">
        <v>16</v>
      </c>
      <c r="T3" s="1" t="s">
        <v>15</v>
      </c>
      <c r="U3" s="2" t="s">
        <v>18</v>
      </c>
      <c r="V3" s="2" t="s">
        <v>20</v>
      </c>
    </row>
    <row r="4" spans="1:22" x14ac:dyDescent="0.3">
      <c r="A4" t="s">
        <v>50</v>
      </c>
      <c r="C4" s="3"/>
      <c r="D4" s="3"/>
      <c r="E4" s="3"/>
      <c r="F4" s="3"/>
      <c r="G4" s="3"/>
      <c r="H4" s="3"/>
      <c r="I4" t="s">
        <v>30</v>
      </c>
      <c r="J4" t="s">
        <v>31</v>
      </c>
      <c r="K4" t="s">
        <v>31</v>
      </c>
      <c r="L4" t="s">
        <v>30</v>
      </c>
      <c r="N4">
        <v>0.82</v>
      </c>
      <c r="O4">
        <f>(6768+0)/(6768+2280)</f>
        <v>0.74801061007957559</v>
      </c>
      <c r="P4" s="7" t="e">
        <f>(0)/(0+0)</f>
        <v>#DIV/0!</v>
      </c>
      <c r="Q4">
        <f>(0)/(0+2280)</f>
        <v>0</v>
      </c>
      <c r="S4" s="12"/>
      <c r="T4" s="1"/>
      <c r="U4" s="2"/>
      <c r="V4" s="2"/>
    </row>
    <row r="5" spans="1:22" x14ac:dyDescent="0.3">
      <c r="S5" s="12"/>
      <c r="T5" s="1"/>
      <c r="U5" s="2"/>
      <c r="V5" s="2"/>
    </row>
    <row r="6" spans="1:22" x14ac:dyDescent="0.3">
      <c r="S6" s="12"/>
      <c r="T6" s="1" t="s">
        <v>14</v>
      </c>
      <c r="U6" s="2" t="s">
        <v>19</v>
      </c>
      <c r="V6" s="2" t="s">
        <v>21</v>
      </c>
    </row>
    <row r="8" spans="1:22" x14ac:dyDescent="0.3">
      <c r="S8" s="13" t="s">
        <v>22</v>
      </c>
      <c r="T8" s="13"/>
      <c r="U8" s="2"/>
    </row>
    <row r="9" spans="1:22" x14ac:dyDescent="0.3">
      <c r="S9" s="14" t="s">
        <v>23</v>
      </c>
      <c r="T9" s="14"/>
      <c r="U9" s="2"/>
    </row>
    <row r="10" spans="1:22" x14ac:dyDescent="0.3">
      <c r="S10" s="2" t="s">
        <v>24</v>
      </c>
      <c r="T10" s="2"/>
      <c r="U10" s="2"/>
    </row>
    <row r="11" spans="1:22" x14ac:dyDescent="0.3">
      <c r="S11" s="9" t="s">
        <v>25</v>
      </c>
      <c r="T11" s="9"/>
      <c r="U11" s="9"/>
    </row>
    <row r="13" spans="1:22" x14ac:dyDescent="0.3">
      <c r="S13" s="10" t="s">
        <v>27</v>
      </c>
      <c r="T13" s="10"/>
    </row>
    <row r="14" spans="1:22" x14ac:dyDescent="0.3">
      <c r="S14" s="10" t="s">
        <v>26</v>
      </c>
      <c r="T14" s="10"/>
    </row>
  </sheetData>
  <mergeCells count="8">
    <mergeCell ref="S13:T13"/>
    <mergeCell ref="S14:T14"/>
    <mergeCell ref="C1:L1"/>
    <mergeCell ref="P1:Q1"/>
    <mergeCell ref="S3:S6"/>
    <mergeCell ref="S8:T8"/>
    <mergeCell ref="S9:T9"/>
    <mergeCell ref="S11:U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2EC2-981A-484E-A4E8-DDDE1A6453B1}">
  <dimension ref="A1:V14"/>
  <sheetViews>
    <sheetView topLeftCell="D1" zoomScale="160" zoomScaleNormal="160" workbookViewId="0">
      <selection activeCell="N4" sqref="N4:Q4"/>
    </sheetView>
  </sheetViews>
  <sheetFormatPr defaultRowHeight="14.4" x14ac:dyDescent="0.3"/>
  <cols>
    <col min="1" max="1" width="31.77734375" customWidth="1"/>
    <col min="2" max="2" width="25.44140625" customWidth="1"/>
    <col min="3" max="3" width="17.109375" customWidth="1"/>
    <col min="4" max="4" width="12" customWidth="1"/>
    <col min="5" max="5" width="11.77734375" customWidth="1"/>
    <col min="6" max="6" width="12.21875" customWidth="1"/>
    <col min="7" max="7" width="12.44140625" customWidth="1"/>
    <col min="8" max="8" width="11" customWidth="1"/>
    <col min="9" max="9" width="11.109375" customWidth="1"/>
    <col min="10" max="10" width="13.77734375" customWidth="1"/>
    <col min="11" max="11" width="11.21875" customWidth="1"/>
    <col min="12" max="12" width="11.5546875" customWidth="1"/>
    <col min="13" max="13" width="5.21875" customWidth="1"/>
    <col min="18" max="18" width="3.33203125" customWidth="1"/>
  </cols>
  <sheetData>
    <row r="1" spans="1:22" x14ac:dyDescent="0.3">
      <c r="C1" s="11" t="s">
        <v>11</v>
      </c>
      <c r="D1" s="11"/>
      <c r="E1" s="11"/>
      <c r="F1" s="11"/>
      <c r="G1" s="11"/>
      <c r="H1" s="11"/>
      <c r="I1" s="11"/>
      <c r="J1" s="11"/>
      <c r="K1" s="11"/>
      <c r="L1" s="11"/>
      <c r="P1" s="11" t="s">
        <v>14</v>
      </c>
      <c r="Q1" s="11"/>
      <c r="S1" s="1"/>
      <c r="T1" s="1"/>
      <c r="U1" s="1" t="s">
        <v>17</v>
      </c>
      <c r="V1" s="1"/>
    </row>
    <row r="2" spans="1:22" x14ac:dyDescent="0.3">
      <c r="B2" t="s">
        <v>42</v>
      </c>
      <c r="C2" s="4" t="s">
        <v>1</v>
      </c>
      <c r="D2" s="4" t="s">
        <v>2</v>
      </c>
      <c r="E2" s="4" t="s">
        <v>3</v>
      </c>
      <c r="F2" s="4" t="s">
        <v>9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10</v>
      </c>
      <c r="M2" s="5"/>
      <c r="N2" s="5" t="s">
        <v>12</v>
      </c>
      <c r="O2" s="5" t="s">
        <v>13</v>
      </c>
      <c r="P2" s="5" t="s">
        <v>28</v>
      </c>
      <c r="Q2" s="5" t="s">
        <v>29</v>
      </c>
      <c r="S2" s="1"/>
      <c r="T2" s="1"/>
      <c r="U2" s="1" t="s">
        <v>15</v>
      </c>
      <c r="V2" s="1" t="s">
        <v>14</v>
      </c>
    </row>
    <row r="3" spans="1:22" x14ac:dyDescent="0.3">
      <c r="A3" t="s">
        <v>49</v>
      </c>
      <c r="C3" s="3"/>
      <c r="D3" s="3"/>
      <c r="E3" s="3"/>
      <c r="F3" s="3"/>
      <c r="G3" s="3"/>
      <c r="H3" t="s">
        <v>31</v>
      </c>
      <c r="I3" t="s">
        <v>30</v>
      </c>
      <c r="J3" t="s">
        <v>31</v>
      </c>
      <c r="K3" t="s">
        <v>31</v>
      </c>
      <c r="L3" t="s">
        <v>30</v>
      </c>
      <c r="N3">
        <v>0.89</v>
      </c>
      <c r="O3">
        <f>(6255+1047)/(6255+1191+555+1047)</f>
        <v>0.80702917771883287</v>
      </c>
      <c r="P3">
        <f>(1047)/(1047+555)</f>
        <v>0.65355805243445697</v>
      </c>
      <c r="Q3">
        <f>(1047)/(1047+1191)</f>
        <v>0.46782841823056298</v>
      </c>
      <c r="S3" s="12" t="s">
        <v>16</v>
      </c>
      <c r="T3" s="1" t="s">
        <v>15</v>
      </c>
      <c r="U3" s="2" t="s">
        <v>18</v>
      </c>
      <c r="V3" s="2" t="s">
        <v>20</v>
      </c>
    </row>
    <row r="4" spans="1:22" x14ac:dyDescent="0.3">
      <c r="A4" t="s">
        <v>49</v>
      </c>
      <c r="C4" s="3"/>
      <c r="D4" s="3"/>
      <c r="E4" s="3"/>
      <c r="F4" s="3"/>
      <c r="G4" s="3"/>
      <c r="H4" s="3"/>
      <c r="I4" t="s">
        <v>30</v>
      </c>
      <c r="J4" t="s">
        <v>31</v>
      </c>
      <c r="K4" t="s">
        <v>31</v>
      </c>
      <c r="L4" t="s">
        <v>30</v>
      </c>
      <c r="N4">
        <v>0.88</v>
      </c>
      <c r="O4">
        <f>(6147+1028)/(6147+1252+621+1028)</f>
        <v>0.79299292661361631</v>
      </c>
      <c r="P4">
        <f>(1028)/(1028+621)</f>
        <v>0.62340812613705276</v>
      </c>
      <c r="Q4">
        <f>(1028)/(1028+1252)</f>
        <v>0.45087719298245615</v>
      </c>
      <c r="S4" s="12"/>
      <c r="T4" s="1"/>
      <c r="U4" s="2"/>
      <c r="V4" s="2"/>
    </row>
    <row r="5" spans="1:22" x14ac:dyDescent="0.3">
      <c r="S5" s="12"/>
      <c r="T5" s="1"/>
      <c r="U5" s="2"/>
      <c r="V5" s="2"/>
    </row>
    <row r="6" spans="1:22" x14ac:dyDescent="0.3">
      <c r="S6" s="12"/>
      <c r="T6" s="1" t="s">
        <v>14</v>
      </c>
      <c r="U6" s="2" t="s">
        <v>19</v>
      </c>
      <c r="V6" s="2" t="s">
        <v>21</v>
      </c>
    </row>
    <row r="8" spans="1:22" x14ac:dyDescent="0.3">
      <c r="S8" s="13" t="s">
        <v>22</v>
      </c>
      <c r="T8" s="13"/>
      <c r="U8" s="2"/>
    </row>
    <row r="9" spans="1:22" x14ac:dyDescent="0.3">
      <c r="S9" s="14" t="s">
        <v>23</v>
      </c>
      <c r="T9" s="14"/>
      <c r="U9" s="2"/>
    </row>
    <row r="10" spans="1:22" x14ac:dyDescent="0.3">
      <c r="S10" s="2" t="s">
        <v>24</v>
      </c>
      <c r="T10" s="2"/>
      <c r="U10" s="2"/>
    </row>
    <row r="11" spans="1:22" x14ac:dyDescent="0.3">
      <c r="S11" s="9" t="s">
        <v>25</v>
      </c>
      <c r="T11" s="9"/>
      <c r="U11" s="9"/>
    </row>
    <row r="13" spans="1:22" x14ac:dyDescent="0.3">
      <c r="S13" s="10" t="s">
        <v>27</v>
      </c>
      <c r="T13" s="10"/>
    </row>
    <row r="14" spans="1:22" x14ac:dyDescent="0.3">
      <c r="S14" s="10" t="s">
        <v>26</v>
      </c>
      <c r="T14" s="10"/>
    </row>
  </sheetData>
  <mergeCells count="8">
    <mergeCell ref="S13:T13"/>
    <mergeCell ref="S14:T14"/>
    <mergeCell ref="C1:L1"/>
    <mergeCell ref="P1:Q1"/>
    <mergeCell ref="S3:S6"/>
    <mergeCell ref="S8:T8"/>
    <mergeCell ref="S9:T9"/>
    <mergeCell ref="S11:U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5FB5-9603-421A-8770-0CFE2CDC68D4}">
  <dimension ref="A1:V14"/>
  <sheetViews>
    <sheetView zoomScale="85" zoomScaleNormal="85" workbookViewId="0">
      <selection activeCell="H19" sqref="H19"/>
    </sheetView>
  </sheetViews>
  <sheetFormatPr defaultRowHeight="14.4" x14ac:dyDescent="0.3"/>
  <cols>
    <col min="1" max="1" width="31.77734375" customWidth="1"/>
    <col min="2" max="2" width="25.44140625" customWidth="1"/>
    <col min="3" max="3" width="17.109375" customWidth="1"/>
    <col min="4" max="4" width="12" customWidth="1"/>
    <col min="5" max="5" width="11.77734375" customWidth="1"/>
    <col min="6" max="6" width="12.21875" customWidth="1"/>
    <col min="7" max="7" width="12.44140625" customWidth="1"/>
    <col min="8" max="8" width="11" customWidth="1"/>
    <col min="9" max="9" width="11.109375" customWidth="1"/>
    <col min="10" max="10" width="13.77734375" customWidth="1"/>
    <col min="11" max="11" width="11.21875" customWidth="1"/>
    <col min="12" max="12" width="11.5546875" customWidth="1"/>
    <col min="13" max="13" width="5.21875" customWidth="1"/>
    <col min="18" max="18" width="3.33203125" customWidth="1"/>
  </cols>
  <sheetData>
    <row r="1" spans="1:22" x14ac:dyDescent="0.3">
      <c r="C1" s="11" t="s">
        <v>11</v>
      </c>
      <c r="D1" s="11"/>
      <c r="E1" s="11"/>
      <c r="F1" s="11"/>
      <c r="G1" s="11"/>
      <c r="H1" s="11"/>
      <c r="I1" s="11"/>
      <c r="J1" s="11"/>
      <c r="K1" s="11"/>
      <c r="L1" s="11"/>
      <c r="P1" s="11" t="s">
        <v>14</v>
      </c>
      <c r="Q1" s="11"/>
      <c r="S1" s="1"/>
      <c r="T1" s="1"/>
      <c r="U1" s="1" t="s">
        <v>17</v>
      </c>
      <c r="V1" s="1"/>
    </row>
    <row r="2" spans="1:22" x14ac:dyDescent="0.3">
      <c r="B2" t="s">
        <v>42</v>
      </c>
      <c r="C2" s="4" t="s">
        <v>1</v>
      </c>
      <c r="D2" s="4" t="s">
        <v>2</v>
      </c>
      <c r="E2" s="4" t="s">
        <v>3</v>
      </c>
      <c r="F2" s="4" t="s">
        <v>9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10</v>
      </c>
      <c r="M2" s="5"/>
      <c r="N2" s="5" t="s">
        <v>12</v>
      </c>
      <c r="O2" s="5" t="s">
        <v>13</v>
      </c>
      <c r="P2" s="5" t="s">
        <v>28</v>
      </c>
      <c r="Q2" s="5" t="s">
        <v>29</v>
      </c>
      <c r="S2" s="1"/>
      <c r="T2" s="1"/>
      <c r="U2" s="1" t="s">
        <v>15</v>
      </c>
      <c r="V2" s="1" t="s">
        <v>14</v>
      </c>
    </row>
    <row r="3" spans="1:22" x14ac:dyDescent="0.3">
      <c r="A3" t="s">
        <v>51</v>
      </c>
      <c r="C3" s="3"/>
      <c r="D3" s="3"/>
      <c r="E3" s="3"/>
      <c r="F3" s="3"/>
      <c r="G3" s="3"/>
      <c r="H3" t="s">
        <v>31</v>
      </c>
      <c r="I3" t="s">
        <v>30</v>
      </c>
      <c r="J3" t="s">
        <v>31</v>
      </c>
      <c r="K3" t="s">
        <v>31</v>
      </c>
      <c r="L3" t="s">
        <v>30</v>
      </c>
      <c r="N3">
        <v>0.88</v>
      </c>
      <c r="O3">
        <f>(5962+1259)/(5962+979+848+1259)</f>
        <v>0.79807692307692313</v>
      </c>
      <c r="P3">
        <f>(1259)/(1259+848)</f>
        <v>0.59753203607024208</v>
      </c>
      <c r="Q3">
        <f>(1259)/(1259+979)</f>
        <v>0.56255585344057191</v>
      </c>
      <c r="S3" s="12" t="s">
        <v>16</v>
      </c>
      <c r="T3" s="1" t="s">
        <v>15</v>
      </c>
      <c r="U3" s="2" t="s">
        <v>18</v>
      </c>
      <c r="V3" s="2" t="s">
        <v>20</v>
      </c>
    </row>
    <row r="4" spans="1:22" x14ac:dyDescent="0.3">
      <c r="A4" t="s">
        <v>51</v>
      </c>
      <c r="C4" s="3"/>
      <c r="D4" s="3"/>
      <c r="E4" s="3"/>
      <c r="F4" s="3"/>
      <c r="G4" s="3"/>
      <c r="H4" s="3"/>
      <c r="I4" t="s">
        <v>30</v>
      </c>
      <c r="J4" t="s">
        <v>31</v>
      </c>
      <c r="K4" t="s">
        <v>31</v>
      </c>
      <c r="L4" t="s">
        <v>30</v>
      </c>
      <c r="N4">
        <v>0.87</v>
      </c>
      <c r="O4">
        <f>(5944+1182)/(5944+1098+824+1182)</f>
        <v>0.78757736516357202</v>
      </c>
      <c r="P4">
        <f>(1182)/(1182+824)</f>
        <v>0.58923230309072783</v>
      </c>
      <c r="Q4">
        <f>(1182)/(1182+1098)</f>
        <v>0.51842105263157889</v>
      </c>
      <c r="S4" s="12"/>
      <c r="T4" s="1"/>
      <c r="U4" s="2"/>
      <c r="V4" s="2"/>
    </row>
    <row r="5" spans="1:22" x14ac:dyDescent="0.3">
      <c r="S5" s="12"/>
      <c r="T5" s="1"/>
      <c r="U5" s="2"/>
      <c r="V5" s="2"/>
    </row>
    <row r="6" spans="1:22" x14ac:dyDescent="0.3">
      <c r="S6" s="12"/>
      <c r="T6" s="1" t="s">
        <v>14</v>
      </c>
      <c r="U6" s="2" t="s">
        <v>19</v>
      </c>
      <c r="V6" s="2" t="s">
        <v>21</v>
      </c>
    </row>
    <row r="8" spans="1:22" x14ac:dyDescent="0.3">
      <c r="S8" s="13" t="s">
        <v>22</v>
      </c>
      <c r="T8" s="13"/>
      <c r="U8" s="2"/>
    </row>
    <row r="9" spans="1:22" x14ac:dyDescent="0.3">
      <c r="S9" s="14" t="s">
        <v>23</v>
      </c>
      <c r="T9" s="14"/>
      <c r="U9" s="2"/>
    </row>
    <row r="10" spans="1:22" x14ac:dyDescent="0.3">
      <c r="S10" s="2" t="s">
        <v>24</v>
      </c>
      <c r="T10" s="2"/>
      <c r="U10" s="2"/>
    </row>
    <row r="11" spans="1:22" x14ac:dyDescent="0.3">
      <c r="S11" s="9" t="s">
        <v>25</v>
      </c>
      <c r="T11" s="9"/>
      <c r="U11" s="9"/>
    </row>
    <row r="13" spans="1:22" x14ac:dyDescent="0.3">
      <c r="S13" s="10" t="s">
        <v>27</v>
      </c>
      <c r="T13" s="10"/>
    </row>
    <row r="14" spans="1:22" x14ac:dyDescent="0.3">
      <c r="S14" s="10" t="s">
        <v>26</v>
      </c>
      <c r="T14" s="10"/>
    </row>
  </sheetData>
  <mergeCells count="8">
    <mergeCell ref="S13:T13"/>
    <mergeCell ref="S14:T14"/>
    <mergeCell ref="C1:L1"/>
    <mergeCell ref="P1:Q1"/>
    <mergeCell ref="S3:S6"/>
    <mergeCell ref="S8:T8"/>
    <mergeCell ref="S9:T9"/>
    <mergeCell ref="S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DecisionTree</vt:lpstr>
      <vt:lpstr>Clustering</vt:lpstr>
      <vt:lpstr>Neuronal_Network</vt:lpstr>
      <vt:lpstr>Microsoft_Association_Rules</vt:lpstr>
      <vt:lpstr>Logistic_Regression</vt:lpstr>
      <vt:lpstr>Native_Bayes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Silva</dc:creator>
  <cp:lastModifiedBy>Patrícia Silva</cp:lastModifiedBy>
  <dcterms:created xsi:type="dcterms:W3CDTF">2022-12-22T23:30:18Z</dcterms:created>
  <dcterms:modified xsi:type="dcterms:W3CDTF">2023-01-09T19:54:03Z</dcterms:modified>
</cp:coreProperties>
</file>