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esar\Documents\GitLab\EmbedIA-Comparisons\01_MNIST-Digits\Pruebas\"/>
    </mc:Choice>
  </mc:AlternateContent>
  <xr:revisionPtr revIDLastSave="0" documentId="13_ncr:1_{EDE2579B-0096-46BA-9F9C-A041B364C9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ados" sheetId="1" r:id="rId1"/>
    <sheet name="Mega" sheetId="6" r:id="rId2"/>
    <sheet name="STM32" sheetId="5" r:id="rId3"/>
    <sheet name="ESP8266" sheetId="7" r:id="rId4"/>
    <sheet name="ESP32" sheetId="3" r:id="rId5"/>
    <sheet name="RaspiPico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4" i="1" l="1"/>
  <c r="J8" i="2"/>
  <c r="J7" i="2"/>
  <c r="I8" i="7"/>
  <c r="G8" i="7"/>
  <c r="D8" i="7"/>
  <c r="C8" i="7"/>
  <c r="I7" i="7"/>
  <c r="D7" i="7"/>
  <c r="C7" i="7"/>
  <c r="G2" i="7" s="1"/>
  <c r="I6" i="7"/>
  <c r="D6" i="7"/>
  <c r="H6" i="7" s="1"/>
  <c r="C6" i="7"/>
  <c r="G6" i="7" s="1"/>
  <c r="I5" i="7"/>
  <c r="G5" i="7"/>
  <c r="D5" i="7"/>
  <c r="H5" i="7" s="1"/>
  <c r="C5" i="7"/>
  <c r="I4" i="7"/>
  <c r="G4" i="7"/>
  <c r="I3" i="7"/>
  <c r="G3" i="7"/>
  <c r="D3" i="7"/>
  <c r="H7" i="7" s="1"/>
  <c r="C3" i="7"/>
  <c r="I2" i="7"/>
  <c r="D2" i="7"/>
  <c r="H4" i="7" s="1"/>
  <c r="C2" i="7"/>
  <c r="H8" i="7" l="1"/>
  <c r="H3" i="7"/>
  <c r="G7" i="7"/>
  <c r="H2" i="7"/>
  <c r="C59" i="1" l="1"/>
  <c r="D4" i="5"/>
  <c r="D13" i="1"/>
  <c r="D8" i="5"/>
  <c r="C8" i="5"/>
  <c r="G8" i="5" s="1"/>
  <c r="D7" i="5"/>
  <c r="C7" i="5"/>
  <c r="D6" i="5"/>
  <c r="C6" i="5"/>
  <c r="D5" i="5"/>
  <c r="C5" i="5"/>
  <c r="C4" i="5"/>
  <c r="G5" i="5" s="1"/>
  <c r="I6" i="6"/>
  <c r="I7" i="6"/>
  <c r="I8" i="6"/>
  <c r="I5" i="6"/>
  <c r="H6" i="6"/>
  <c r="H7" i="6"/>
  <c r="H8" i="6"/>
  <c r="H5" i="6"/>
  <c r="G6" i="6"/>
  <c r="G7" i="6"/>
  <c r="G8" i="6"/>
  <c r="G5" i="6"/>
  <c r="D8" i="6"/>
  <c r="C8" i="6"/>
  <c r="D7" i="6"/>
  <c r="C7" i="6"/>
  <c r="D6" i="6"/>
  <c r="C6" i="6"/>
  <c r="D5" i="6"/>
  <c r="C5" i="6"/>
  <c r="I5" i="5"/>
  <c r="I6" i="5"/>
  <c r="I7" i="5"/>
  <c r="I8" i="5"/>
  <c r="I4" i="5"/>
  <c r="G4" i="5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2" i="3"/>
  <c r="G3" i="3"/>
  <c r="G4" i="3"/>
  <c r="G5" i="3"/>
  <c r="G6" i="3"/>
  <c r="G7" i="3"/>
  <c r="G8" i="3"/>
  <c r="D8" i="3"/>
  <c r="C8" i="3"/>
  <c r="D7" i="3"/>
  <c r="C7" i="3"/>
  <c r="D6" i="3"/>
  <c r="C6" i="3"/>
  <c r="D5" i="3"/>
  <c r="C5" i="3"/>
  <c r="D3" i="3"/>
  <c r="C3" i="3"/>
  <c r="D2" i="3"/>
  <c r="C2" i="3"/>
  <c r="I8" i="2"/>
  <c r="D8" i="2"/>
  <c r="C8" i="2"/>
  <c r="I7" i="2"/>
  <c r="D7" i="2"/>
  <c r="C7" i="2"/>
  <c r="I6" i="2"/>
  <c r="D6" i="2"/>
  <c r="C6" i="2"/>
  <c r="I5" i="2"/>
  <c r="D5" i="2"/>
  <c r="C5" i="2"/>
  <c r="I4" i="2"/>
  <c r="D4" i="2"/>
  <c r="C4" i="2"/>
  <c r="I3" i="2"/>
  <c r="D3" i="2"/>
  <c r="C3" i="2"/>
  <c r="I2" i="2"/>
  <c r="D2" i="2"/>
  <c r="C2" i="2"/>
  <c r="D4" i="1"/>
  <c r="G4" i="2" l="1"/>
  <c r="G7" i="2"/>
  <c r="G2" i="2"/>
  <c r="G8" i="2"/>
  <c r="H5" i="5"/>
  <c r="G7" i="5"/>
  <c r="G6" i="5"/>
  <c r="H4" i="5"/>
  <c r="H8" i="5"/>
  <c r="H7" i="5"/>
  <c r="H6" i="5"/>
  <c r="G5" i="2"/>
  <c r="H2" i="2"/>
  <c r="G6" i="2"/>
  <c r="G3" i="2"/>
  <c r="H5" i="2"/>
  <c r="H8" i="2"/>
  <c r="H6" i="2"/>
  <c r="H4" i="2"/>
  <c r="H7" i="2"/>
  <c r="H3" i="2"/>
  <c r="L65" i="1"/>
  <c r="L59" i="1"/>
  <c r="L60" i="1"/>
  <c r="L61" i="1"/>
  <c r="L62" i="1"/>
  <c r="L63" i="1"/>
  <c r="L64" i="1"/>
  <c r="J60" i="1"/>
  <c r="J61" i="1"/>
  <c r="J62" i="1"/>
  <c r="J63" i="1"/>
  <c r="J64" i="1"/>
  <c r="J65" i="1"/>
  <c r="J59" i="1"/>
  <c r="G59" i="1"/>
  <c r="I59" i="1"/>
  <c r="G60" i="1"/>
  <c r="I60" i="1"/>
  <c r="G61" i="1"/>
  <c r="I61" i="1"/>
  <c r="G62" i="1"/>
  <c r="I62" i="1"/>
  <c r="G63" i="1"/>
  <c r="I63" i="1"/>
  <c r="G64" i="1"/>
  <c r="G65" i="1"/>
  <c r="I65" i="1"/>
  <c r="E59" i="1"/>
  <c r="E60" i="1"/>
  <c r="E61" i="1"/>
  <c r="E62" i="1"/>
  <c r="E63" i="1"/>
  <c r="E64" i="1"/>
  <c r="E65" i="1"/>
  <c r="C63" i="1"/>
  <c r="C64" i="1"/>
  <c r="C65" i="1"/>
  <c r="C62" i="1"/>
  <c r="C61" i="1"/>
  <c r="C60" i="1"/>
  <c r="D44" i="1"/>
  <c r="D43" i="1"/>
  <c r="D42" i="1"/>
  <c r="D41" i="1"/>
  <c r="D35" i="1"/>
  <c r="D34" i="1"/>
  <c r="D33" i="1"/>
  <c r="D32" i="1"/>
  <c r="D26" i="1"/>
  <c r="D25" i="1"/>
  <c r="D24" i="1"/>
  <c r="D23" i="1"/>
  <c r="D17" i="1"/>
  <c r="D16" i="1"/>
  <c r="D15" i="1"/>
  <c r="D14" i="1"/>
  <c r="D8" i="1"/>
  <c r="D7" i="1"/>
  <c r="D6" i="1"/>
  <c r="D5" i="1"/>
  <c r="D38" i="1"/>
  <c r="C38" i="1"/>
  <c r="E49" i="1"/>
  <c r="E51" i="1"/>
  <c r="E50" i="1"/>
  <c r="E52" i="1"/>
  <c r="E53" i="1"/>
  <c r="E54" i="1"/>
  <c r="E55" i="1"/>
  <c r="C17" i="1"/>
  <c r="C16" i="1"/>
  <c r="C14" i="1"/>
  <c r="C15" i="1"/>
  <c r="I13" i="1"/>
  <c r="I14" i="1"/>
  <c r="I15" i="1"/>
  <c r="I16" i="1"/>
  <c r="I17" i="1"/>
  <c r="C13" i="1"/>
  <c r="C30" i="1"/>
  <c r="D30" i="1"/>
  <c r="D29" i="1"/>
  <c r="C29" i="1"/>
  <c r="D39" i="1"/>
  <c r="C39" i="1"/>
  <c r="I38" i="1"/>
  <c r="C43" i="1"/>
  <c r="C42" i="1"/>
  <c r="C41" i="1"/>
  <c r="C44" i="1"/>
  <c r="I39" i="1"/>
  <c r="I41" i="1"/>
  <c r="I42" i="1"/>
  <c r="I43" i="1"/>
  <c r="I44" i="1"/>
  <c r="I35" i="1"/>
  <c r="C35" i="1"/>
  <c r="I34" i="1"/>
  <c r="C34" i="1"/>
  <c r="I33" i="1"/>
  <c r="C33" i="1"/>
  <c r="I32" i="1"/>
  <c r="C32" i="1"/>
  <c r="I30" i="1"/>
  <c r="I29" i="1"/>
  <c r="I49" i="1" l="1"/>
  <c r="I51" i="1"/>
  <c r="H30" i="1"/>
  <c r="G41" i="1"/>
  <c r="H15" i="1"/>
  <c r="H34" i="1"/>
  <c r="I52" i="1"/>
  <c r="H41" i="1"/>
  <c r="H17" i="1"/>
  <c r="G17" i="1"/>
  <c r="I54" i="1"/>
  <c r="I55" i="1"/>
  <c r="I53" i="1"/>
  <c r="I50" i="1"/>
  <c r="G13" i="1"/>
  <c r="G15" i="1"/>
  <c r="G16" i="1"/>
  <c r="H16" i="1"/>
  <c r="H14" i="1"/>
  <c r="H13" i="1"/>
  <c r="G14" i="1"/>
  <c r="G30" i="1"/>
  <c r="G32" i="1"/>
  <c r="H35" i="1"/>
  <c r="G33" i="1"/>
  <c r="G38" i="1"/>
  <c r="H33" i="1"/>
  <c r="H32" i="1"/>
  <c r="H38" i="1"/>
  <c r="G39" i="1"/>
  <c r="G44" i="1"/>
  <c r="G42" i="1"/>
  <c r="G43" i="1"/>
  <c r="H39" i="1"/>
  <c r="H44" i="1"/>
  <c r="H42" i="1"/>
  <c r="H43" i="1"/>
  <c r="G34" i="1"/>
  <c r="G29" i="1"/>
  <c r="H29" i="1"/>
  <c r="G35" i="1"/>
  <c r="I24" i="1"/>
  <c r="I25" i="1"/>
  <c r="I26" i="1"/>
  <c r="I23" i="1"/>
  <c r="C24" i="1"/>
  <c r="C23" i="1"/>
  <c r="C25" i="1"/>
  <c r="C26" i="1"/>
  <c r="C4" i="1"/>
  <c r="C51" i="1" s="1"/>
  <c r="D55" i="1"/>
  <c r="D54" i="1"/>
  <c r="D53" i="1"/>
  <c r="D52" i="1"/>
  <c r="D51" i="1"/>
  <c r="D3" i="1"/>
  <c r="D50" i="1" s="1"/>
  <c r="D2" i="1"/>
  <c r="D49" i="1" s="1"/>
  <c r="C8" i="1"/>
  <c r="C55" i="1" s="1"/>
  <c r="C7" i="1"/>
  <c r="C54" i="1" s="1"/>
  <c r="C6" i="1"/>
  <c r="C53" i="1" s="1"/>
  <c r="C5" i="1"/>
  <c r="C52" i="1" s="1"/>
  <c r="C3" i="1"/>
  <c r="C50" i="1" s="1"/>
  <c r="C2" i="1"/>
  <c r="C49" i="1" s="1"/>
  <c r="I2" i="1"/>
  <c r="I3" i="1"/>
  <c r="I4" i="1"/>
  <c r="I5" i="1"/>
  <c r="I6" i="1"/>
  <c r="I7" i="1"/>
  <c r="I8" i="1"/>
  <c r="L51" i="1" l="1"/>
  <c r="L52" i="1"/>
  <c r="H51" i="1"/>
  <c r="L49" i="1"/>
  <c r="L50" i="1"/>
  <c r="L53" i="1"/>
  <c r="L54" i="1"/>
  <c r="L55" i="1"/>
  <c r="G51" i="1"/>
  <c r="H52" i="1"/>
  <c r="G49" i="1"/>
  <c r="G55" i="1"/>
  <c r="G54" i="1"/>
  <c r="G53" i="1"/>
  <c r="H54" i="1"/>
  <c r="G52" i="1"/>
  <c r="G50" i="1"/>
  <c r="H55" i="1"/>
  <c r="K55" i="1" s="1"/>
  <c r="H53" i="1"/>
  <c r="H50" i="1"/>
  <c r="G24" i="1"/>
  <c r="H23" i="1"/>
  <c r="H49" i="1"/>
  <c r="G26" i="1"/>
  <c r="H24" i="1"/>
  <c r="G25" i="1"/>
  <c r="G23" i="1"/>
  <c r="H25" i="1"/>
  <c r="H26" i="1"/>
  <c r="G5" i="1"/>
  <c r="H2" i="1"/>
  <c r="D59" i="1" s="1"/>
  <c r="H5" i="1"/>
  <c r="D62" i="1" s="1"/>
  <c r="H4" i="1"/>
  <c r="D61" i="1" s="1"/>
  <c r="H8" i="1"/>
  <c r="D65" i="1" s="1"/>
  <c r="H7" i="1"/>
  <c r="D64" i="1" s="1"/>
  <c r="H3" i="1"/>
  <c r="D60" i="1" s="1"/>
  <c r="H6" i="1"/>
  <c r="D63" i="1" s="1"/>
  <c r="G2" i="1"/>
  <c r="G8" i="1"/>
  <c r="G6" i="1"/>
  <c r="G7" i="1"/>
  <c r="G4" i="1"/>
  <c r="G3" i="1"/>
  <c r="H62" i="1" l="1"/>
  <c r="K62" i="1"/>
  <c r="K63" i="1"/>
  <c r="H63" i="1"/>
  <c r="K59" i="1"/>
  <c r="H59" i="1"/>
  <c r="H60" i="1"/>
  <c r="K60" i="1"/>
  <c r="K64" i="1"/>
  <c r="H64" i="1"/>
  <c r="H65" i="1"/>
  <c r="K65" i="1"/>
  <c r="H61" i="1"/>
  <c r="K61" i="1"/>
  <c r="K51" i="1"/>
  <c r="K52" i="1"/>
  <c r="K53" i="1"/>
  <c r="K54" i="1"/>
  <c r="K49" i="1"/>
  <c r="K50" i="1"/>
  <c r="J52" i="1"/>
  <c r="J54" i="1"/>
  <c r="J55" i="1"/>
  <c r="J49" i="1"/>
  <c r="J53" i="1"/>
  <c r="J50" i="1"/>
  <c r="J51" i="1"/>
</calcChain>
</file>

<file path=xl/sharedStrings.xml><?xml version="1.0" encoding="utf-8"?>
<sst xmlns="http://schemas.openxmlformats.org/spreadsheetml/2006/main" count="318" uniqueCount="48">
  <si>
    <t>Eloquent Tiny ML</t>
  </si>
  <si>
    <t>CMSIS-NN</t>
  </si>
  <si>
    <t>Microsoft Edge ML</t>
  </si>
  <si>
    <t>Google Tensorflow Lite</t>
  </si>
  <si>
    <t>uTensor</t>
  </si>
  <si>
    <t>MCU / Placa Desarrollo</t>
  </si>
  <si>
    <t>Biblioteca / Framework</t>
  </si>
  <si>
    <t>360 Ejemplos de Prueba</t>
  </si>
  <si>
    <t>Memoria de Programa (Kib)</t>
  </si>
  <si>
    <t>Memoria de Datos (Kib)</t>
  </si>
  <si>
    <t>Tiempo de Inferencia (us)</t>
  </si>
  <si>
    <t>Efectividad (%)</t>
  </si>
  <si>
    <t>*1</t>
  </si>
  <si>
    <t>*1 No probado. No encontramos ejemplos de uso</t>
  </si>
  <si>
    <t>Proyecto vacio:</t>
  </si>
  <si>
    <t>Prog</t>
  </si>
  <si>
    <t>Datos</t>
  </si>
  <si>
    <t>*2 Solo compiló para Raspi Pico y RP2420. No tiene función Softmax. Cuelga en Cortex-M3 y Da mal en RP2040</t>
  </si>
  <si>
    <t>*3 No entro en memoria</t>
  </si>
  <si>
    <t>Tensilica L106 
(Esp8266)
- Node MCU -</t>
  </si>
  <si>
    <t>*4 No compiló la biblioteca</t>
  </si>
  <si>
    <t>*4</t>
  </si>
  <si>
    <t>Memoria de Programa</t>
  </si>
  <si>
    <t xml:space="preserve">Memoria de Datos </t>
  </si>
  <si>
    <t>Tiempo de Inferencia</t>
  </si>
  <si>
    <t>MCU</t>
  </si>
  <si>
    <t>RP 2040</t>
  </si>
  <si>
    <t>STM32f1</t>
  </si>
  <si>
    <t>ATMega</t>
  </si>
  <si>
    <t>Tensilica L106</t>
  </si>
  <si>
    <t>Xtensa LX6</t>
  </si>
  <si>
    <t>*3</t>
  </si>
  <si>
    <t>RP2040
(Arm Cortex-M0+)
- Raspi Pico -</t>
  </si>
  <si>
    <t>ATMega2560
- Aruino Mega -</t>
  </si>
  <si>
    <t>Stm32f103c8t6 
(Arm Cortex-M3)
- Bluepill -</t>
  </si>
  <si>
    <t xml:space="preserve"> </t>
  </si>
  <si>
    <t>Promedio General</t>
  </si>
  <si>
    <t>Embedia NN - Float</t>
  </si>
  <si>
    <t>Embedia NN - Fixed32</t>
  </si>
  <si>
    <t>Embedia NN - Fixed16</t>
  </si>
  <si>
    <t>Embedia NN - Fixed8</t>
  </si>
  <si>
    <t>Mejora Respecto del Peor</t>
  </si>
  <si>
    <t>EmbedIA swap_alloc RAM</t>
  </si>
  <si>
    <t>Memoria de Programa (%)</t>
  </si>
  <si>
    <t>Mejora Respecto del Peor (%)</t>
  </si>
  <si>
    <t>uTensor (microTensor)</t>
  </si>
  <si>
    <t>Tensilica Xtensa LX6
- Esp 32 Devkit -</t>
  </si>
  <si>
    <t>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</si>
</sst>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1" fillId="2" borderId="0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right"/>
    </xf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164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164" fontId="0" fillId="0" borderId="0" xfId="0" applyNumberFormat="1"/>
    <xf numFmtId="0" fontId="1" fillId="2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2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5050"/>
      <color rgb="FFFF6D6D"/>
      <color rgb="FFFF8C79"/>
      <color rgb="FFFFBC79"/>
      <color rgb="FFEEA400"/>
      <color rgb="FFFFD679"/>
      <color rgb="FF93ADDD"/>
      <color rgb="FF96B0DE"/>
      <color rgb="FFB68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Comparación Frameworks/Bibliotecas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Resultados!$B$49</c:f>
              <c:strCache>
                <c:ptCount val="1"/>
                <c:pt idx="0">
                  <c:v>Eloquent Tiny 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Resultados!$G$48:$I$48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Resultados!$G$49:$I$49</c:f>
              <c:numCache>
                <c:formatCode>0.00</c:formatCode>
                <c:ptCount val="3"/>
                <c:pt idx="0">
                  <c:v>96.830336766930074</c:v>
                </c:pt>
                <c:pt idx="1">
                  <c:v>100</c:v>
                </c:pt>
                <c:pt idx="2">
                  <c:v>78.31431341836354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F1-4578-8824-BFD4FC8AC1CC}"/>
            </c:ext>
          </c:extLst>
        </c:ser>
        <c:ser>
          <c:idx val="1"/>
          <c:order val="1"/>
          <c:tx>
            <c:strRef>
              <c:f>Resultados!$B$50</c:f>
              <c:strCache>
                <c:ptCount val="1"/>
                <c:pt idx="0">
                  <c:v>Google Tensorflow Lite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Resultados!$G$48:$I$48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Resultados!$G$50:$I$50</c:f>
              <c:numCache>
                <c:formatCode>0.00</c:formatCode>
                <c:ptCount val="3"/>
                <c:pt idx="0">
                  <c:v>100</c:v>
                </c:pt>
                <c:pt idx="1">
                  <c:v>88.511450381679396</c:v>
                </c:pt>
                <c:pt idx="2">
                  <c:v>69.232490490042508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FF1-4578-8824-BFD4FC8AC1CC}"/>
            </c:ext>
          </c:extLst>
        </c:ser>
        <c:ser>
          <c:idx val="2"/>
          <c:order val="2"/>
          <c:tx>
            <c:strRef>
              <c:f>Resultados!$B$51</c:f>
              <c:strCache>
                <c:ptCount val="1"/>
                <c:pt idx="0">
                  <c:v>uTensor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Resultados!$G$48:$I$48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Resultados!$G$51:$I$51</c:f>
              <c:numCache>
                <c:formatCode>0.00</c:formatCode>
                <c:ptCount val="3"/>
                <c:pt idx="0">
                  <c:v>20.756405552224379</c:v>
                </c:pt>
                <c:pt idx="1">
                  <c:v>52.151717557251906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FF1-4578-8824-BFD4FC8AC1CC}"/>
            </c:ext>
          </c:extLst>
        </c:ser>
        <c:ser>
          <c:idx val="3"/>
          <c:order val="3"/>
          <c:tx>
            <c:strRef>
              <c:f>Resultados!$B$52</c:f>
              <c:strCache>
                <c:ptCount val="1"/>
                <c:pt idx="0">
                  <c:v>Embedia NN - Float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Resultados!$G$48:$I$48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Resultados!$G$52:$I$52</c:f>
              <c:numCache>
                <c:formatCode>0.00</c:formatCode>
                <c:ptCount val="3"/>
                <c:pt idx="0">
                  <c:v>10.468144515343791</c:v>
                </c:pt>
                <c:pt idx="1">
                  <c:v>30.629770992366414</c:v>
                </c:pt>
                <c:pt idx="2">
                  <c:v>53.598866263891992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FF1-4578-8824-BFD4FC8AC1CC}"/>
            </c:ext>
          </c:extLst>
        </c:ser>
        <c:ser>
          <c:idx val="4"/>
          <c:order val="4"/>
          <c:tx>
            <c:strRef>
              <c:f>Resultados!$B$53</c:f>
              <c:strCache>
                <c:ptCount val="1"/>
                <c:pt idx="0">
                  <c:v>Embedia NN - Fixed32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Resultados!$G$48:$I$48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Resultados!$G$53:$I$53</c:f>
              <c:numCache>
                <c:formatCode>0.00</c:formatCode>
                <c:ptCount val="3"/>
                <c:pt idx="0">
                  <c:v>9.295769605956739</c:v>
                </c:pt>
                <c:pt idx="1">
                  <c:v>24.592875318066159</c:v>
                </c:pt>
                <c:pt idx="2">
                  <c:v>25.640337137316322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FF1-4578-8824-BFD4FC8AC1CC}"/>
            </c:ext>
          </c:extLst>
        </c:ser>
        <c:ser>
          <c:idx val="5"/>
          <c:order val="5"/>
          <c:tx>
            <c:strRef>
              <c:f>Resultados!$B$54</c:f>
              <c:strCache>
                <c:ptCount val="1"/>
                <c:pt idx="0">
                  <c:v>Embedia NN - Fixed16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Resultados!$G$48:$I$48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Resultados!$G$54:$I$54</c:f>
              <c:numCache>
                <c:formatCode>0.00</c:formatCode>
                <c:ptCount val="3"/>
                <c:pt idx="0">
                  <c:v>8.0258459445672514</c:v>
                </c:pt>
                <c:pt idx="1">
                  <c:v>15.330788804071249</c:v>
                </c:pt>
                <c:pt idx="2">
                  <c:v>9.290669053479526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FF1-4578-8824-BFD4FC8AC1CC}"/>
            </c:ext>
          </c:extLst>
        </c:ser>
        <c:ser>
          <c:idx val="6"/>
          <c:order val="6"/>
          <c:tx>
            <c:strRef>
              <c:f>Resultados!$B$55</c:f>
              <c:strCache>
                <c:ptCount val="1"/>
                <c:pt idx="0">
                  <c:v>Embedia NN - Fixed8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Resultados!$G$48:$I$48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Resultados!$G$55:$I$55</c:f>
              <c:numCache>
                <c:formatCode>0.00</c:formatCode>
                <c:ptCount val="3"/>
                <c:pt idx="0">
                  <c:v>7.455767458094309</c:v>
                </c:pt>
                <c:pt idx="1">
                  <c:v>11.431297709923664</c:v>
                </c:pt>
                <c:pt idx="2">
                  <c:v>10.015663459386888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FF1-4578-8824-BFD4FC8AC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089487"/>
        <c:axId val="1405110703"/>
      </c:barChart>
      <c:catAx>
        <c:axId val="140508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5110703"/>
        <c:crosses val="autoZero"/>
        <c:auto val="1"/>
        <c:lblAlgn val="ctr"/>
        <c:lblOffset val="100"/>
        <c:noMultiLvlLbl val="0"/>
      </c:catAx>
      <c:valAx>
        <c:axId val="14051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508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Comparación en ESP8266</a:t>
            </a:r>
          </a:p>
        </c:rich>
      </c:tx>
      <c:layout>
        <c:manualLayout>
          <c:xMode val="edge"/>
          <c:yMode val="edge"/>
          <c:x val="0.14891516706623764"/>
          <c:y val="4.3872332991500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Mega!$B$2</c:f>
              <c:strCache>
                <c:ptCount val="1"/>
                <c:pt idx="0">
                  <c:v>Eloquent Tiny ML</c:v>
                </c:pt>
              </c:strCache>
            </c:strRef>
          </c:tx>
          <c:spPr>
            <a:solidFill>
              <a:srgbClr val="B686DA"/>
            </a:solidFill>
            <a:ln>
              <a:noFill/>
            </a:ln>
            <a:effectLst/>
          </c:spPr>
          <c:invertIfNegative val="0"/>
          <c:cat>
            <c:strRef>
              <c:f>Mega!$G$1:$I$1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Mega!$G$2:$I$2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C24B-4592-AD19-B9E5A7E2D415}"/>
            </c:ext>
          </c:extLst>
        </c:ser>
        <c:ser>
          <c:idx val="1"/>
          <c:order val="1"/>
          <c:tx>
            <c:strRef>
              <c:f>Mega!$B$3</c:f>
              <c:strCache>
                <c:ptCount val="1"/>
                <c:pt idx="0">
                  <c:v>Google Tensorflow Lite</c:v>
                </c:pt>
              </c:strCache>
            </c:strRef>
          </c:tx>
          <c:spPr>
            <a:solidFill>
              <a:srgbClr val="93ADDD"/>
            </a:solidFill>
            <a:ln>
              <a:noFill/>
            </a:ln>
            <a:effectLst/>
          </c:spPr>
          <c:invertIfNegative val="0"/>
          <c:cat>
            <c:strRef>
              <c:f>Mega!$G$1:$I$1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Mega!$G$3:$I$3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C24B-4592-AD19-B9E5A7E2D415}"/>
            </c:ext>
          </c:extLst>
        </c:ser>
        <c:ser>
          <c:idx val="2"/>
          <c:order val="2"/>
          <c:tx>
            <c:strRef>
              <c:f>Mega!$B$4</c:f>
              <c:strCache>
                <c:ptCount val="1"/>
                <c:pt idx="0">
                  <c:v>uTensor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Mega!$G$1:$I$1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Mega!$G$4:$I$4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C24B-4592-AD19-B9E5A7E2D415}"/>
            </c:ext>
          </c:extLst>
        </c:ser>
        <c:ser>
          <c:idx val="3"/>
          <c:order val="3"/>
          <c:tx>
            <c:strRef>
              <c:f>Mega!$B$5</c:f>
              <c:strCache>
                <c:ptCount val="1"/>
                <c:pt idx="0">
                  <c:v>Embedia NN - Float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Mega!$G$1:$I$1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Mega!$G$5:$I$5</c:f>
              <c:numCache>
                <c:formatCode>0.00</c:formatCode>
                <c:ptCount val="3"/>
                <c:pt idx="0">
                  <c:v>90.631698398688684</c:v>
                </c:pt>
                <c:pt idx="1">
                  <c:v>100</c:v>
                </c:pt>
                <c:pt idx="2">
                  <c:v>86.374244920373428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4B-4592-AD19-B9E5A7E2D415}"/>
            </c:ext>
          </c:extLst>
        </c:ser>
        <c:ser>
          <c:idx val="4"/>
          <c:order val="4"/>
          <c:tx>
            <c:strRef>
              <c:f>Mega!$B$6</c:f>
              <c:strCache>
                <c:ptCount val="1"/>
                <c:pt idx="0">
                  <c:v>Embedia NN - Fixed32</c:v>
                </c:pt>
              </c:strCache>
            </c:strRef>
          </c:tx>
          <c:spPr>
            <a:solidFill>
              <a:srgbClr val="FFBC79"/>
            </a:solidFill>
            <a:ln>
              <a:noFill/>
            </a:ln>
            <a:effectLst/>
          </c:spPr>
          <c:invertIfNegative val="0"/>
          <c:cat>
            <c:strRef>
              <c:f>Mega!$G$1:$I$1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Mega!$G$6:$I$6</c:f>
              <c:numCache>
                <c:formatCode>0.00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4B-4592-AD19-B9E5A7E2D415}"/>
            </c:ext>
          </c:extLst>
        </c:ser>
        <c:ser>
          <c:idx val="5"/>
          <c:order val="5"/>
          <c:tx>
            <c:strRef>
              <c:f>Mega!$B$7</c:f>
              <c:strCache>
                <c:ptCount val="1"/>
                <c:pt idx="0">
                  <c:v>Embedia NN - Fixed16</c:v>
                </c:pt>
              </c:strCache>
            </c:strRef>
          </c:tx>
          <c:spPr>
            <a:solidFill>
              <a:srgbClr val="FF8C79"/>
            </a:solidFill>
            <a:ln>
              <a:solidFill>
                <a:srgbClr val="EEA400"/>
              </a:solidFill>
            </a:ln>
            <a:effectLst/>
          </c:spPr>
          <c:invertIfNegative val="0"/>
          <c:cat>
            <c:strRef>
              <c:f>Mega!$G$1:$I$1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Mega!$G$7:$I$7</c:f>
              <c:numCache>
                <c:formatCode>0.00</c:formatCode>
                <c:ptCount val="3"/>
                <c:pt idx="0">
                  <c:v>73.49640650611525</c:v>
                </c:pt>
                <c:pt idx="1">
                  <c:v>52.814674256799492</c:v>
                </c:pt>
                <c:pt idx="2">
                  <c:v>43.196274940508879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4B-4592-AD19-B9E5A7E2D415}"/>
            </c:ext>
          </c:extLst>
        </c:ser>
        <c:ser>
          <c:idx val="6"/>
          <c:order val="6"/>
          <c:tx>
            <c:strRef>
              <c:f>Mega!$B$8</c:f>
              <c:strCache>
                <c:ptCount val="1"/>
                <c:pt idx="0">
                  <c:v>Embedia NN - Fixed8</c:v>
                </c:pt>
              </c:strCache>
            </c:strRef>
          </c:tx>
          <c:spPr>
            <a:solidFill>
              <a:srgbClr val="FE5050"/>
            </a:solidFill>
            <a:ln>
              <a:noFill/>
            </a:ln>
            <a:effectLst/>
          </c:spPr>
          <c:invertIfNegative val="0"/>
          <c:cat>
            <c:strRef>
              <c:f>Mega!$G$1:$I$1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Mega!$G$8:$I$8</c:f>
              <c:numCache>
                <c:formatCode>0.00</c:formatCode>
                <c:ptCount val="3"/>
                <c:pt idx="0">
                  <c:v>61.127222292270837</c:v>
                </c:pt>
                <c:pt idx="1">
                  <c:v>29.247311827956988</c:v>
                </c:pt>
                <c:pt idx="2">
                  <c:v>17.413737872963573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4B-4592-AD19-B9E5A7E2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757663"/>
        <c:axId val="1435754751"/>
      </c:barChart>
      <c:catAx>
        <c:axId val="14357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5754751"/>
        <c:crosses val="autoZero"/>
        <c:auto val="1"/>
        <c:lblAlgn val="ctr"/>
        <c:lblOffset val="100"/>
        <c:noMultiLvlLbl val="0"/>
      </c:catAx>
      <c:valAx>
        <c:axId val="143575475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5757663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Comparación en ESP8266</a:t>
            </a:r>
          </a:p>
        </c:rich>
      </c:tx>
      <c:layout>
        <c:manualLayout>
          <c:xMode val="edge"/>
          <c:yMode val="edge"/>
          <c:x val="0.14891516706623764"/>
          <c:y val="4.3872332991500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'STM32'!$B$2</c:f>
              <c:strCache>
                <c:ptCount val="1"/>
                <c:pt idx="0">
                  <c:v>Eloquent Tiny ML</c:v>
                </c:pt>
              </c:strCache>
            </c:strRef>
          </c:tx>
          <c:spPr>
            <a:solidFill>
              <a:srgbClr val="B686DA"/>
            </a:solidFill>
            <a:ln>
              <a:noFill/>
            </a:ln>
            <a:effectLst/>
          </c:spPr>
          <c:invertIfNegative val="0"/>
          <c:cat>
            <c:strRef>
              <c:f>'STM32'!$G$1:$I$1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'STM32'!$G$2:$I$2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3E57-4622-8572-64E1EB44977D}"/>
            </c:ext>
          </c:extLst>
        </c:ser>
        <c:ser>
          <c:idx val="1"/>
          <c:order val="1"/>
          <c:tx>
            <c:strRef>
              <c:f>'STM32'!$B$3</c:f>
              <c:strCache>
                <c:ptCount val="1"/>
                <c:pt idx="0">
                  <c:v>Google Tensorflow Lite</c:v>
                </c:pt>
              </c:strCache>
            </c:strRef>
          </c:tx>
          <c:spPr>
            <a:solidFill>
              <a:srgbClr val="93ADDD"/>
            </a:solidFill>
            <a:ln>
              <a:noFill/>
            </a:ln>
            <a:effectLst/>
          </c:spPr>
          <c:invertIfNegative val="0"/>
          <c:cat>
            <c:strRef>
              <c:f>'STM32'!$G$1:$I$1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'STM32'!$G$3:$I$3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3E57-4622-8572-64E1EB44977D}"/>
            </c:ext>
          </c:extLst>
        </c:ser>
        <c:ser>
          <c:idx val="2"/>
          <c:order val="2"/>
          <c:tx>
            <c:strRef>
              <c:f>'STM32'!$B$4</c:f>
              <c:strCache>
                <c:ptCount val="1"/>
                <c:pt idx="0">
                  <c:v>uTensor (microTensor)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'STM32'!$G$1:$I$1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'STM32'!$G$4:$I$4</c:f>
              <c:numCache>
                <c:formatCode>0.00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60.453528574333944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7-4622-8572-64E1EB44977D}"/>
            </c:ext>
          </c:extLst>
        </c:ser>
        <c:ser>
          <c:idx val="3"/>
          <c:order val="3"/>
          <c:tx>
            <c:strRef>
              <c:f>'STM32'!$B$5</c:f>
              <c:strCache>
                <c:ptCount val="1"/>
                <c:pt idx="0">
                  <c:v>Embedia NN - Float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'STM32'!$G$1:$I$1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'STM32'!$G$5:$I$5</c:f>
              <c:numCache>
                <c:formatCode>0.00</c:formatCode>
                <c:ptCount val="3"/>
                <c:pt idx="0">
                  <c:v>73.59740097463451</c:v>
                </c:pt>
                <c:pt idx="1">
                  <c:v>38.192090395480228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57-4622-8572-64E1EB44977D}"/>
            </c:ext>
          </c:extLst>
        </c:ser>
        <c:ser>
          <c:idx val="4"/>
          <c:order val="4"/>
          <c:tx>
            <c:strRef>
              <c:f>'STM32'!$B$6</c:f>
              <c:strCache>
                <c:ptCount val="1"/>
                <c:pt idx="0">
                  <c:v>Embedia NN - Fixed32</c:v>
                </c:pt>
              </c:strCache>
            </c:strRef>
          </c:tx>
          <c:spPr>
            <a:solidFill>
              <a:srgbClr val="FFBC79"/>
            </a:solidFill>
            <a:ln>
              <a:noFill/>
            </a:ln>
            <a:effectLst/>
          </c:spPr>
          <c:invertIfNegative val="0"/>
          <c:cat>
            <c:strRef>
              <c:f>'STM32'!$G$1:$I$1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'STM32'!$G$6:$I$6</c:f>
              <c:numCache>
                <c:formatCode>0.00</c:formatCode>
                <c:ptCount val="3"/>
                <c:pt idx="0">
                  <c:v>60.852180432337875</c:v>
                </c:pt>
                <c:pt idx="1">
                  <c:v>38.135593220338983</c:v>
                </c:pt>
                <c:pt idx="2">
                  <c:v>27.923530608094367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57-4622-8572-64E1EB44977D}"/>
            </c:ext>
          </c:extLst>
        </c:ser>
        <c:ser>
          <c:idx val="5"/>
          <c:order val="5"/>
          <c:tx>
            <c:strRef>
              <c:f>'STM32'!$B$7</c:f>
              <c:strCache>
                <c:ptCount val="1"/>
                <c:pt idx="0">
                  <c:v>Embedia NN - Fixed16</c:v>
                </c:pt>
              </c:strCache>
            </c:strRef>
          </c:tx>
          <c:spPr>
            <a:solidFill>
              <a:srgbClr val="FF8C79"/>
            </a:solidFill>
            <a:ln>
              <a:solidFill>
                <a:srgbClr val="EEA400"/>
              </a:solidFill>
            </a:ln>
            <a:effectLst/>
          </c:spPr>
          <c:invertIfNegative val="0"/>
          <c:cat>
            <c:strRef>
              <c:f>'STM32'!$G$1:$I$1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'STM32'!$G$7:$I$7</c:f>
              <c:numCache>
                <c:formatCode>0.00</c:formatCode>
                <c:ptCount val="3"/>
                <c:pt idx="0">
                  <c:v>49.706360114956894</c:v>
                </c:pt>
                <c:pt idx="1">
                  <c:v>22.09039548022599</c:v>
                </c:pt>
                <c:pt idx="2">
                  <c:v>24.903396379906447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57-4622-8572-64E1EB44977D}"/>
            </c:ext>
          </c:extLst>
        </c:ser>
        <c:ser>
          <c:idx val="6"/>
          <c:order val="6"/>
          <c:tx>
            <c:strRef>
              <c:f>'STM32'!$B$8</c:f>
              <c:strCache>
                <c:ptCount val="1"/>
                <c:pt idx="0">
                  <c:v>Embedia NN - Fixed8</c:v>
                </c:pt>
              </c:strCache>
            </c:strRef>
          </c:tx>
          <c:spPr>
            <a:solidFill>
              <a:srgbClr val="FE5050"/>
            </a:solidFill>
            <a:ln>
              <a:noFill/>
            </a:ln>
            <a:effectLst/>
          </c:spPr>
          <c:invertIfNegative val="0"/>
          <c:cat>
            <c:strRef>
              <c:f>'STM32'!$G$1:$I$1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'STM32'!$G$8:$I$8</c:f>
              <c:numCache>
                <c:formatCode>0.00</c:formatCode>
                <c:ptCount val="3"/>
                <c:pt idx="0">
                  <c:v>45.795326752467822</c:v>
                </c:pt>
                <c:pt idx="1">
                  <c:v>14.067796610169491</c:v>
                </c:pt>
                <c:pt idx="2">
                  <c:v>24.242424242424242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57-4622-8572-64E1EB449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757663"/>
        <c:axId val="1435754751"/>
      </c:barChart>
      <c:catAx>
        <c:axId val="14357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5754751"/>
        <c:crosses val="autoZero"/>
        <c:auto val="1"/>
        <c:lblAlgn val="ctr"/>
        <c:lblOffset val="100"/>
        <c:noMultiLvlLbl val="0"/>
      </c:catAx>
      <c:valAx>
        <c:axId val="143575475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5757663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Comparación en ESP8266</a:t>
            </a:r>
          </a:p>
        </c:rich>
      </c:tx>
      <c:layout>
        <c:manualLayout>
          <c:xMode val="edge"/>
          <c:yMode val="edge"/>
          <c:x val="0.14891516706623764"/>
          <c:y val="4.3872332991500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'ESP8266'!$B$2</c:f>
              <c:strCache>
                <c:ptCount val="1"/>
                <c:pt idx="0">
                  <c:v>Eloquent Tiny ML</c:v>
                </c:pt>
              </c:strCache>
            </c:strRef>
          </c:tx>
          <c:spPr>
            <a:solidFill>
              <a:srgbClr val="B686DA"/>
            </a:solidFill>
            <a:ln>
              <a:noFill/>
            </a:ln>
            <a:effectLst/>
          </c:spPr>
          <c:invertIfNegative val="0"/>
          <c:cat>
            <c:strRef>
              <c:f>'ESP8266'!$G$1:$I$1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'ESP8266'!$G$2:$I$2</c:f>
              <c:numCache>
                <c:formatCode>0.00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99.84414234998701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4-4B37-B7C3-90926C4B1C12}"/>
            </c:ext>
          </c:extLst>
        </c:ser>
        <c:ser>
          <c:idx val="1"/>
          <c:order val="1"/>
          <c:tx>
            <c:strRef>
              <c:f>'ESP8266'!$B$3</c:f>
              <c:strCache>
                <c:ptCount val="1"/>
                <c:pt idx="0">
                  <c:v>Google Tensorflow Lite</c:v>
                </c:pt>
              </c:strCache>
            </c:strRef>
          </c:tx>
          <c:spPr>
            <a:solidFill>
              <a:srgbClr val="93ADDD"/>
            </a:solidFill>
            <a:ln>
              <a:noFill/>
            </a:ln>
            <a:effectLst/>
          </c:spPr>
          <c:invertIfNegative val="0"/>
          <c:cat>
            <c:strRef>
              <c:f>'ESP8266'!$G$1:$I$1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'ESP8266'!$G$3:$I$3</c:f>
              <c:numCache>
                <c:formatCode>0.00</c:formatCode>
                <c:ptCount val="3"/>
                <c:pt idx="0">
                  <c:v>88.818533745461096</c:v>
                </c:pt>
                <c:pt idx="1">
                  <c:v>93.231915554175728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4-4B37-B7C3-90926C4B1C12}"/>
            </c:ext>
          </c:extLst>
        </c:ser>
        <c:ser>
          <c:idx val="2"/>
          <c:order val="2"/>
          <c:tx>
            <c:strRef>
              <c:f>'ESP8266'!$B$4</c:f>
              <c:strCache>
                <c:ptCount val="1"/>
                <c:pt idx="0">
                  <c:v>uTensor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'ESP8266'!$G$1:$I$1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'ESP8266'!$G$4:$I$4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4-4B37-B7C3-90926C4B1C12}"/>
            </c:ext>
          </c:extLst>
        </c:ser>
        <c:ser>
          <c:idx val="3"/>
          <c:order val="3"/>
          <c:tx>
            <c:strRef>
              <c:f>'ESP8266'!$B$5</c:f>
              <c:strCache>
                <c:ptCount val="1"/>
                <c:pt idx="0">
                  <c:v>Embedia NN - Float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'ESP8266'!$G$1:$I$1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'ESP8266'!$G$5:$I$5</c:f>
              <c:numCache>
                <c:formatCode>0.00</c:formatCode>
                <c:ptCount val="3"/>
                <c:pt idx="0">
                  <c:v>13.153077454010743</c:v>
                </c:pt>
                <c:pt idx="1">
                  <c:v>31.248059608817137</c:v>
                </c:pt>
                <c:pt idx="2">
                  <c:v>71.11438219759286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A4-4B37-B7C3-90926C4B1C12}"/>
            </c:ext>
          </c:extLst>
        </c:ser>
        <c:ser>
          <c:idx val="4"/>
          <c:order val="4"/>
          <c:tx>
            <c:strRef>
              <c:f>'ESP8266'!$B$6</c:f>
              <c:strCache>
                <c:ptCount val="1"/>
                <c:pt idx="0">
                  <c:v>Embedia NN - Fixed32</c:v>
                </c:pt>
              </c:strCache>
            </c:strRef>
          </c:tx>
          <c:spPr>
            <a:solidFill>
              <a:srgbClr val="FFBC79"/>
            </a:solidFill>
            <a:ln>
              <a:noFill/>
            </a:ln>
            <a:effectLst/>
          </c:spPr>
          <c:invertIfNegative val="0"/>
          <c:cat>
            <c:strRef>
              <c:f>'ESP8266'!$G$1:$I$1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'ESP8266'!$G$6:$I$6</c:f>
              <c:numCache>
                <c:formatCode>0.00</c:formatCode>
                <c:ptCount val="3"/>
                <c:pt idx="0">
                  <c:v>12.246796506917144</c:v>
                </c:pt>
                <c:pt idx="1">
                  <c:v>31.185967090965537</c:v>
                </c:pt>
                <c:pt idx="2">
                  <c:v>43.39769677028314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A4-4B37-B7C3-90926C4B1C12}"/>
            </c:ext>
          </c:extLst>
        </c:ser>
        <c:ser>
          <c:idx val="5"/>
          <c:order val="5"/>
          <c:tx>
            <c:strRef>
              <c:f>'ESP8266'!$B$7</c:f>
              <c:strCache>
                <c:ptCount val="1"/>
                <c:pt idx="0">
                  <c:v>Embedia NN - Fixed16</c:v>
                </c:pt>
              </c:strCache>
            </c:strRef>
          </c:tx>
          <c:spPr>
            <a:solidFill>
              <a:srgbClr val="FF8C79"/>
            </a:solidFill>
            <a:ln>
              <a:solidFill>
                <a:srgbClr val="EEA400"/>
              </a:solidFill>
            </a:ln>
            <a:effectLst/>
          </c:spPr>
          <c:invertIfNegative val="0"/>
          <c:cat>
            <c:strRef>
              <c:f>'ESP8266'!$G$1:$I$1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'ESP8266'!$G$7:$I$7</c:f>
              <c:numCache>
                <c:formatCode>0.00</c:formatCode>
                <c:ptCount val="3"/>
                <c:pt idx="0">
                  <c:v>10.122137862737448</c:v>
                </c:pt>
                <c:pt idx="1">
                  <c:v>17.401428127910588</c:v>
                </c:pt>
                <c:pt idx="2">
                  <c:v>12.892891159407741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A4-4B37-B7C3-90926C4B1C12}"/>
            </c:ext>
          </c:extLst>
        </c:ser>
        <c:ser>
          <c:idx val="6"/>
          <c:order val="6"/>
          <c:tx>
            <c:strRef>
              <c:f>'ESP8266'!$B$8</c:f>
              <c:strCache>
                <c:ptCount val="1"/>
                <c:pt idx="0">
                  <c:v>Embedia NN - Fixed8</c:v>
                </c:pt>
              </c:strCache>
            </c:strRef>
          </c:tx>
          <c:spPr>
            <a:solidFill>
              <a:srgbClr val="FE5050"/>
            </a:solidFill>
            <a:ln>
              <a:noFill/>
            </a:ln>
            <a:effectLst/>
          </c:spPr>
          <c:invertIfNegative val="0"/>
          <c:cat>
            <c:strRef>
              <c:f>'ESP8266'!$G$1:$I$1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'ESP8266'!$G$8:$I$8</c:f>
              <c:numCache>
                <c:formatCode>0.00</c:formatCode>
                <c:ptCount val="3"/>
                <c:pt idx="0">
                  <c:v>9.2368634276625752</c:v>
                </c:pt>
                <c:pt idx="1">
                  <c:v>12.294318534616579</c:v>
                </c:pt>
                <c:pt idx="2">
                  <c:v>14.763182959563599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A4-4B37-B7C3-90926C4B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757663"/>
        <c:axId val="1435754751"/>
      </c:barChart>
      <c:catAx>
        <c:axId val="14357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5754751"/>
        <c:crosses val="autoZero"/>
        <c:auto val="1"/>
        <c:lblAlgn val="ctr"/>
        <c:lblOffset val="100"/>
        <c:noMultiLvlLbl val="0"/>
      </c:catAx>
      <c:valAx>
        <c:axId val="143575475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5757663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Comparación en ESP32</a:t>
            </a:r>
          </a:p>
        </c:rich>
      </c:tx>
      <c:layout>
        <c:manualLayout>
          <c:xMode val="edge"/>
          <c:yMode val="edge"/>
          <c:x val="0.14891516706623764"/>
          <c:y val="4.3872332991500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'ESP32'!$B$2</c:f>
              <c:strCache>
                <c:ptCount val="1"/>
                <c:pt idx="0">
                  <c:v>Eloquent Tiny ML</c:v>
                </c:pt>
              </c:strCache>
            </c:strRef>
          </c:tx>
          <c:spPr>
            <a:solidFill>
              <a:srgbClr val="B686DA"/>
            </a:solidFill>
            <a:ln>
              <a:noFill/>
            </a:ln>
            <a:effectLst/>
          </c:spPr>
          <c:invertIfNegative val="0"/>
          <c:cat>
            <c:strRef>
              <c:f>'ESP32'!$G$1:$I$1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'ESP32'!$G$2:$I$2</c:f>
              <c:numCache>
                <c:formatCode>0.00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7-4D3F-88C3-A9681901DC2D}"/>
            </c:ext>
          </c:extLst>
        </c:ser>
        <c:ser>
          <c:idx val="1"/>
          <c:order val="1"/>
          <c:tx>
            <c:strRef>
              <c:f>'ESP32'!$B$3</c:f>
              <c:strCache>
                <c:ptCount val="1"/>
                <c:pt idx="0">
                  <c:v>Google Tensorflow Lite</c:v>
                </c:pt>
              </c:strCache>
            </c:strRef>
          </c:tx>
          <c:spPr>
            <a:solidFill>
              <a:srgbClr val="93ADDD"/>
            </a:solidFill>
            <a:ln>
              <a:noFill/>
            </a:ln>
            <a:effectLst/>
          </c:spPr>
          <c:invertIfNegative val="0"/>
          <c:cat>
            <c:strRef>
              <c:f>'ESP32'!$G$1:$I$1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'ESP32'!$G$3:$I$3</c:f>
              <c:numCache>
                <c:formatCode>0.00</c:formatCode>
                <c:ptCount val="3"/>
                <c:pt idx="0">
                  <c:v>94.960960407892244</c:v>
                </c:pt>
                <c:pt idx="1">
                  <c:v>68.635131063573368</c:v>
                </c:pt>
                <c:pt idx="2">
                  <c:v>42.122015915119363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7-4D3F-88C3-A9681901DC2D}"/>
            </c:ext>
          </c:extLst>
        </c:ser>
        <c:ser>
          <c:idx val="2"/>
          <c:order val="2"/>
          <c:tx>
            <c:strRef>
              <c:f>'ESP32'!$B$4</c:f>
              <c:strCache>
                <c:ptCount val="1"/>
                <c:pt idx="0">
                  <c:v>uTensor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'ESP32'!$G$1:$I$1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'ESP32'!$G$4:$I$4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7-4D3F-88C3-A9681901DC2D}"/>
            </c:ext>
          </c:extLst>
        </c:ser>
        <c:ser>
          <c:idx val="3"/>
          <c:order val="3"/>
          <c:tx>
            <c:strRef>
              <c:f>'ESP32'!$B$5</c:f>
              <c:strCache>
                <c:ptCount val="1"/>
                <c:pt idx="0">
                  <c:v>Embedia NN - Float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'ESP32'!$G$1:$I$1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'ESP32'!$G$5:$I$5</c:f>
              <c:numCache>
                <c:formatCode>0.00</c:formatCode>
                <c:ptCount val="3"/>
                <c:pt idx="0">
                  <c:v>9.4451095095696687</c:v>
                </c:pt>
                <c:pt idx="1">
                  <c:v>22.446520036155469</c:v>
                </c:pt>
                <c:pt idx="2">
                  <c:v>15.066312997347481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7-4D3F-88C3-A9681901DC2D}"/>
            </c:ext>
          </c:extLst>
        </c:ser>
        <c:ser>
          <c:idx val="4"/>
          <c:order val="4"/>
          <c:tx>
            <c:strRef>
              <c:f>'ESP32'!$B$6</c:f>
              <c:strCache>
                <c:ptCount val="1"/>
                <c:pt idx="0">
                  <c:v>Embedia NN - Fixed32</c:v>
                </c:pt>
              </c:strCache>
            </c:strRef>
          </c:tx>
          <c:spPr>
            <a:solidFill>
              <a:srgbClr val="FFBC79"/>
            </a:solidFill>
            <a:ln>
              <a:noFill/>
            </a:ln>
            <a:effectLst/>
          </c:spPr>
          <c:invertIfNegative val="0"/>
          <c:cat>
            <c:strRef>
              <c:f>'ESP32'!$G$1:$I$1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'ESP32'!$G$6:$I$6</c:f>
              <c:numCache>
                <c:formatCode>0.00</c:formatCode>
                <c:ptCount val="3"/>
                <c:pt idx="0">
                  <c:v>9.0883976561704856</c:v>
                </c:pt>
                <c:pt idx="1">
                  <c:v>22.41639047905996</c:v>
                </c:pt>
                <c:pt idx="2">
                  <c:v>18.090185676392572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7-4D3F-88C3-A9681901DC2D}"/>
            </c:ext>
          </c:extLst>
        </c:ser>
        <c:ser>
          <c:idx val="5"/>
          <c:order val="5"/>
          <c:tx>
            <c:strRef>
              <c:f>'ESP32'!$B$7</c:f>
              <c:strCache>
                <c:ptCount val="1"/>
                <c:pt idx="0">
                  <c:v>Embedia NN - Fixed16</c:v>
                </c:pt>
              </c:strCache>
            </c:strRef>
          </c:tx>
          <c:spPr>
            <a:solidFill>
              <a:srgbClr val="FF8C79"/>
            </a:solidFill>
            <a:ln>
              <a:solidFill>
                <a:srgbClr val="EEA400"/>
              </a:solidFill>
            </a:ln>
            <a:effectLst/>
          </c:spPr>
          <c:invertIfNegative val="0"/>
          <c:cat>
            <c:strRef>
              <c:f>'ESP32'!$G$1:$I$1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'ESP32'!$G$7:$I$7</c:f>
              <c:numCache>
                <c:formatCode>0.00</c:formatCode>
                <c:ptCount val="3"/>
                <c:pt idx="0">
                  <c:v>7.8457221234048538</c:v>
                </c:pt>
                <c:pt idx="1">
                  <c:v>13.85959626393492</c:v>
                </c:pt>
                <c:pt idx="2">
                  <c:v>19.469496021220159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7-4D3F-88C3-A9681901DC2D}"/>
            </c:ext>
          </c:extLst>
        </c:ser>
        <c:ser>
          <c:idx val="6"/>
          <c:order val="6"/>
          <c:tx>
            <c:strRef>
              <c:f>'ESP32'!$B$8</c:f>
              <c:strCache>
                <c:ptCount val="1"/>
                <c:pt idx="0">
                  <c:v>Embedia NN - Fixed8</c:v>
                </c:pt>
              </c:strCache>
            </c:strRef>
          </c:tx>
          <c:spPr>
            <a:solidFill>
              <a:srgbClr val="FE5050"/>
            </a:solidFill>
            <a:ln>
              <a:noFill/>
            </a:ln>
            <a:effectLst/>
          </c:spPr>
          <c:invertIfNegative val="0"/>
          <c:cat>
            <c:strRef>
              <c:f>'ESP32'!$G$1:$I$1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'ESP32'!$G$8:$I$8</c:f>
              <c:numCache>
                <c:formatCode>0.00</c:formatCode>
                <c:ptCount val="3"/>
                <c:pt idx="0">
                  <c:v>7.2137217744476052</c:v>
                </c:pt>
                <c:pt idx="1">
                  <c:v>9.581199156372401</c:v>
                </c:pt>
                <c:pt idx="2">
                  <c:v>19.151193633952253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7-4D3F-88C3-A9681901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757663"/>
        <c:axId val="1435754751"/>
      </c:barChart>
      <c:catAx>
        <c:axId val="14357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5754751"/>
        <c:crosses val="autoZero"/>
        <c:auto val="1"/>
        <c:lblAlgn val="ctr"/>
        <c:lblOffset val="100"/>
        <c:noMultiLvlLbl val="0"/>
      </c:catAx>
      <c:valAx>
        <c:axId val="143575475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5757663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Comparación en RP2040</a:t>
            </a:r>
          </a:p>
        </c:rich>
      </c:tx>
      <c:layout>
        <c:manualLayout>
          <c:xMode val="edge"/>
          <c:yMode val="edge"/>
          <c:x val="0.32348328978172103"/>
          <c:y val="4.3872370431308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RaspiPico!$B$2</c:f>
              <c:strCache>
                <c:ptCount val="1"/>
                <c:pt idx="0">
                  <c:v>Eloquent Tiny ML</c:v>
                </c:pt>
              </c:strCache>
            </c:strRef>
          </c:tx>
          <c:spPr>
            <a:solidFill>
              <a:srgbClr val="B686DA"/>
            </a:solidFill>
            <a:ln>
              <a:noFill/>
            </a:ln>
            <a:effectLst/>
          </c:spPr>
          <c:invertIfNegative val="0"/>
          <c:cat>
            <c:strRef>
              <c:f>RaspiPico!$G$1:$I$1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RaspiPico!$G$2:$I$2</c:f>
              <c:numCache>
                <c:formatCode>0.00</c:formatCode>
                <c:ptCount val="3"/>
                <c:pt idx="0">
                  <c:v>70.243372839952954</c:v>
                </c:pt>
                <c:pt idx="1">
                  <c:v>94.176214934808371</c:v>
                </c:pt>
                <c:pt idx="2">
                  <c:v>78.25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6-4038-9850-5282AAC4A054}"/>
            </c:ext>
          </c:extLst>
        </c:ser>
        <c:ser>
          <c:idx val="1"/>
          <c:order val="1"/>
          <c:tx>
            <c:strRef>
              <c:f>RaspiPico!$B$3</c:f>
              <c:strCache>
                <c:ptCount val="1"/>
                <c:pt idx="0">
                  <c:v>Google Tensorflow Lite</c:v>
                </c:pt>
              </c:strCache>
            </c:strRef>
          </c:tx>
          <c:spPr>
            <a:solidFill>
              <a:srgbClr val="93ADDD"/>
            </a:solidFill>
            <a:ln>
              <a:noFill/>
            </a:ln>
            <a:effectLst/>
          </c:spPr>
          <c:invertIfNegative val="0"/>
          <c:cat>
            <c:strRef>
              <c:f>RaspiPico!$G$1:$I$1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RaspiPico!$G$3:$I$3</c:f>
              <c:numCache>
                <c:formatCode>0.00</c:formatCode>
                <c:ptCount val="3"/>
                <c:pt idx="0">
                  <c:v>100</c:v>
                </c:pt>
                <c:pt idx="1">
                  <c:v>88.976689055709201</c:v>
                </c:pt>
                <c:pt idx="2">
                  <c:v>66.231707317073173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6-4038-9850-5282AAC4A054}"/>
            </c:ext>
          </c:extLst>
        </c:ser>
        <c:ser>
          <c:idx val="2"/>
          <c:order val="2"/>
          <c:tx>
            <c:strRef>
              <c:f>RaspiPico!$B$4</c:f>
              <c:strCache>
                <c:ptCount val="1"/>
                <c:pt idx="0">
                  <c:v>uTensor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RaspiPico!$G$1:$I$1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RaspiPico!$G$4:$I$4</c:f>
              <c:numCache>
                <c:formatCode>0.00</c:formatCode>
                <c:ptCount val="3"/>
                <c:pt idx="0">
                  <c:v>22.494647003830032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06-4038-9850-5282AAC4A054}"/>
            </c:ext>
          </c:extLst>
        </c:ser>
        <c:ser>
          <c:idx val="3"/>
          <c:order val="3"/>
          <c:tx>
            <c:strRef>
              <c:f>RaspiPico!$B$5</c:f>
              <c:strCache>
                <c:ptCount val="1"/>
                <c:pt idx="0">
                  <c:v>Embedia NN - Float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RaspiPico!$G$1:$I$1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RaspiPico!$G$5:$I$5</c:f>
              <c:numCache>
                <c:formatCode>0.00</c:formatCode>
                <c:ptCount val="3"/>
                <c:pt idx="0">
                  <c:v>7.3645164208812091</c:v>
                </c:pt>
                <c:pt idx="1">
                  <c:v>74.10509679968392</c:v>
                </c:pt>
                <c:pt idx="2">
                  <c:v>57.731707317073173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06-4038-9850-5282AAC4A054}"/>
            </c:ext>
          </c:extLst>
        </c:ser>
        <c:ser>
          <c:idx val="4"/>
          <c:order val="4"/>
          <c:tx>
            <c:strRef>
              <c:f>RaspiPico!$B$6</c:f>
              <c:strCache>
                <c:ptCount val="1"/>
                <c:pt idx="0">
                  <c:v>Embedia NN - Fixed32</c:v>
                </c:pt>
              </c:strCache>
            </c:strRef>
          </c:tx>
          <c:spPr>
            <a:solidFill>
              <a:srgbClr val="FFBC79"/>
            </a:solidFill>
            <a:ln>
              <a:noFill/>
            </a:ln>
            <a:effectLst/>
          </c:spPr>
          <c:invertIfNegative val="0"/>
          <c:cat>
            <c:strRef>
              <c:f>RaspiPico!$G$1:$I$1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RaspiPico!$G$6:$I$6</c:f>
              <c:numCache>
                <c:formatCode>0.00</c:formatCode>
                <c:ptCount val="3"/>
                <c:pt idx="0">
                  <c:v>4.8795198890195728</c:v>
                </c:pt>
                <c:pt idx="1">
                  <c:v>59.186092453575661</c:v>
                </c:pt>
                <c:pt idx="2">
                  <c:v>19.762195121951219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06-4038-9850-5282AAC4A054}"/>
            </c:ext>
          </c:extLst>
        </c:ser>
        <c:ser>
          <c:idx val="5"/>
          <c:order val="5"/>
          <c:tx>
            <c:strRef>
              <c:f>RaspiPico!$B$7</c:f>
              <c:strCache>
                <c:ptCount val="1"/>
                <c:pt idx="0">
                  <c:v>Embedia NN - Fixed16</c:v>
                </c:pt>
              </c:strCache>
            </c:strRef>
          </c:tx>
          <c:spPr>
            <a:solidFill>
              <a:srgbClr val="FF8C79"/>
            </a:solidFill>
            <a:ln>
              <a:solidFill>
                <a:srgbClr val="EEA400"/>
              </a:solidFill>
            </a:ln>
            <a:effectLst/>
          </c:spPr>
          <c:invertIfNegative val="0"/>
          <c:cat>
            <c:strRef>
              <c:f>RaspiPico!$G$1:$I$1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RaspiPico!$G$7:$I$7</c:f>
              <c:numCache>
                <c:formatCode>0.00</c:formatCode>
                <c:ptCount val="3"/>
                <c:pt idx="0">
                  <c:v>4.6684158147109382</c:v>
                </c:pt>
                <c:pt idx="1">
                  <c:v>33.899644409324381</c:v>
                </c:pt>
                <c:pt idx="2">
                  <c:v>7.6707317073170733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06-4038-9850-5282AAC4A054}"/>
            </c:ext>
          </c:extLst>
        </c:ser>
        <c:ser>
          <c:idx val="6"/>
          <c:order val="6"/>
          <c:tx>
            <c:strRef>
              <c:f>RaspiPico!$B$8</c:f>
              <c:strCache>
                <c:ptCount val="1"/>
                <c:pt idx="0">
                  <c:v>Embedia NN - Fixed8</c:v>
                </c:pt>
              </c:strCache>
            </c:strRef>
          </c:tx>
          <c:spPr>
            <a:solidFill>
              <a:srgbClr val="FE5050"/>
            </a:solidFill>
            <a:ln>
              <a:noFill/>
            </a:ln>
            <a:effectLst/>
          </c:spPr>
          <c:invertIfNegative val="0"/>
          <c:cat>
            <c:strRef>
              <c:f>RaspiPico!$G$1:$I$1</c:f>
              <c:strCache>
                <c:ptCount val="3"/>
                <c:pt idx="0">
                  <c:v>Memoria de Programa</c:v>
                </c:pt>
                <c:pt idx="1">
                  <c:v>Memoria de Datos </c:v>
                </c:pt>
                <c:pt idx="2">
                  <c:v>Tiempo de Inferencia</c:v>
                </c:pt>
              </c:strCache>
            </c:strRef>
          </c:cat>
          <c:val>
            <c:numRef>
              <c:f>RaspiPico!$G$8:$I$8</c:f>
              <c:numCache>
                <c:formatCode>0.00</c:formatCode>
                <c:ptCount val="3"/>
                <c:pt idx="0">
                  <c:v>4.6201634548689645</c:v>
                </c:pt>
                <c:pt idx="1">
                  <c:v>21.256420387198737</c:v>
                </c:pt>
                <c:pt idx="2">
                  <c:v>7.8719512195121952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06-4038-9850-5282AAC4A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757663"/>
        <c:axId val="1435754751"/>
      </c:barChart>
      <c:catAx>
        <c:axId val="14357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5754751"/>
        <c:crosses val="autoZero"/>
        <c:auto val="1"/>
        <c:lblAlgn val="ctr"/>
        <c:lblOffset val="100"/>
        <c:noMultiLvlLbl val="0"/>
      </c:catAx>
      <c:valAx>
        <c:axId val="143575475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5757663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66</xdr:row>
      <xdr:rowOff>0</xdr:rowOff>
    </xdr:from>
    <xdr:to>
      <xdr:col>7</xdr:col>
      <xdr:colOff>533400</xdr:colOff>
      <xdr:row>85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C9274C-C55C-42E8-B46D-D73BF8158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10</xdr:row>
      <xdr:rowOff>0</xdr:rowOff>
    </xdr:from>
    <xdr:to>
      <xdr:col>9</xdr:col>
      <xdr:colOff>0</xdr:colOff>
      <xdr:row>23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3C126F-026F-4EEF-B621-D5913166E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10</xdr:row>
      <xdr:rowOff>7620</xdr:rowOff>
    </xdr:from>
    <xdr:to>
      <xdr:col>8</xdr:col>
      <xdr:colOff>784860</xdr:colOff>
      <xdr:row>23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93FE1E-E570-41AE-9CA7-B8832C3E0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777240</xdr:colOff>
      <xdr:row>10</xdr:row>
      <xdr:rowOff>15240</xdr:rowOff>
    </xdr:from>
    <xdr:to>
      <xdr:col>9</xdr:col>
      <xdr:colOff>0</xdr:colOff>
      <xdr:row>24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399555-423B-4EC3-95AF-2F76EA6D4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10</xdr:row>
      <xdr:rowOff>22860</xdr:rowOff>
    </xdr:from>
    <xdr:to>
      <xdr:col>9</xdr:col>
      <xdr:colOff>15240</xdr:colOff>
      <xdr:row>23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B7DCEF-C857-4083-9F89-AF103D5BD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10</xdr:row>
      <xdr:rowOff>15240</xdr:rowOff>
    </xdr:from>
    <xdr:to>
      <xdr:col>8</xdr:col>
      <xdr:colOff>777240</xdr:colOff>
      <xdr:row>24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5309DF-B733-441E-A8CE-2CB5CBB42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"/>
  <sheetViews>
    <sheetView tabSelected="1" zoomScaleNormal="100" workbookViewId="0">
      <selection activeCell="K24" sqref="K24"/>
    </sheetView>
  </sheetViews>
  <sheetFormatPr baseColWidth="10" defaultColWidth="8.88671875" defaultRowHeight="14.4" x14ac:dyDescent="0.3"/>
  <cols>
    <col min="1" max="1" width="17.44140625" customWidth="1"/>
    <col min="2" max="2" width="20.109375" bestFit="1" customWidth="1"/>
    <col min="3" max="3" width="13" customWidth="1"/>
    <col min="4" max="4" width="12.109375" customWidth="1"/>
    <col min="5" max="5" width="10" customWidth="1"/>
    <col min="6" max="7" width="10" bestFit="1" customWidth="1"/>
    <col min="8" max="8" width="13.109375" customWidth="1"/>
    <col min="9" max="9" width="11.5546875" customWidth="1"/>
    <col min="10" max="10" width="12.109375" customWidth="1"/>
    <col min="11" max="11" width="12.44140625" bestFit="1" customWidth="1"/>
    <col min="12" max="12" width="11.5546875" customWidth="1"/>
    <col min="14" max="15" width="10.44140625" bestFit="1" customWidth="1"/>
    <col min="16" max="16" width="10.5546875" bestFit="1" customWidth="1"/>
    <col min="17" max="18" width="10.44140625" bestFit="1" customWidth="1"/>
    <col min="19" max="20" width="11.44140625" bestFit="1" customWidth="1"/>
  </cols>
  <sheetData>
    <row r="1" spans="1:14" ht="43.2" x14ac:dyDescent="0.3">
      <c r="A1" s="3" t="s">
        <v>5</v>
      </c>
      <c r="B1" s="3" t="s">
        <v>6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22</v>
      </c>
      <c r="H1" s="3" t="s">
        <v>23</v>
      </c>
      <c r="I1" s="3" t="s">
        <v>24</v>
      </c>
      <c r="J1" s="3" t="s">
        <v>42</v>
      </c>
      <c r="K1" s="22" t="s">
        <v>14</v>
      </c>
      <c r="L1" s="22"/>
      <c r="M1" s="22"/>
      <c r="N1" s="6" t="s">
        <v>47</v>
      </c>
    </row>
    <row r="2" spans="1:14" x14ac:dyDescent="0.3">
      <c r="A2" s="23" t="s">
        <v>32</v>
      </c>
      <c r="B2" s="1" t="s">
        <v>0</v>
      </c>
      <c r="C2" s="4">
        <f>(171592-L3)/1024</f>
        <v>90.984375</v>
      </c>
      <c r="D2" s="4">
        <f>(76496-M3)/1024</f>
        <v>23.27734375</v>
      </c>
      <c r="E2" s="2">
        <v>12833</v>
      </c>
      <c r="F2" s="5">
        <v>98.89</v>
      </c>
      <c r="G2" s="4">
        <f>C2*100/MAX(C$2:C$8)</f>
        <v>70.243372839952954</v>
      </c>
      <c r="H2" s="4">
        <f t="shared" ref="H2:I8" si="0">D2*100/MAX(D$2:D$8)</f>
        <v>100</v>
      </c>
      <c r="I2" s="4">
        <f t="shared" si="0"/>
        <v>78.25</v>
      </c>
      <c r="K2" t="s">
        <v>25</v>
      </c>
      <c r="L2" t="s">
        <v>15</v>
      </c>
      <c r="M2" t="s">
        <v>16</v>
      </c>
      <c r="N2" t="s">
        <v>13</v>
      </c>
    </row>
    <row r="3" spans="1:14" x14ac:dyDescent="0.3">
      <c r="A3" s="23"/>
      <c r="B3" s="1" t="s">
        <v>3</v>
      </c>
      <c r="C3" s="4">
        <f>(211060-L3)/1024</f>
        <v>129.52734375</v>
      </c>
      <c r="D3" s="4">
        <f>(75180-M3)/1024</f>
        <v>21.9921875</v>
      </c>
      <c r="E3" s="2">
        <v>10862</v>
      </c>
      <c r="F3" s="5">
        <v>98.89</v>
      </c>
      <c r="G3" s="4">
        <f t="shared" ref="G3:G8" si="1">C3*100/MAX(C$2:C$8)</f>
        <v>100</v>
      </c>
      <c r="H3" s="4">
        <f t="shared" si="0"/>
        <v>94.478939419365659</v>
      </c>
      <c r="I3" s="4">
        <f t="shared" si="0"/>
        <v>66.231707317073173</v>
      </c>
      <c r="K3" t="s">
        <v>26</v>
      </c>
      <c r="L3">
        <v>78424</v>
      </c>
      <c r="M3">
        <v>52660</v>
      </c>
      <c r="N3" t="s">
        <v>17</v>
      </c>
    </row>
    <row r="4" spans="1:14" x14ac:dyDescent="0.3">
      <c r="A4" s="23"/>
      <c r="B4" s="1" t="s">
        <v>4</v>
      </c>
      <c r="C4" s="4">
        <f>(108260-L3)/1024</f>
        <v>29.13671875</v>
      </c>
      <c r="D4" s="4">
        <f>(65426-M3+J5)/1024</f>
        <v>14.435546875</v>
      </c>
      <c r="E4" s="2">
        <v>16400</v>
      </c>
      <c r="F4" s="5">
        <v>98.89</v>
      </c>
      <c r="G4" s="4">
        <f t="shared" si="1"/>
        <v>22.494647003830032</v>
      </c>
      <c r="H4" s="4">
        <f t="shared" si="0"/>
        <v>62.015438832018795</v>
      </c>
      <c r="I4" s="4">
        <f t="shared" si="0"/>
        <v>100</v>
      </c>
      <c r="K4" t="s">
        <v>27</v>
      </c>
      <c r="L4">
        <v>6712</v>
      </c>
      <c r="M4">
        <v>752</v>
      </c>
      <c r="N4" t="s">
        <v>18</v>
      </c>
    </row>
    <row r="5" spans="1:14" x14ac:dyDescent="0.3">
      <c r="A5" s="23"/>
      <c r="B5" s="1" t="s">
        <v>37</v>
      </c>
      <c r="C5" s="4">
        <f>(88192-L3)/1024</f>
        <v>9.5390625</v>
      </c>
      <c r="D5" s="4">
        <f>(58872-M3+J5)/1024</f>
        <v>8.03515625</v>
      </c>
      <c r="E5" s="2">
        <v>9468</v>
      </c>
      <c r="F5" s="5">
        <v>98.89</v>
      </c>
      <c r="G5" s="4">
        <f t="shared" si="1"/>
        <v>7.3645164208812091</v>
      </c>
      <c r="H5" s="4">
        <f t="shared" si="0"/>
        <v>34.519214633327742</v>
      </c>
      <c r="I5" s="4">
        <f t="shared" si="0"/>
        <v>57.731707317073173</v>
      </c>
      <c r="J5">
        <v>2016</v>
      </c>
      <c r="K5" t="s">
        <v>28</v>
      </c>
      <c r="L5">
        <v>662</v>
      </c>
      <c r="M5">
        <v>9</v>
      </c>
      <c r="N5" t="s">
        <v>20</v>
      </c>
    </row>
    <row r="6" spans="1:14" x14ac:dyDescent="0.3">
      <c r="A6" s="23"/>
      <c r="B6" s="1" t="s">
        <v>38</v>
      </c>
      <c r="C6" s="4">
        <f>(84896-L3)/1024</f>
        <v>6.3203125</v>
      </c>
      <c r="D6" s="4">
        <f>(55096-M3+J6)/1024</f>
        <v>4.34765625</v>
      </c>
      <c r="E6" s="2">
        <v>3241</v>
      </c>
      <c r="F6" s="5">
        <v>98.89</v>
      </c>
      <c r="G6" s="4">
        <f t="shared" si="1"/>
        <v>4.8795198890195728</v>
      </c>
      <c r="H6" s="4">
        <f t="shared" si="0"/>
        <v>18.677630474911897</v>
      </c>
      <c r="I6" s="4">
        <f t="shared" si="0"/>
        <v>19.762195121951219</v>
      </c>
      <c r="J6">
        <v>2016</v>
      </c>
      <c r="K6" t="s">
        <v>29</v>
      </c>
      <c r="L6">
        <v>260089</v>
      </c>
      <c r="M6">
        <v>27892</v>
      </c>
    </row>
    <row r="7" spans="1:14" x14ac:dyDescent="0.3">
      <c r="A7" s="23"/>
      <c r="B7" s="1" t="s">
        <v>39</v>
      </c>
      <c r="C7" s="4">
        <f>(84616-L3)/1024</f>
        <v>6.046875</v>
      </c>
      <c r="D7" s="4">
        <f>(54968-M3+J7)/1024</f>
        <v>3.23828125</v>
      </c>
      <c r="E7" s="2">
        <v>1258</v>
      </c>
      <c r="F7" s="5">
        <v>98.89</v>
      </c>
      <c r="G7" s="4">
        <f t="shared" si="1"/>
        <v>4.6684158147109382</v>
      </c>
      <c r="H7" s="4">
        <f t="shared" si="0"/>
        <v>13.911730156066454</v>
      </c>
      <c r="I7" s="4">
        <f t="shared" si="0"/>
        <v>7.6707317073170733</v>
      </c>
      <c r="J7">
        <v>1008</v>
      </c>
      <c r="K7" t="s">
        <v>30</v>
      </c>
      <c r="L7">
        <v>203993</v>
      </c>
      <c r="M7">
        <v>11624</v>
      </c>
    </row>
    <row r="8" spans="1:14" x14ac:dyDescent="0.3">
      <c r="A8" s="23"/>
      <c r="B8" s="1" t="s">
        <v>40</v>
      </c>
      <c r="C8" s="4">
        <f>(84552-L3)/1024</f>
        <v>5.984375</v>
      </c>
      <c r="D8" s="4">
        <f>(54904-M3+J8)/1024</f>
        <v>2.68359375</v>
      </c>
      <c r="E8" s="2">
        <v>1291</v>
      </c>
      <c r="F8" s="5">
        <v>89.72</v>
      </c>
      <c r="G8" s="4">
        <f t="shared" si="1"/>
        <v>4.6201634548689645</v>
      </c>
      <c r="H8" s="4">
        <f t="shared" si="0"/>
        <v>11.528779996643733</v>
      </c>
      <c r="I8" s="4">
        <f t="shared" si="0"/>
        <v>7.8719512195121952</v>
      </c>
      <c r="J8">
        <v>504</v>
      </c>
    </row>
    <row r="9" spans="1:14" x14ac:dyDescent="0.3">
      <c r="A9" s="23"/>
      <c r="B9" s="1" t="s">
        <v>1</v>
      </c>
      <c r="C9" s="4" t="s">
        <v>12</v>
      </c>
      <c r="D9" s="4"/>
      <c r="E9" s="2"/>
      <c r="F9" s="2"/>
      <c r="G9" s="2"/>
      <c r="H9" s="2"/>
      <c r="I9" s="2"/>
    </row>
    <row r="10" spans="1:14" x14ac:dyDescent="0.3">
      <c r="A10" s="23"/>
      <c r="B10" s="1" t="s">
        <v>2</v>
      </c>
      <c r="C10" s="4" t="s">
        <v>12</v>
      </c>
      <c r="D10" s="4"/>
      <c r="E10" s="2"/>
      <c r="F10" s="2"/>
      <c r="G10" s="2"/>
      <c r="H10" s="2"/>
      <c r="I10" s="2"/>
    </row>
    <row r="11" spans="1:14" x14ac:dyDescent="0.3">
      <c r="A11" s="24" t="s">
        <v>34</v>
      </c>
      <c r="B11" s="7" t="s">
        <v>0</v>
      </c>
      <c r="C11" s="8" t="s">
        <v>31</v>
      </c>
      <c r="D11" s="8"/>
      <c r="E11" s="9"/>
      <c r="F11" s="8"/>
      <c r="G11" s="8"/>
      <c r="H11" s="8"/>
      <c r="I11" s="8"/>
    </row>
    <row r="12" spans="1:14" x14ac:dyDescent="0.3">
      <c r="A12" s="24"/>
      <c r="B12" s="7" t="s">
        <v>3</v>
      </c>
      <c r="C12" s="8" t="s">
        <v>21</v>
      </c>
      <c r="D12" s="8"/>
      <c r="E12" s="9"/>
      <c r="F12" s="8"/>
      <c r="G12" s="8"/>
      <c r="H12" s="8"/>
      <c r="I12" s="8"/>
    </row>
    <row r="13" spans="1:14" x14ac:dyDescent="0.3">
      <c r="A13" s="24"/>
      <c r="B13" s="7" t="s">
        <v>4</v>
      </c>
      <c r="C13" s="8">
        <f>(38724-$L$4)/1024</f>
        <v>31.26171875</v>
      </c>
      <c r="D13" s="8">
        <f>(5816-$M$4+J5)/1024</f>
        <v>6.9140625</v>
      </c>
      <c r="E13" s="9">
        <v>5945</v>
      </c>
      <c r="F13" s="8">
        <v>98.89</v>
      </c>
      <c r="G13" s="8">
        <f t="shared" ref="G13:G17" si="2">C13*100/MAX($C$11:$C$17)</f>
        <v>100</v>
      </c>
      <c r="H13" s="8">
        <f t="shared" ref="H13:H17" si="3">D13*100/MAX($D$11:$D$17)</f>
        <v>100</v>
      </c>
      <c r="I13" s="8">
        <f t="shared" ref="I13:I17" si="4">E13*100/MAX($E$11:$E$17)</f>
        <v>60.453528574333944</v>
      </c>
    </row>
    <row r="14" spans="1:14" x14ac:dyDescent="0.3">
      <c r="A14" s="24"/>
      <c r="B14" s="10" t="s">
        <v>37</v>
      </c>
      <c r="C14" s="11">
        <f>(30272-$L$4)/1024</f>
        <v>23.0078125</v>
      </c>
      <c r="D14" s="11">
        <f>(1440-$M$4+J14)/1024</f>
        <v>2.640625</v>
      </c>
      <c r="E14" s="12">
        <v>9834</v>
      </c>
      <c r="F14" s="8">
        <v>98.89</v>
      </c>
      <c r="G14" s="8">
        <f t="shared" si="2"/>
        <v>73.59740097463451</v>
      </c>
      <c r="H14" s="8">
        <f t="shared" si="3"/>
        <v>38.192090395480228</v>
      </c>
      <c r="I14" s="8">
        <f t="shared" si="4"/>
        <v>100</v>
      </c>
      <c r="J14">
        <v>2016</v>
      </c>
    </row>
    <row r="15" spans="1:14" x14ac:dyDescent="0.3">
      <c r="A15" s="24"/>
      <c r="B15" s="10" t="s">
        <v>38</v>
      </c>
      <c r="C15" s="11">
        <f>(26192-$L$4)/1024</f>
        <v>19.0234375</v>
      </c>
      <c r="D15" s="11">
        <f>(1436-$M$4+J15)/1024</f>
        <v>2.63671875</v>
      </c>
      <c r="E15" s="12">
        <v>2746</v>
      </c>
      <c r="F15" s="8">
        <v>98.89</v>
      </c>
      <c r="G15" s="8">
        <f t="shared" si="2"/>
        <v>60.852180432337875</v>
      </c>
      <c r="H15" s="8">
        <f t="shared" si="3"/>
        <v>38.135593220338983</v>
      </c>
      <c r="I15" s="8">
        <f t="shared" si="4"/>
        <v>27.923530608094367</v>
      </c>
      <c r="J15">
        <v>2016</v>
      </c>
    </row>
    <row r="16" spans="1:14" x14ac:dyDescent="0.3">
      <c r="A16" s="24"/>
      <c r="B16" s="10" t="s">
        <v>39</v>
      </c>
      <c r="C16" s="11">
        <f>(22624-$L$4)/1024</f>
        <v>15.5390625</v>
      </c>
      <c r="D16" s="11">
        <f>(1308-$M$4+J16)/1024</f>
        <v>1.52734375</v>
      </c>
      <c r="E16" s="12">
        <v>2449</v>
      </c>
      <c r="F16" s="8">
        <v>98.89</v>
      </c>
      <c r="G16" s="8">
        <f t="shared" si="2"/>
        <v>49.706360114956894</v>
      </c>
      <c r="H16" s="8">
        <f t="shared" si="3"/>
        <v>22.09039548022599</v>
      </c>
      <c r="I16" s="8">
        <f t="shared" si="4"/>
        <v>24.903396379906447</v>
      </c>
      <c r="J16">
        <v>1008</v>
      </c>
    </row>
    <row r="17" spans="1:10" x14ac:dyDescent="0.3">
      <c r="A17" s="24"/>
      <c r="B17" s="10" t="s">
        <v>40</v>
      </c>
      <c r="C17" s="11">
        <f>(21372-$L$4)/1024</f>
        <v>14.31640625</v>
      </c>
      <c r="D17" s="11">
        <f>(1244-$M$4+J17)/1024</f>
        <v>0.97265625</v>
      </c>
      <c r="E17" s="12">
        <v>2384</v>
      </c>
      <c r="F17" s="8">
        <v>89.17</v>
      </c>
      <c r="G17" s="8">
        <f t="shared" si="2"/>
        <v>45.795326752467822</v>
      </c>
      <c r="H17" s="8">
        <f t="shared" si="3"/>
        <v>14.067796610169491</v>
      </c>
      <c r="I17" s="8">
        <f t="shared" si="4"/>
        <v>24.242424242424242</v>
      </c>
      <c r="J17">
        <v>504</v>
      </c>
    </row>
    <row r="18" spans="1:10" x14ac:dyDescent="0.3">
      <c r="A18" s="24"/>
      <c r="B18" s="7" t="s">
        <v>1</v>
      </c>
      <c r="C18" s="8" t="s">
        <v>12</v>
      </c>
      <c r="D18" s="8"/>
      <c r="E18" s="9"/>
      <c r="F18" s="9" t="s">
        <v>35</v>
      </c>
      <c r="G18" s="9"/>
      <c r="H18" s="9"/>
      <c r="I18" s="9"/>
    </row>
    <row r="19" spans="1:10" x14ac:dyDescent="0.3">
      <c r="A19" s="24"/>
      <c r="B19" s="7" t="s">
        <v>2</v>
      </c>
      <c r="C19" s="8" t="s">
        <v>12</v>
      </c>
      <c r="D19" s="8"/>
      <c r="E19" s="9"/>
      <c r="F19" s="9"/>
      <c r="G19" s="9"/>
      <c r="H19" s="9"/>
      <c r="I19" s="9"/>
    </row>
    <row r="20" spans="1:10" x14ac:dyDescent="0.3">
      <c r="A20" s="23" t="s">
        <v>33</v>
      </c>
      <c r="B20" s="1" t="s">
        <v>0</v>
      </c>
      <c r="C20" s="4" t="s">
        <v>21</v>
      </c>
      <c r="D20" s="4"/>
      <c r="E20" s="2"/>
      <c r="F20" s="5"/>
      <c r="G20" s="4"/>
      <c r="H20" s="4"/>
      <c r="I20" s="4"/>
    </row>
    <row r="21" spans="1:10" x14ac:dyDescent="0.3">
      <c r="A21" s="23"/>
      <c r="B21" s="1" t="s">
        <v>3</v>
      </c>
      <c r="C21" s="4" t="s">
        <v>21</v>
      </c>
      <c r="D21" s="4"/>
      <c r="E21" s="2"/>
      <c r="F21" s="5"/>
      <c r="G21" s="4"/>
      <c r="H21" s="4"/>
      <c r="I21" s="4"/>
    </row>
    <row r="22" spans="1:10" x14ac:dyDescent="0.3">
      <c r="A22" s="23"/>
      <c r="B22" s="1" t="s">
        <v>4</v>
      </c>
      <c r="C22" s="4" t="s">
        <v>21</v>
      </c>
      <c r="D22" s="4"/>
      <c r="E22" s="2"/>
      <c r="F22" s="2"/>
      <c r="G22" s="4"/>
      <c r="H22" s="4"/>
      <c r="I22" s="4"/>
    </row>
    <row r="23" spans="1:10" x14ac:dyDescent="0.3">
      <c r="A23" s="23"/>
      <c r="B23" s="1" t="s">
        <v>37</v>
      </c>
      <c r="C23" s="4">
        <f>(15038-$L$5)/1024</f>
        <v>14.0390625</v>
      </c>
      <c r="D23" s="4">
        <f>(5898-$M$5+J23)/1024</f>
        <v>7.7197265625</v>
      </c>
      <c r="E23" s="2">
        <v>75498</v>
      </c>
      <c r="F23" s="5">
        <v>98.89</v>
      </c>
      <c r="G23" s="4">
        <f>C23*100/MAX($C$23:$C$26)</f>
        <v>90.631698398688684</v>
      </c>
      <c r="H23" s="4">
        <f>D23*100/MAX($D$23:$D$26)</f>
        <v>100</v>
      </c>
      <c r="I23" s="4">
        <f>E23*100/MAX($E$23:$E$26)</f>
        <v>86.374244920373428</v>
      </c>
      <c r="J23">
        <v>2016</v>
      </c>
    </row>
    <row r="24" spans="1:10" x14ac:dyDescent="0.3">
      <c r="A24" s="23"/>
      <c r="B24" s="1" t="s">
        <v>38</v>
      </c>
      <c r="C24" s="4">
        <f>(16524-$L$5)/1024</f>
        <v>15.490234375</v>
      </c>
      <c r="D24" s="4">
        <f>(5898-$M$5+J24)/1024</f>
        <v>7.7197265625</v>
      </c>
      <c r="E24" s="2">
        <v>87408</v>
      </c>
      <c r="F24" s="5">
        <v>98.89</v>
      </c>
      <c r="G24" s="4">
        <f t="shared" ref="G24:G26" si="5">C24*100/MAX($C$23:$C$26)</f>
        <v>100</v>
      </c>
      <c r="H24" s="4">
        <f t="shared" ref="H24:H26" si="6">D24*100/MAX($D$23:$D$26)</f>
        <v>100</v>
      </c>
      <c r="I24" s="4">
        <f t="shared" ref="I24:I26" si="7">E24*100/MAX($E$23:$E$26)</f>
        <v>100</v>
      </c>
      <c r="J24">
        <v>2016</v>
      </c>
    </row>
    <row r="25" spans="1:10" x14ac:dyDescent="0.3">
      <c r="A25" s="23"/>
      <c r="B25" s="1" t="s">
        <v>39</v>
      </c>
      <c r="C25" s="4">
        <f>(12320-$L$5)/1024</f>
        <v>11.384765625</v>
      </c>
      <c r="D25" s="4">
        <f>(3176-$M$5+J25)/1024</f>
        <v>4.0771484375</v>
      </c>
      <c r="E25" s="2">
        <v>37757</v>
      </c>
      <c r="F25" s="5">
        <v>98.89</v>
      </c>
      <c r="G25" s="4">
        <f t="shared" si="5"/>
        <v>73.49640650611525</v>
      </c>
      <c r="H25" s="4">
        <f t="shared" si="6"/>
        <v>52.814674256799492</v>
      </c>
      <c r="I25" s="4">
        <f t="shared" si="7"/>
        <v>43.196274940508879</v>
      </c>
      <c r="J25">
        <v>1008</v>
      </c>
    </row>
    <row r="26" spans="1:10" x14ac:dyDescent="0.3">
      <c r="A26" s="23"/>
      <c r="B26" s="1" t="s">
        <v>40</v>
      </c>
      <c r="C26" s="4">
        <f>(10358-$L$5)/1024</f>
        <v>9.46875</v>
      </c>
      <c r="D26" s="4">
        <f>(1817-$M$5+J26)/1024</f>
        <v>2.2578125</v>
      </c>
      <c r="E26" s="2">
        <v>15221</v>
      </c>
      <c r="F26" s="5">
        <v>89.72</v>
      </c>
      <c r="G26" s="4">
        <f t="shared" si="5"/>
        <v>61.127222292270837</v>
      </c>
      <c r="H26" s="4">
        <f t="shared" si="6"/>
        <v>29.247311827956988</v>
      </c>
      <c r="I26" s="4">
        <f t="shared" si="7"/>
        <v>17.413737872963573</v>
      </c>
      <c r="J26">
        <v>504</v>
      </c>
    </row>
    <row r="27" spans="1:10" x14ac:dyDescent="0.3">
      <c r="A27" s="23"/>
      <c r="B27" s="1" t="s">
        <v>1</v>
      </c>
      <c r="C27" s="4" t="s">
        <v>12</v>
      </c>
      <c r="D27" s="4"/>
      <c r="E27" s="2"/>
      <c r="F27" s="2"/>
      <c r="G27" s="2"/>
      <c r="H27" s="2"/>
      <c r="I27" s="2"/>
    </row>
    <row r="28" spans="1:10" x14ac:dyDescent="0.3">
      <c r="A28" s="23"/>
      <c r="B28" s="1" t="s">
        <v>2</v>
      </c>
      <c r="C28" s="4" t="s">
        <v>12</v>
      </c>
      <c r="D28" s="4"/>
      <c r="E28" s="2"/>
      <c r="F28" s="2"/>
      <c r="G28" s="2"/>
      <c r="H28" s="2"/>
      <c r="I28" s="2"/>
    </row>
    <row r="29" spans="1:10" x14ac:dyDescent="0.3">
      <c r="A29" s="24" t="s">
        <v>19</v>
      </c>
      <c r="B29" s="7" t="s">
        <v>0</v>
      </c>
      <c r="C29" s="8">
        <f>(393381-$L$6)/1024</f>
        <v>130.16796875</v>
      </c>
      <c r="D29" s="8">
        <f>(53660-$M$6)/1024</f>
        <v>25.1640625</v>
      </c>
      <c r="E29" s="9">
        <v>11531</v>
      </c>
      <c r="F29" s="8">
        <v>98.89</v>
      </c>
      <c r="G29" s="8">
        <f>C29*100/MAX($C$29:$C$35)</f>
        <v>100</v>
      </c>
      <c r="H29" s="8">
        <f>D29*100/MAX($D$29:$D$35)</f>
        <v>100</v>
      </c>
      <c r="I29" s="8">
        <f>E29*100/MAX($E$29:$E$35)</f>
        <v>99.84414234998701</v>
      </c>
    </row>
    <row r="30" spans="1:10" x14ac:dyDescent="0.3">
      <c r="A30" s="24"/>
      <c r="B30" s="7" t="s">
        <v>3</v>
      </c>
      <c r="C30" s="8">
        <f>(378477-$L$6)/1024</f>
        <v>115.61328125</v>
      </c>
      <c r="D30" s="8">
        <f>(51916-$M$6)/1024</f>
        <v>23.4609375</v>
      </c>
      <c r="E30" s="9">
        <v>11549</v>
      </c>
      <c r="F30" s="8">
        <v>98.89</v>
      </c>
      <c r="G30" s="8">
        <f>C30*100/MAX($C$29:$C$35)</f>
        <v>88.818533745461096</v>
      </c>
      <c r="H30" s="8">
        <f>D30*100/MAX($D$29:$D$35)</f>
        <v>93.231915554175728</v>
      </c>
      <c r="I30" s="8">
        <f>E30*100/MAX($E$29:$E$35)</f>
        <v>100</v>
      </c>
    </row>
    <row r="31" spans="1:10" x14ac:dyDescent="0.3">
      <c r="A31" s="24"/>
      <c r="B31" s="7" t="s">
        <v>4</v>
      </c>
      <c r="C31" s="8" t="s">
        <v>21</v>
      </c>
      <c r="D31" s="8"/>
      <c r="E31" s="9"/>
      <c r="F31" s="9"/>
      <c r="G31" s="8"/>
      <c r="H31" s="8"/>
      <c r="I31" s="8"/>
    </row>
    <row r="32" spans="1:10" x14ac:dyDescent="0.3">
      <c r="A32" s="24"/>
      <c r="B32" s="7" t="s">
        <v>37</v>
      </c>
      <c r="C32" s="8">
        <f>(277621-$L$6)/1024</f>
        <v>17.12109375</v>
      </c>
      <c r="D32" s="8">
        <f>(33928-$M$6+J32)/1024</f>
        <v>7.86328125</v>
      </c>
      <c r="E32" s="9">
        <v>8213</v>
      </c>
      <c r="F32" s="8">
        <v>98.89</v>
      </c>
      <c r="G32" s="8">
        <f t="shared" ref="G32:G35" si="8">C32*100/MAX($C$29:$C$35)</f>
        <v>13.153077454010743</v>
      </c>
      <c r="H32" s="8">
        <f t="shared" ref="H32:H35" si="9">D32*100/MAX($D$29:$D$35)</f>
        <v>31.248059608817137</v>
      </c>
      <c r="I32" s="8">
        <f t="shared" ref="I32:I35" si="10">E32*100/MAX($E$29:$E$35)</f>
        <v>71.11438219759286</v>
      </c>
      <c r="J32">
        <v>2016</v>
      </c>
    </row>
    <row r="33" spans="1:20" x14ac:dyDescent="0.3">
      <c r="A33" s="24"/>
      <c r="B33" s="7" t="s">
        <v>38</v>
      </c>
      <c r="C33" s="8">
        <f>(276413-$L$6)/1024</f>
        <v>15.94140625</v>
      </c>
      <c r="D33" s="8">
        <f>(33912-$M$6+J33)/1024</f>
        <v>7.84765625</v>
      </c>
      <c r="E33" s="9">
        <v>5012</v>
      </c>
      <c r="F33" s="8">
        <v>98.89</v>
      </c>
      <c r="G33" s="8">
        <f t="shared" si="8"/>
        <v>12.246796506917144</v>
      </c>
      <c r="H33" s="8">
        <f t="shared" si="9"/>
        <v>31.185967090965537</v>
      </c>
      <c r="I33" s="8">
        <f t="shared" si="10"/>
        <v>43.39769677028314</v>
      </c>
      <c r="J33">
        <v>2016</v>
      </c>
    </row>
    <row r="34" spans="1:20" x14ac:dyDescent="0.3">
      <c r="A34" s="24"/>
      <c r="B34" s="7" t="s">
        <v>39</v>
      </c>
      <c r="C34" s="8">
        <f>(273581-$L$6)/1024</f>
        <v>13.17578125</v>
      </c>
      <c r="D34" s="8">
        <f>(31368-$M$6+J34)/1024</f>
        <v>4.37890625</v>
      </c>
      <c r="E34" s="9">
        <v>1489</v>
      </c>
      <c r="F34" s="8">
        <v>98.89</v>
      </c>
      <c r="G34" s="8">
        <f t="shared" si="8"/>
        <v>10.122137862737448</v>
      </c>
      <c r="H34" s="8">
        <f t="shared" si="9"/>
        <v>17.401428127910588</v>
      </c>
      <c r="I34" s="8">
        <f t="shared" si="10"/>
        <v>12.892891159407741</v>
      </c>
      <c r="J34">
        <v>1008</v>
      </c>
    </row>
    <row r="35" spans="1:20" x14ac:dyDescent="0.3">
      <c r="A35" s="24"/>
      <c r="B35" s="7" t="s">
        <v>40</v>
      </c>
      <c r="C35" s="8">
        <f>(272401-$L$6)/1024</f>
        <v>12.0234375</v>
      </c>
      <c r="D35" s="8">
        <f>(30052-$M$6+J34)/1024</f>
        <v>3.09375</v>
      </c>
      <c r="E35" s="9">
        <v>1705</v>
      </c>
      <c r="F35" s="8">
        <v>89.72</v>
      </c>
      <c r="G35" s="8">
        <f t="shared" si="8"/>
        <v>9.2368634276625752</v>
      </c>
      <c r="H35" s="8">
        <f t="shared" si="9"/>
        <v>12.294318534616579</v>
      </c>
      <c r="I35" s="8">
        <f t="shared" si="10"/>
        <v>14.763182959563599</v>
      </c>
      <c r="J35">
        <v>504</v>
      </c>
    </row>
    <row r="36" spans="1:20" x14ac:dyDescent="0.3">
      <c r="A36" s="24"/>
      <c r="B36" s="7" t="s">
        <v>1</v>
      </c>
      <c r="C36" s="8" t="s">
        <v>12</v>
      </c>
      <c r="D36" s="8"/>
      <c r="E36" s="9"/>
      <c r="F36" s="9"/>
      <c r="G36" s="9"/>
      <c r="H36" s="9"/>
      <c r="I36" s="9"/>
    </row>
    <row r="37" spans="1:20" x14ac:dyDescent="0.3">
      <c r="A37" s="24"/>
      <c r="B37" s="7" t="s">
        <v>2</v>
      </c>
      <c r="C37" s="8" t="s">
        <v>12</v>
      </c>
      <c r="D37" s="8"/>
      <c r="E37" s="9"/>
      <c r="F37" s="9"/>
      <c r="G37" s="9"/>
      <c r="H37" s="9"/>
      <c r="I37" s="9"/>
    </row>
    <row r="38" spans="1:20" x14ac:dyDescent="0.3">
      <c r="A38" s="23" t="s">
        <v>46</v>
      </c>
      <c r="B38" s="1" t="s">
        <v>0</v>
      </c>
      <c r="C38" s="4">
        <f>(410322-$L$7)/1024</f>
        <v>201.4931640625</v>
      </c>
      <c r="D38" s="4">
        <f>(24900-$M$7)/1024</f>
        <v>12.96484375</v>
      </c>
      <c r="E38" s="2">
        <v>1885</v>
      </c>
      <c r="F38" s="5">
        <v>98.89</v>
      </c>
      <c r="G38" s="4">
        <f t="shared" ref="G38" si="11">C38*100/MAX($C$38:$C$44)</f>
        <v>100</v>
      </c>
      <c r="H38" s="4">
        <f t="shared" ref="H38" si="12">D38*100/MAX($D$38:$D$44)</f>
        <v>100</v>
      </c>
      <c r="I38" s="4">
        <f t="shared" ref="I38" si="13">E38*100/MAX($E$38:$E$44)</f>
        <v>100</v>
      </c>
    </row>
    <row r="39" spans="1:20" x14ac:dyDescent="0.3">
      <c r="A39" s="23"/>
      <c r="B39" s="1" t="s">
        <v>3</v>
      </c>
      <c r="C39" s="4">
        <f>(399925-$L$7)/1024</f>
        <v>191.33984375</v>
      </c>
      <c r="D39" s="4">
        <f>(20736-$M$7)/1024</f>
        <v>8.8984375</v>
      </c>
      <c r="E39" s="2">
        <v>794</v>
      </c>
      <c r="F39" s="5">
        <v>98.89</v>
      </c>
      <c r="G39" s="4">
        <f t="shared" ref="G39:G43" si="14">C39*100/MAX($C$38:$C$44)</f>
        <v>94.960960407892244</v>
      </c>
      <c r="H39" s="4">
        <f t="shared" ref="H39:H43" si="15">D39*100/MAX($D$38:$D$44)</f>
        <v>68.635131063573368</v>
      </c>
      <c r="I39" s="4">
        <f t="shared" ref="I39:I43" si="16">E39*100/MAX($E$38:$E$44)</f>
        <v>42.122015915119363</v>
      </c>
      <c r="K39" s="26"/>
      <c r="L39" s="26"/>
      <c r="M39" s="26"/>
      <c r="N39" s="26"/>
      <c r="O39" s="26"/>
      <c r="P39" s="27"/>
      <c r="Q39" s="27"/>
      <c r="R39" s="27"/>
      <c r="S39" s="27"/>
      <c r="T39" s="27"/>
    </row>
    <row r="40" spans="1:20" x14ac:dyDescent="0.3">
      <c r="A40" s="23"/>
      <c r="B40" s="1" t="s">
        <v>4</v>
      </c>
      <c r="C40" s="4"/>
      <c r="D40" s="4"/>
      <c r="E40" s="2"/>
      <c r="F40" s="5"/>
      <c r="G40" s="4"/>
      <c r="H40" s="4"/>
      <c r="I40" s="4"/>
      <c r="K40" s="27"/>
      <c r="L40" s="27"/>
      <c r="M40" s="27"/>
      <c r="N40" s="26"/>
      <c r="O40" s="26"/>
      <c r="P40" s="27"/>
      <c r="Q40" s="27"/>
      <c r="R40" s="27"/>
      <c r="S40" s="27"/>
      <c r="T40" s="27"/>
    </row>
    <row r="41" spans="1:20" x14ac:dyDescent="0.3">
      <c r="A41" s="23"/>
      <c r="B41" s="1" t="s">
        <v>37</v>
      </c>
      <c r="C41" s="4">
        <f>(223481-$L$7)/1024</f>
        <v>19.03125</v>
      </c>
      <c r="D41" s="4">
        <f>(12588-$M$7+J41)/1024</f>
        <v>2.91015625</v>
      </c>
      <c r="E41" s="2">
        <v>284</v>
      </c>
      <c r="F41" s="5">
        <v>98.89</v>
      </c>
      <c r="G41" s="4">
        <f>C41*100/MAX($C$38:$C$44)</f>
        <v>9.4451095095696687</v>
      </c>
      <c r="H41" s="4">
        <f>D41*100/MAX($D$38:$D$44)</f>
        <v>22.446520036155469</v>
      </c>
      <c r="I41" s="4">
        <f t="shared" si="16"/>
        <v>15.066312997347481</v>
      </c>
      <c r="J41">
        <v>2016</v>
      </c>
      <c r="K41" s="27"/>
      <c r="L41" s="27"/>
      <c r="M41" s="27"/>
      <c r="N41" s="26"/>
      <c r="O41" s="26"/>
      <c r="P41" s="27"/>
      <c r="Q41" s="27"/>
      <c r="R41" s="27"/>
      <c r="S41" s="27"/>
      <c r="T41" s="27"/>
    </row>
    <row r="42" spans="1:20" x14ac:dyDescent="0.3">
      <c r="A42" s="23"/>
      <c r="B42" s="1" t="s">
        <v>38</v>
      </c>
      <c r="C42" s="4">
        <f>(222745-$L$7)/1024</f>
        <v>18.3125</v>
      </c>
      <c r="D42" s="4">
        <f>(12584-$M$7+J42)/1024</f>
        <v>2.90625</v>
      </c>
      <c r="E42" s="2">
        <v>341</v>
      </c>
      <c r="F42" s="5">
        <v>98.89</v>
      </c>
      <c r="G42" s="4">
        <f t="shared" si="14"/>
        <v>9.0883976561704856</v>
      </c>
      <c r="H42" s="4">
        <f t="shared" si="15"/>
        <v>22.41639047905996</v>
      </c>
      <c r="I42" s="4">
        <f t="shared" si="16"/>
        <v>18.090185676392572</v>
      </c>
      <c r="J42">
        <v>2016</v>
      </c>
      <c r="K42" s="27"/>
      <c r="L42" s="27"/>
      <c r="M42" s="27"/>
      <c r="N42" s="26"/>
      <c r="O42" s="26"/>
      <c r="P42" s="26"/>
      <c r="Q42" s="26"/>
      <c r="R42" s="26"/>
      <c r="S42" s="26"/>
      <c r="T42" s="26"/>
    </row>
    <row r="43" spans="1:20" x14ac:dyDescent="0.3">
      <c r="A43" s="23"/>
      <c r="B43" s="1" t="s">
        <v>39</v>
      </c>
      <c r="C43" s="4">
        <f>(220181-$L$7)/1024</f>
        <v>15.80859375</v>
      </c>
      <c r="D43" s="4">
        <f>(12456-$M$7+J43)/1024</f>
        <v>1.796875</v>
      </c>
      <c r="E43" s="2">
        <v>367</v>
      </c>
      <c r="F43" s="5">
        <v>98.89</v>
      </c>
      <c r="G43" s="4">
        <f t="shared" si="14"/>
        <v>7.8457221234048538</v>
      </c>
      <c r="H43" s="4">
        <f t="shared" si="15"/>
        <v>13.85959626393492</v>
      </c>
      <c r="I43" s="4">
        <f t="shared" si="16"/>
        <v>19.469496021220159</v>
      </c>
      <c r="J43">
        <v>1008</v>
      </c>
      <c r="K43" s="27"/>
      <c r="L43" s="27"/>
      <c r="M43" s="27"/>
      <c r="N43" s="26"/>
      <c r="O43" s="26"/>
      <c r="P43" s="26"/>
      <c r="Q43" s="26"/>
      <c r="R43" s="26"/>
      <c r="S43" s="26"/>
      <c r="T43" s="26"/>
    </row>
    <row r="44" spans="1:20" x14ac:dyDescent="0.3">
      <c r="A44" s="23"/>
      <c r="B44" s="1" t="s">
        <v>40</v>
      </c>
      <c r="C44" s="4">
        <f>(218877-$L$7)/1024</f>
        <v>14.53515625</v>
      </c>
      <c r="D44" s="4">
        <f>(12392-$M$7+J44)/1024</f>
        <v>1.2421875</v>
      </c>
      <c r="E44" s="2">
        <v>361</v>
      </c>
      <c r="F44" s="5">
        <v>89.17</v>
      </c>
      <c r="G44" s="4">
        <f>C44*100/MAX($C$38:$C$44)</f>
        <v>7.2137217744476052</v>
      </c>
      <c r="H44" s="4">
        <f>D44*100/MAX($D$38:$D$44)</f>
        <v>9.581199156372401</v>
      </c>
      <c r="I44" s="4">
        <f>E44*100/MAX($E$38:$E$44)</f>
        <v>19.151193633952253</v>
      </c>
      <c r="J44">
        <v>504</v>
      </c>
      <c r="K44" s="27"/>
      <c r="L44" s="27"/>
      <c r="M44" s="27"/>
      <c r="N44" s="26"/>
      <c r="O44" s="26"/>
      <c r="P44" s="26"/>
      <c r="Q44" s="26"/>
      <c r="R44" s="26"/>
      <c r="S44" s="26"/>
      <c r="T44" s="26"/>
    </row>
    <row r="45" spans="1:20" x14ac:dyDescent="0.3">
      <c r="A45" s="23"/>
      <c r="B45" s="1" t="s">
        <v>1</v>
      </c>
      <c r="C45" s="4" t="s">
        <v>12</v>
      </c>
      <c r="D45" s="4"/>
      <c r="E45" s="2"/>
      <c r="F45" s="2"/>
      <c r="G45" s="2"/>
      <c r="H45" s="2"/>
      <c r="I45" s="2"/>
    </row>
    <row r="46" spans="1:20" x14ac:dyDescent="0.3">
      <c r="A46" s="23"/>
      <c r="B46" s="1" t="s">
        <v>2</v>
      </c>
      <c r="C46" s="4" t="s">
        <v>12</v>
      </c>
      <c r="D46" s="4"/>
      <c r="E46" s="2"/>
      <c r="F46" s="2"/>
      <c r="G46" s="2"/>
      <c r="H46" s="2"/>
      <c r="I46" s="2"/>
    </row>
    <row r="47" spans="1:20" ht="14.4" customHeight="1" x14ac:dyDescent="0.3">
      <c r="J47" s="18" t="s">
        <v>41</v>
      </c>
      <c r="K47" s="19"/>
      <c r="L47" s="20"/>
    </row>
    <row r="48" spans="1:20" ht="43.2" customHeight="1" x14ac:dyDescent="0.3">
      <c r="B48" s="3" t="s">
        <v>6</v>
      </c>
      <c r="C48" s="3" t="s">
        <v>8</v>
      </c>
      <c r="D48" s="3" t="s">
        <v>9</v>
      </c>
      <c r="E48" s="3" t="s">
        <v>10</v>
      </c>
      <c r="F48" s="3" t="s">
        <v>11</v>
      </c>
      <c r="G48" s="3" t="s">
        <v>22</v>
      </c>
      <c r="H48" s="3" t="s">
        <v>23</v>
      </c>
      <c r="I48" s="3" t="s">
        <v>24</v>
      </c>
      <c r="J48" s="3" t="s">
        <v>22</v>
      </c>
      <c r="K48" s="3" t="s">
        <v>23</v>
      </c>
      <c r="L48" s="3" t="s">
        <v>24</v>
      </c>
    </row>
    <row r="49" spans="1:20" x14ac:dyDescent="0.3">
      <c r="A49" s="21" t="s">
        <v>36</v>
      </c>
      <c r="B49" s="1" t="s">
        <v>0</v>
      </c>
      <c r="C49" s="13">
        <f>AVERAGE(C38,C29,C2)</f>
        <v>140.8818359375</v>
      </c>
      <c r="D49" s="13">
        <f>AVERAGE(D38,D29,D2)</f>
        <v>20.46875</v>
      </c>
      <c r="E49" s="14">
        <f>AVERAGE(E38,E29,E2)</f>
        <v>8749.6666666666661</v>
      </c>
      <c r="F49" s="5">
        <v>98.89</v>
      </c>
      <c r="G49" s="4">
        <f>C49*100/MAX($C$49:$C$55)</f>
        <v>96.830336766930074</v>
      </c>
      <c r="H49" s="4">
        <f>D49*100/MAX($D$49:$D$55)</f>
        <v>100</v>
      </c>
      <c r="I49" s="4">
        <f>E49*100/MAX($E$49:$E$55)</f>
        <v>78.31431341836354</v>
      </c>
      <c r="J49" s="15">
        <f>100*MAX($G$49:$G$55)/G49-100</f>
        <v>3.2734196109420566</v>
      </c>
      <c r="K49" s="15">
        <f>100*MAX($H$49:$H$55)/H49-100</f>
        <v>0</v>
      </c>
      <c r="L49" s="15">
        <f>100*MAX($I$49:$I$55)/I49-100</f>
        <v>27.690578688711952</v>
      </c>
      <c r="N49" s="16"/>
      <c r="O49" s="16"/>
      <c r="P49" s="16"/>
    </row>
    <row r="50" spans="1:20" x14ac:dyDescent="0.3">
      <c r="A50" s="21"/>
      <c r="B50" s="1" t="s">
        <v>3</v>
      </c>
      <c r="C50" s="13">
        <f>AVERAGE(C39,C30,C3)</f>
        <v>145.49348958333334</v>
      </c>
      <c r="D50" s="13">
        <f t="shared" ref="D50:E50" si="17">AVERAGE(D39,D30,D3)</f>
        <v>18.1171875</v>
      </c>
      <c r="E50" s="14">
        <f t="shared" si="17"/>
        <v>7735</v>
      </c>
      <c r="F50" s="5">
        <v>98.89</v>
      </c>
      <c r="G50" s="4">
        <f>C50*100/MAX($C$49:$C$55)</f>
        <v>100</v>
      </c>
      <c r="H50" s="4">
        <f>D50*100/MAX($D$49:$D$55)</f>
        <v>88.511450381679396</v>
      </c>
      <c r="I50" s="4">
        <f>E50*100/MAX($E$49:$E$55)</f>
        <v>69.232490490042508</v>
      </c>
      <c r="J50" s="15">
        <f t="shared" ref="J50:K55" si="18">100*MAX($G$49:$G$55)/G50-100</f>
        <v>0</v>
      </c>
      <c r="K50" s="15">
        <f t="shared" ref="K50:K54" si="19">100*MAX($H$49:$H$55)/H50-100</f>
        <v>12.979732643380757</v>
      </c>
      <c r="L50" s="15">
        <f t="shared" ref="L50:L55" si="20">100*MAX($I$49:$I$55)/I50-100</f>
        <v>44.440853264382696</v>
      </c>
      <c r="N50" s="16"/>
      <c r="O50" s="16"/>
      <c r="P50" s="16"/>
    </row>
    <row r="51" spans="1:20" x14ac:dyDescent="0.3">
      <c r="A51" s="21"/>
      <c r="B51" s="1" t="s">
        <v>4</v>
      </c>
      <c r="C51" s="13">
        <f>AVERAGE(C13,C4)</f>
        <v>30.19921875</v>
      </c>
      <c r="D51" s="13">
        <f t="shared" ref="D51:E51" si="21">AVERAGE(D13,D4)</f>
        <v>10.6748046875</v>
      </c>
      <c r="E51" s="14">
        <f t="shared" si="21"/>
        <v>11172.5</v>
      </c>
      <c r="F51" s="5">
        <v>98.89</v>
      </c>
      <c r="G51" s="4">
        <f t="shared" ref="G51" si="22">C51*100/MAX($C$49:$C$55)</f>
        <v>20.756405552224379</v>
      </c>
      <c r="H51" s="4">
        <f t="shared" ref="H51" si="23">D51*100/MAX($D$49:$D$55)</f>
        <v>52.151717557251906</v>
      </c>
      <c r="I51" s="4">
        <f t="shared" ref="I51" si="24">E51*100/MAX($E$49:$E$55)</f>
        <v>100</v>
      </c>
      <c r="J51" s="15">
        <f t="shared" si="18"/>
        <v>381.77898503858927</v>
      </c>
      <c r="K51" s="15">
        <f t="shared" si="19"/>
        <v>91.748238953435191</v>
      </c>
      <c r="L51" s="15">
        <f t="shared" si="20"/>
        <v>0</v>
      </c>
      <c r="N51" s="16"/>
      <c r="O51" s="16"/>
      <c r="P51" s="16"/>
    </row>
    <row r="52" spans="1:20" x14ac:dyDescent="0.3">
      <c r="A52" s="21"/>
      <c r="B52" s="1" t="s">
        <v>37</v>
      </c>
      <c r="C52" s="13">
        <f>AVERAGE(C41,C32,C5)</f>
        <v>15.23046875</v>
      </c>
      <c r="D52" s="13">
        <f t="shared" ref="D52:E52" si="25">AVERAGE(D41,D32,D5)</f>
        <v>6.26953125</v>
      </c>
      <c r="E52" s="14">
        <f t="shared" si="25"/>
        <v>5988.333333333333</v>
      </c>
      <c r="F52" s="5">
        <v>98.89</v>
      </c>
      <c r="G52" s="4">
        <f>C52*100/MAX($C$49:$C$55)</f>
        <v>10.468144515343791</v>
      </c>
      <c r="H52" s="4">
        <f>D52*100/MAX($D$49:$D$55)</f>
        <v>30.629770992366414</v>
      </c>
      <c r="I52" s="4">
        <f>E52*100/MAX($E$49:$E$55)</f>
        <v>53.598866263891992</v>
      </c>
      <c r="J52" s="15">
        <f t="shared" si="18"/>
        <v>855.27913140121404</v>
      </c>
      <c r="K52" s="15">
        <f t="shared" si="19"/>
        <v>226.4797507788162</v>
      </c>
      <c r="L52" s="15">
        <f t="shared" si="20"/>
        <v>86.57111049262457</v>
      </c>
      <c r="N52" s="16"/>
      <c r="O52" s="16"/>
      <c r="P52" s="16"/>
    </row>
    <row r="53" spans="1:20" x14ac:dyDescent="0.3">
      <c r="A53" s="21"/>
      <c r="B53" s="1" t="s">
        <v>38</v>
      </c>
      <c r="C53" s="13">
        <f>AVERAGE(C42,C33,C6)</f>
        <v>13.524739583333334</v>
      </c>
      <c r="D53" s="13">
        <f t="shared" ref="D53:E53" si="26">AVERAGE(D42,D33,D6)</f>
        <v>5.033854166666667</v>
      </c>
      <c r="E53" s="14">
        <f t="shared" si="26"/>
        <v>2864.6666666666665</v>
      </c>
      <c r="F53" s="5">
        <v>98.89</v>
      </c>
      <c r="G53" s="4">
        <f>C53*100/MAX($C$49:$C$55)</f>
        <v>9.295769605956739</v>
      </c>
      <c r="H53" s="4">
        <f>D53*100/MAX($D$49:$D$55)</f>
        <v>24.592875318066159</v>
      </c>
      <c r="I53" s="4">
        <f>E53*100/MAX($E$49:$E$55)</f>
        <v>25.640337137316322</v>
      </c>
      <c r="J53" s="15">
        <f t="shared" si="18"/>
        <v>975.75815923750838</v>
      </c>
      <c r="K53" s="15">
        <f t="shared" si="19"/>
        <v>306.62183135023275</v>
      </c>
      <c r="L53" s="15">
        <f t="shared" si="20"/>
        <v>290.01047242262052</v>
      </c>
      <c r="N53" s="16"/>
      <c r="O53" s="16"/>
      <c r="P53" s="16"/>
    </row>
    <row r="54" spans="1:20" x14ac:dyDescent="0.3">
      <c r="A54" s="21"/>
      <c r="B54" s="1" t="s">
        <v>39</v>
      </c>
      <c r="C54" s="13">
        <f>AVERAGE(C43,C34,C7)</f>
        <v>11.677083333333334</v>
      </c>
      <c r="D54" s="13">
        <f t="shared" ref="D54:E54" si="27">AVERAGE(D43,D34,D7)</f>
        <v>3.1380208333333335</v>
      </c>
      <c r="E54" s="14">
        <f t="shared" si="27"/>
        <v>1038</v>
      </c>
      <c r="F54" s="5">
        <v>98.89</v>
      </c>
      <c r="G54" s="4">
        <f>C54*100/MAX($C$49:$C$55)</f>
        <v>8.0258459445672514</v>
      </c>
      <c r="H54" s="4">
        <f>D54*100/MAX($D$49:$D$55)</f>
        <v>15.330788804071249</v>
      </c>
      <c r="I54" s="4">
        <f>E54*100/MAX($E$49:$E$55)</f>
        <v>9.290669053479526</v>
      </c>
      <c r="J54" s="15">
        <f t="shared" si="18"/>
        <v>1145.9745762711864</v>
      </c>
      <c r="K54" s="15">
        <f t="shared" si="19"/>
        <v>552.28215767634845</v>
      </c>
      <c r="L54" s="15">
        <f t="shared" si="20"/>
        <v>976.34874759152217</v>
      </c>
      <c r="N54" s="16"/>
      <c r="O54" s="16"/>
      <c r="P54" s="16"/>
    </row>
    <row r="55" spans="1:20" x14ac:dyDescent="0.3">
      <c r="A55" s="21"/>
      <c r="B55" s="1" t="s">
        <v>40</v>
      </c>
      <c r="C55" s="13">
        <f>AVERAGE(C44,C35,C8)</f>
        <v>10.84765625</v>
      </c>
      <c r="D55" s="13">
        <f t="shared" ref="D55:E55" si="28">AVERAGE(D44,D35,D8)</f>
        <v>2.33984375</v>
      </c>
      <c r="E55" s="14">
        <f t="shared" si="28"/>
        <v>1119</v>
      </c>
      <c r="F55" s="5">
        <v>89.17</v>
      </c>
      <c r="G55" s="4">
        <f>C55*100/MAX($C$49:$C$55)</f>
        <v>7.455767458094309</v>
      </c>
      <c r="H55" s="4">
        <f>D55*100/MAX($D$49:$D$55)</f>
        <v>11.431297709923664</v>
      </c>
      <c r="I55" s="4">
        <f>E55*100/MAX($E$49:$E$55)</f>
        <v>10.015663459386888</v>
      </c>
      <c r="J55" s="15">
        <f t="shared" si="18"/>
        <v>1241.2435481934942</v>
      </c>
      <c r="K55" s="15">
        <f t="shared" si="18"/>
        <v>774.79131886477467</v>
      </c>
      <c r="L55" s="15">
        <f t="shared" si="20"/>
        <v>898.4361036639857</v>
      </c>
      <c r="N55" s="16"/>
      <c r="O55" s="16"/>
      <c r="P55" s="16"/>
    </row>
    <row r="57" spans="1:20" x14ac:dyDescent="0.3">
      <c r="J57" s="18" t="s">
        <v>44</v>
      </c>
      <c r="K57" s="19"/>
      <c r="L57" s="20"/>
      <c r="M57" t="s">
        <v>35</v>
      </c>
      <c r="N57" s="16"/>
      <c r="O57" s="16"/>
      <c r="P57" s="16"/>
      <c r="Q57" s="16"/>
      <c r="R57" s="16"/>
      <c r="S57" s="16"/>
      <c r="T57" s="16"/>
    </row>
    <row r="58" spans="1:20" ht="43.2" x14ac:dyDescent="0.3">
      <c r="B58" s="3" t="s">
        <v>6</v>
      </c>
      <c r="C58" s="3" t="s">
        <v>43</v>
      </c>
      <c r="D58" s="3" t="s">
        <v>9</v>
      </c>
      <c r="E58" s="3" t="s">
        <v>10</v>
      </c>
      <c r="F58" s="3" t="s">
        <v>11</v>
      </c>
      <c r="G58" s="3" t="s">
        <v>22</v>
      </c>
      <c r="H58" s="3" t="s">
        <v>23</v>
      </c>
      <c r="I58" s="3" t="s">
        <v>24</v>
      </c>
      <c r="J58" s="3" t="s">
        <v>22</v>
      </c>
      <c r="K58" s="3" t="s">
        <v>23</v>
      </c>
      <c r="L58" s="3" t="s">
        <v>24</v>
      </c>
      <c r="N58" s="16"/>
      <c r="O58" s="16"/>
      <c r="P58" s="16"/>
      <c r="Q58" s="16"/>
      <c r="R58" s="16"/>
      <c r="S58" s="16"/>
      <c r="T58" s="16"/>
    </row>
    <row r="59" spans="1:20" x14ac:dyDescent="0.3">
      <c r="A59" s="21" t="s">
        <v>36</v>
      </c>
      <c r="B59" s="1" t="s">
        <v>0</v>
      </c>
      <c r="C59" s="13">
        <f>AVERAGE(G2,G29,G38)</f>
        <v>90.081124279984309</v>
      </c>
      <c r="D59" s="13">
        <f t="shared" ref="C59:E60" si="29">AVERAGE(H2,H29,H38)</f>
        <v>100</v>
      </c>
      <c r="E59" s="13">
        <f t="shared" si="29"/>
        <v>92.69804744999567</v>
      </c>
      <c r="F59" s="5">
        <v>98.89</v>
      </c>
      <c r="G59" s="4">
        <f>C59*100/MAX($C$49:$C$55)</f>
        <v>61.914195980837434</v>
      </c>
      <c r="H59" s="4">
        <f>D59*100/MAX($D$49:$D$55)</f>
        <v>488.5496183206107</v>
      </c>
      <c r="I59" s="4">
        <f>E59*100/MAX($E$49:$E$55)</f>
        <v>0.82969834370101292</v>
      </c>
      <c r="J59" s="15">
        <f>100*MAX(C$59:C$65)/C59-100</f>
        <v>5.0088633705060062</v>
      </c>
      <c r="K59" s="15">
        <f t="shared" ref="K59:L65" si="30">100*MAX(D$59:D$65)/D59-100</f>
        <v>0</v>
      </c>
      <c r="L59" s="15">
        <f t="shared" si="30"/>
        <v>0</v>
      </c>
      <c r="N59" s="16"/>
      <c r="O59" s="16"/>
      <c r="P59" s="16"/>
      <c r="Q59" s="16"/>
      <c r="R59" s="16"/>
      <c r="S59" s="16"/>
      <c r="T59" s="16"/>
    </row>
    <row r="60" spans="1:20" x14ac:dyDescent="0.3">
      <c r="A60" s="21"/>
      <c r="B60" s="1" t="s">
        <v>3</v>
      </c>
      <c r="C60" s="13">
        <f t="shared" si="29"/>
        <v>94.593164717784433</v>
      </c>
      <c r="D60" s="13">
        <f t="shared" si="29"/>
        <v>85.448662012371585</v>
      </c>
      <c r="E60" s="13">
        <f t="shared" si="29"/>
        <v>69.451241077397512</v>
      </c>
      <c r="F60" s="5">
        <v>98.89</v>
      </c>
      <c r="G60" s="4">
        <f>C60*100/MAX($C$49:$C$55)</f>
        <v>65.015393464464907</v>
      </c>
      <c r="H60" s="4">
        <f>D60*100/MAX($D$49:$D$55)</f>
        <v>417.45911212151003</v>
      </c>
      <c r="I60" s="4">
        <f>E60*100/MAX($E$49:$E$55)</f>
        <v>0.62162668227699713</v>
      </c>
      <c r="J60" s="15">
        <f t="shared" ref="J60:J65" si="31">100*MAX(C$59:C$65)/C60-100</f>
        <v>0</v>
      </c>
      <c r="K60" s="15">
        <f t="shared" si="30"/>
        <v>17.02933392394327</v>
      </c>
      <c r="L60" s="15">
        <f t="shared" si="30"/>
        <v>33.472125208952804</v>
      </c>
    </row>
    <row r="61" spans="1:20" x14ac:dyDescent="0.3">
      <c r="A61" s="21"/>
      <c r="B61" s="1" t="s">
        <v>4</v>
      </c>
      <c r="C61" s="13">
        <f>AVERAGE(G4,G13)</f>
        <v>61.24732350191502</v>
      </c>
      <c r="D61" s="13">
        <f>AVERAGE(H4,H13)</f>
        <v>81.007719416009394</v>
      </c>
      <c r="E61" s="13">
        <f>AVERAGE(I4,I13)</f>
        <v>80.226764287166972</v>
      </c>
      <c r="F61" s="5">
        <v>98.89</v>
      </c>
      <c r="G61" s="4">
        <f t="shared" ref="G61" si="32">C61*100/MAX($C$49:$C$55)</f>
        <v>42.096264016566039</v>
      </c>
      <c r="H61" s="4">
        <f t="shared" ref="H61" si="33">D61*100/MAX($D$49:$D$55)</f>
        <v>395.76290401714516</v>
      </c>
      <c r="I61" s="4">
        <f t="shared" ref="I61" si="34">E61*100/MAX($E$49:$E$55)</f>
        <v>0.71807352237338973</v>
      </c>
      <c r="J61" s="15">
        <f t="shared" si="31"/>
        <v>54.44456885504033</v>
      </c>
      <c r="K61" s="15">
        <f t="shared" si="30"/>
        <v>23.445025635713918</v>
      </c>
      <c r="L61" s="15">
        <f t="shared" si="30"/>
        <v>15.545040702611999</v>
      </c>
    </row>
    <row r="62" spans="1:20" x14ac:dyDescent="0.3">
      <c r="A62" s="21"/>
      <c r="B62" s="1" t="s">
        <v>37</v>
      </c>
      <c r="C62" s="13">
        <f t="shared" ref="C62:E63" si="35">AVERAGE(G5,G32,G41)</f>
        <v>9.9875677948205404</v>
      </c>
      <c r="D62" s="13">
        <f t="shared" si="35"/>
        <v>29.404598092766786</v>
      </c>
      <c r="E62" s="13">
        <f t="shared" si="35"/>
        <v>47.970800837337833</v>
      </c>
      <c r="F62" s="5">
        <v>98.89</v>
      </c>
      <c r="G62" s="4">
        <f>C62*100/MAX($C$49:$C$55)</f>
        <v>6.8646149208621656</v>
      </c>
      <c r="H62" s="4">
        <f>D62*100/MAX($D$49:$D$55)</f>
        <v>143.6560517509217</v>
      </c>
      <c r="I62" s="4">
        <f>E62*100/MAX($E$49:$E$55)</f>
        <v>0.42936496609834707</v>
      </c>
      <c r="J62" s="15">
        <f t="shared" si="31"/>
        <v>847.10911265943616</v>
      </c>
      <c r="K62" s="15">
        <f t="shared" si="30"/>
        <v>240.08286623920537</v>
      </c>
      <c r="L62" s="15">
        <f t="shared" si="30"/>
        <v>93.238482226556044</v>
      </c>
    </row>
    <row r="63" spans="1:20" x14ac:dyDescent="0.3">
      <c r="A63" s="21"/>
      <c r="B63" s="1" t="s">
        <v>38</v>
      </c>
      <c r="C63" s="13">
        <f t="shared" si="35"/>
        <v>8.7382380173690688</v>
      </c>
      <c r="D63" s="13">
        <f t="shared" si="35"/>
        <v>24.093329348312466</v>
      </c>
      <c r="E63" s="13">
        <f t="shared" si="35"/>
        <v>27.083359189542307</v>
      </c>
      <c r="F63" s="5">
        <v>98.89</v>
      </c>
      <c r="G63" s="4">
        <f>C63*100/MAX($C$49:$C$55)</f>
        <v>6.0059306037636313</v>
      </c>
      <c r="H63" s="4">
        <f>D63*100/MAX($D$49:$D$55)</f>
        <v>117.70786857190822</v>
      </c>
      <c r="I63" s="4">
        <f>E63*100/MAX($E$49:$E$55)</f>
        <v>0.24241091241478904</v>
      </c>
      <c r="J63" s="15">
        <f t="shared" si="31"/>
        <v>982.51989165047712</v>
      </c>
      <c r="K63" s="15">
        <f t="shared" si="30"/>
        <v>315.05264197537792</v>
      </c>
      <c r="L63" s="15">
        <f t="shared" si="30"/>
        <v>242.26938690009013</v>
      </c>
    </row>
    <row r="64" spans="1:20" x14ac:dyDescent="0.3">
      <c r="A64" s="21"/>
      <c r="B64" s="1" t="s">
        <v>39</v>
      </c>
      <c r="C64" s="13">
        <f t="shared" ref="C64:E65" si="36">AVERAGE(G7,G34,G43)</f>
        <v>7.5454252669510806</v>
      </c>
      <c r="D64" s="13">
        <f t="shared" si="36"/>
        <v>15.057584849303987</v>
      </c>
      <c r="E64" s="13">
        <f t="shared" si="36"/>
        <v>13.344372962648324</v>
      </c>
      <c r="F64" s="5">
        <v>98.89</v>
      </c>
      <c r="G64" s="4">
        <f>C64*100/MAX($C$49:$C$55)</f>
        <v>5.186091342341018</v>
      </c>
      <c r="H64" s="4">
        <f>D64*100/MAX($D$49:$D$55)</f>
        <v>73.563773309576732</v>
      </c>
      <c r="I64" s="4">
        <f>E64*100/MAX($E$49:$E$55)</f>
        <v>0.11943945368224054</v>
      </c>
      <c r="J64" s="15">
        <f t="shared" si="31"/>
        <v>1153.6492161959638</v>
      </c>
      <c r="K64" s="15">
        <f t="shared" si="30"/>
        <v>564.11712768546897</v>
      </c>
      <c r="L64" s="15">
        <f t="shared" si="30"/>
        <v>594.66019654473757</v>
      </c>
    </row>
    <row r="65" spans="1:12" x14ac:dyDescent="0.3">
      <c r="A65" s="21"/>
      <c r="B65" s="1" t="s">
        <v>40</v>
      </c>
      <c r="C65" s="13">
        <f t="shared" si="36"/>
        <v>7.0235828856597147</v>
      </c>
      <c r="D65" s="13">
        <f t="shared" si="36"/>
        <v>11.134765895877571</v>
      </c>
      <c r="E65" s="13">
        <f t="shared" si="36"/>
        <v>13.928775937676017</v>
      </c>
      <c r="F65" s="5">
        <v>89.17</v>
      </c>
      <c r="G65" s="4">
        <f>C65*100/MAX($C$49:$C$55)</f>
        <v>4.8274207359889214</v>
      </c>
      <c r="H65" s="4">
        <f>D65*100/MAX($D$49:$D$55)</f>
        <v>54.398856285203408</v>
      </c>
      <c r="I65" s="4">
        <f>E65*100/MAX($E$49:$E$55)</f>
        <v>0.12467018069076766</v>
      </c>
      <c r="J65" s="15">
        <f t="shared" si="31"/>
        <v>1246.7935989040363</v>
      </c>
      <c r="K65" s="15">
        <f t="shared" si="30"/>
        <v>798.08803287928163</v>
      </c>
      <c r="L65" s="15">
        <f t="shared" si="30"/>
        <v>565.51467167517751</v>
      </c>
    </row>
  </sheetData>
  <mergeCells count="10">
    <mergeCell ref="J57:L57"/>
    <mergeCell ref="A59:A65"/>
    <mergeCell ref="A49:A55"/>
    <mergeCell ref="J47:L47"/>
    <mergeCell ref="K1:M1"/>
    <mergeCell ref="A38:A46"/>
    <mergeCell ref="A2:A10"/>
    <mergeCell ref="A11:A19"/>
    <mergeCell ref="A20:A28"/>
    <mergeCell ref="A29:A3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CFD7D-6938-4333-B4A8-5FE51BEC0E00}">
  <dimension ref="A1:N10"/>
  <sheetViews>
    <sheetView workbookViewId="0">
      <selection activeCell="L10" sqref="L10"/>
    </sheetView>
  </sheetViews>
  <sheetFormatPr baseColWidth="10" defaultRowHeight="14.4" x14ac:dyDescent="0.3"/>
  <cols>
    <col min="2" max="2" width="20" bestFit="1" customWidth="1"/>
  </cols>
  <sheetData>
    <row r="1" spans="1:14" ht="43.2" x14ac:dyDescent="0.3">
      <c r="A1" s="3" t="s">
        <v>5</v>
      </c>
      <c r="B1" s="3" t="s">
        <v>6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22</v>
      </c>
      <c r="H1" s="3" t="s">
        <v>23</v>
      </c>
      <c r="I1" s="3" t="s">
        <v>24</v>
      </c>
      <c r="J1" s="3" t="s">
        <v>42</v>
      </c>
      <c r="K1" s="22" t="s">
        <v>14</v>
      </c>
      <c r="L1" s="22"/>
      <c r="M1" s="22"/>
      <c r="N1" s="17" t="s">
        <v>7</v>
      </c>
    </row>
    <row r="2" spans="1:14" x14ac:dyDescent="0.3">
      <c r="A2" s="23" t="s">
        <v>32</v>
      </c>
      <c r="B2" s="1" t="s">
        <v>0</v>
      </c>
      <c r="C2" s="4" t="s">
        <v>21</v>
      </c>
      <c r="D2" s="4"/>
      <c r="E2" s="2"/>
      <c r="F2" s="5"/>
      <c r="G2" s="4"/>
      <c r="H2" s="4"/>
      <c r="I2" s="4"/>
      <c r="K2" t="s">
        <v>25</v>
      </c>
      <c r="L2" t="s">
        <v>15</v>
      </c>
      <c r="M2" t="s">
        <v>16</v>
      </c>
      <c r="N2" t="s">
        <v>13</v>
      </c>
    </row>
    <row r="3" spans="1:14" x14ac:dyDescent="0.3">
      <c r="A3" s="23"/>
      <c r="B3" s="1" t="s">
        <v>3</v>
      </c>
      <c r="C3" s="4" t="s">
        <v>21</v>
      </c>
      <c r="D3" s="4"/>
      <c r="E3" s="2"/>
      <c r="F3" s="5"/>
      <c r="G3" s="4"/>
      <c r="H3" s="4"/>
      <c r="I3" s="4"/>
      <c r="K3" t="s">
        <v>26</v>
      </c>
      <c r="L3">
        <v>78424</v>
      </c>
      <c r="M3">
        <v>52660</v>
      </c>
      <c r="N3" t="s">
        <v>17</v>
      </c>
    </row>
    <row r="4" spans="1:14" x14ac:dyDescent="0.3">
      <c r="A4" s="23"/>
      <c r="B4" s="1" t="s">
        <v>4</v>
      </c>
      <c r="C4" s="4" t="s">
        <v>21</v>
      </c>
      <c r="D4" s="4"/>
      <c r="E4" s="2"/>
      <c r="F4" s="2"/>
      <c r="G4" s="4"/>
      <c r="H4" s="4"/>
      <c r="I4" s="4"/>
      <c r="K4" t="s">
        <v>27</v>
      </c>
      <c r="L4">
        <v>6712</v>
      </c>
      <c r="M4">
        <v>752</v>
      </c>
      <c r="N4" t="s">
        <v>18</v>
      </c>
    </row>
    <row r="5" spans="1:14" x14ac:dyDescent="0.3">
      <c r="A5" s="23"/>
      <c r="B5" s="1" t="s">
        <v>37</v>
      </c>
      <c r="C5" s="4">
        <f>(15038-$L$5)/1024</f>
        <v>14.0390625</v>
      </c>
      <c r="D5" s="4">
        <f>(5898-$M$5+J5)/1024</f>
        <v>7.7197265625</v>
      </c>
      <c r="E5" s="2">
        <v>75498</v>
      </c>
      <c r="F5" s="5">
        <v>98.89</v>
      </c>
      <c r="G5" s="4">
        <f>C5*100/MAX($C$2:$C$8)</f>
        <v>90.631698398688684</v>
      </c>
      <c r="H5" s="4">
        <f>D5*100/MAX($D$2:$D$8)</f>
        <v>100</v>
      </c>
      <c r="I5" s="4">
        <f>E5*100/MAX($E$2:$E$8)</f>
        <v>86.374244920373428</v>
      </c>
      <c r="J5">
        <v>2016</v>
      </c>
      <c r="K5" t="s">
        <v>28</v>
      </c>
      <c r="L5">
        <v>662</v>
      </c>
      <c r="M5">
        <v>9</v>
      </c>
      <c r="N5" t="s">
        <v>20</v>
      </c>
    </row>
    <row r="6" spans="1:14" x14ac:dyDescent="0.3">
      <c r="A6" s="23"/>
      <c r="B6" s="1" t="s">
        <v>38</v>
      </c>
      <c r="C6" s="4">
        <f>(16524-$L$5)/1024</f>
        <v>15.490234375</v>
      </c>
      <c r="D6" s="4">
        <f>(5898-$M$5+J6)/1024</f>
        <v>7.7197265625</v>
      </c>
      <c r="E6" s="2">
        <v>87408</v>
      </c>
      <c r="F6" s="5">
        <v>98.89</v>
      </c>
      <c r="G6" s="4">
        <f t="shared" ref="G6:G8" si="0">C6*100/MAX($C$2:$C$8)</f>
        <v>100</v>
      </c>
      <c r="H6" s="4">
        <f t="shared" ref="H6:H8" si="1">D6*100/MAX($D$2:$D$8)</f>
        <v>100</v>
      </c>
      <c r="I6" s="4">
        <f t="shared" ref="I6:I8" si="2">E6*100/MAX($E$2:$E$8)</f>
        <v>100</v>
      </c>
      <c r="J6">
        <v>2016</v>
      </c>
      <c r="K6" t="s">
        <v>29</v>
      </c>
      <c r="L6">
        <v>260089</v>
      </c>
      <c r="M6">
        <v>27892</v>
      </c>
    </row>
    <row r="7" spans="1:14" x14ac:dyDescent="0.3">
      <c r="A7" s="23"/>
      <c r="B7" s="1" t="s">
        <v>39</v>
      </c>
      <c r="C7" s="4">
        <f>(12320-$L$5)/1024</f>
        <v>11.384765625</v>
      </c>
      <c r="D7" s="4">
        <f>(3176-$M$5+J7)/1024</f>
        <v>4.0771484375</v>
      </c>
      <c r="E7" s="2">
        <v>37757</v>
      </c>
      <c r="F7" s="5">
        <v>98.89</v>
      </c>
      <c r="G7" s="4">
        <f t="shared" si="0"/>
        <v>73.49640650611525</v>
      </c>
      <c r="H7" s="4">
        <f t="shared" si="1"/>
        <v>52.814674256799492</v>
      </c>
      <c r="I7" s="4">
        <f t="shared" si="2"/>
        <v>43.196274940508879</v>
      </c>
      <c r="J7">
        <v>1008</v>
      </c>
      <c r="K7" t="s">
        <v>30</v>
      </c>
      <c r="L7">
        <v>203993</v>
      </c>
      <c r="M7">
        <v>11624</v>
      </c>
    </row>
    <row r="8" spans="1:14" x14ac:dyDescent="0.3">
      <c r="A8" s="23"/>
      <c r="B8" s="1" t="s">
        <v>40</v>
      </c>
      <c r="C8" s="4">
        <f>(10358-$L$5)/1024</f>
        <v>9.46875</v>
      </c>
      <c r="D8" s="4">
        <f>(1817-$M$5+J8)/1024</f>
        <v>2.2578125</v>
      </c>
      <c r="E8" s="2">
        <v>15221</v>
      </c>
      <c r="F8" s="5">
        <v>89.72</v>
      </c>
      <c r="G8" s="4">
        <f t="shared" si="0"/>
        <v>61.127222292270837</v>
      </c>
      <c r="H8" s="4">
        <f t="shared" si="1"/>
        <v>29.247311827956988</v>
      </c>
      <c r="I8" s="4">
        <f t="shared" si="2"/>
        <v>17.413737872963573</v>
      </c>
      <c r="J8">
        <v>504</v>
      </c>
    </row>
    <row r="9" spans="1:14" x14ac:dyDescent="0.3">
      <c r="A9" s="23"/>
      <c r="B9" s="1" t="s">
        <v>1</v>
      </c>
      <c r="C9" s="4" t="s">
        <v>12</v>
      </c>
      <c r="D9" s="4"/>
      <c r="E9" s="2"/>
      <c r="F9" s="2"/>
      <c r="G9" s="2"/>
      <c r="H9" s="2"/>
      <c r="I9" s="2"/>
    </row>
    <row r="10" spans="1:14" x14ac:dyDescent="0.3">
      <c r="A10" s="23"/>
      <c r="B10" s="1" t="s">
        <v>2</v>
      </c>
      <c r="C10" s="4" t="s">
        <v>12</v>
      </c>
      <c r="D10" s="4"/>
      <c r="E10" s="2"/>
      <c r="F10" s="2"/>
      <c r="G10" s="2"/>
      <c r="H10" s="2"/>
      <c r="I10" s="2"/>
    </row>
  </sheetData>
  <mergeCells count="2">
    <mergeCell ref="K1:M1"/>
    <mergeCell ref="A2:A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39DB7-2B5F-49E7-89DE-1600108BD4FA}">
  <dimension ref="A1:N10"/>
  <sheetViews>
    <sheetView topLeftCell="B1" workbookViewId="0">
      <selection activeCell="N5" sqref="N5"/>
    </sheetView>
  </sheetViews>
  <sheetFormatPr baseColWidth="10" defaultRowHeight="14.4" x14ac:dyDescent="0.3"/>
  <cols>
    <col min="2" max="2" width="20" bestFit="1" customWidth="1"/>
    <col min="11" max="11" width="12.33203125" bestFit="1" customWidth="1"/>
  </cols>
  <sheetData>
    <row r="1" spans="1:14" ht="43.2" x14ac:dyDescent="0.3">
      <c r="A1" s="3" t="s">
        <v>5</v>
      </c>
      <c r="B1" s="3" t="s">
        <v>6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22</v>
      </c>
      <c r="H1" s="3" t="s">
        <v>23</v>
      </c>
      <c r="I1" s="3" t="s">
        <v>24</v>
      </c>
      <c r="J1" s="3" t="s">
        <v>42</v>
      </c>
      <c r="K1" s="22" t="s">
        <v>14</v>
      </c>
      <c r="L1" s="22"/>
      <c r="M1" s="22"/>
      <c r="N1" s="17" t="s">
        <v>7</v>
      </c>
    </row>
    <row r="2" spans="1:14" ht="14.4" customHeight="1" x14ac:dyDescent="0.3">
      <c r="A2" s="24" t="s">
        <v>34</v>
      </c>
      <c r="B2" s="1" t="s">
        <v>0</v>
      </c>
      <c r="C2" s="8" t="s">
        <v>31</v>
      </c>
      <c r="D2" s="8"/>
      <c r="E2" s="9"/>
      <c r="F2" s="8"/>
      <c r="G2" s="8"/>
      <c r="H2" s="8"/>
      <c r="I2" s="8"/>
      <c r="K2" t="s">
        <v>25</v>
      </c>
      <c r="L2" t="s">
        <v>15</v>
      </c>
      <c r="M2" t="s">
        <v>16</v>
      </c>
      <c r="N2" t="s">
        <v>13</v>
      </c>
    </row>
    <row r="3" spans="1:14" x14ac:dyDescent="0.3">
      <c r="A3" s="24"/>
      <c r="B3" s="1" t="s">
        <v>3</v>
      </c>
      <c r="C3" s="8" t="s">
        <v>21</v>
      </c>
      <c r="D3" s="8"/>
      <c r="E3" s="9"/>
      <c r="F3" s="8"/>
      <c r="G3" s="8"/>
      <c r="H3" s="8"/>
      <c r="I3" s="8"/>
      <c r="K3" t="s">
        <v>26</v>
      </c>
      <c r="L3">
        <v>78424</v>
      </c>
      <c r="M3">
        <v>52660</v>
      </c>
      <c r="N3" t="s">
        <v>17</v>
      </c>
    </row>
    <row r="4" spans="1:14" x14ac:dyDescent="0.3">
      <c r="A4" s="24"/>
      <c r="B4" s="1" t="s">
        <v>45</v>
      </c>
      <c r="C4" s="8">
        <f>(38724-$L$4)/1024</f>
        <v>31.26171875</v>
      </c>
      <c r="D4" s="8">
        <f>(5816-$M$4+$J$5)/1024</f>
        <v>6.9140625</v>
      </c>
      <c r="E4" s="9">
        <v>5945</v>
      </c>
      <c r="F4" s="8">
        <v>98.89</v>
      </c>
      <c r="G4" s="8">
        <f>C4*100/MAX($C$2:$C$8)</f>
        <v>100</v>
      </c>
      <c r="H4" s="8">
        <f>D4*100/MAX($D$2:$D$8)</f>
        <v>100</v>
      </c>
      <c r="I4" s="8">
        <f>E4*100/MAX($E$2:$E$8)</f>
        <v>60.453528574333944</v>
      </c>
      <c r="K4" t="s">
        <v>27</v>
      </c>
      <c r="L4">
        <v>6712</v>
      </c>
      <c r="M4">
        <v>752</v>
      </c>
      <c r="N4" t="s">
        <v>18</v>
      </c>
    </row>
    <row r="5" spans="1:14" x14ac:dyDescent="0.3">
      <c r="A5" s="24"/>
      <c r="B5" s="1" t="s">
        <v>37</v>
      </c>
      <c r="C5" s="11">
        <f>(30272-$L$4)/1024</f>
        <v>23.0078125</v>
      </c>
      <c r="D5" s="11">
        <f>(1440-$M$4+J5)/1024</f>
        <v>2.640625</v>
      </c>
      <c r="E5" s="12">
        <v>9834</v>
      </c>
      <c r="F5" s="8">
        <v>98.89</v>
      </c>
      <c r="G5" s="8">
        <f t="shared" ref="G5:G8" si="0">C5*100/MAX($C$2:$C$8)</f>
        <v>73.59740097463451</v>
      </c>
      <c r="H5" s="8">
        <f t="shared" ref="H5:H8" si="1">D5*100/MAX($D$2:$D$8)</f>
        <v>38.192090395480228</v>
      </c>
      <c r="I5" s="8">
        <f t="shared" ref="I5:I8" si="2">E5*100/MAX($E$2:$E$8)</f>
        <v>100</v>
      </c>
      <c r="J5">
        <v>2016</v>
      </c>
      <c r="K5" t="s">
        <v>28</v>
      </c>
      <c r="L5">
        <v>662</v>
      </c>
      <c r="M5">
        <v>9</v>
      </c>
      <c r="N5" t="s">
        <v>20</v>
      </c>
    </row>
    <row r="6" spans="1:14" x14ac:dyDescent="0.3">
      <c r="A6" s="24"/>
      <c r="B6" s="1" t="s">
        <v>38</v>
      </c>
      <c r="C6" s="11">
        <f>(26192-$L$4)/1024</f>
        <v>19.0234375</v>
      </c>
      <c r="D6" s="11">
        <f>(1436-$M$4+J6)/1024</f>
        <v>2.63671875</v>
      </c>
      <c r="E6" s="12">
        <v>2746</v>
      </c>
      <c r="F6" s="8">
        <v>98.89</v>
      </c>
      <c r="G6" s="8">
        <f t="shared" si="0"/>
        <v>60.852180432337875</v>
      </c>
      <c r="H6" s="8">
        <f t="shared" si="1"/>
        <v>38.135593220338983</v>
      </c>
      <c r="I6" s="8">
        <f t="shared" si="2"/>
        <v>27.923530608094367</v>
      </c>
      <c r="J6">
        <v>2016</v>
      </c>
      <c r="K6" t="s">
        <v>29</v>
      </c>
      <c r="L6">
        <v>260089</v>
      </c>
      <c r="M6">
        <v>27892</v>
      </c>
    </row>
    <row r="7" spans="1:14" x14ac:dyDescent="0.3">
      <c r="A7" s="24"/>
      <c r="B7" s="1" t="s">
        <v>39</v>
      </c>
      <c r="C7" s="11">
        <f>(22624-$L$4)/1024</f>
        <v>15.5390625</v>
      </c>
      <c r="D7" s="11">
        <f>(1308-$M$4+J7)/1024</f>
        <v>1.52734375</v>
      </c>
      <c r="E7" s="12">
        <v>2449</v>
      </c>
      <c r="F7" s="8">
        <v>98.89</v>
      </c>
      <c r="G7" s="8">
        <f t="shared" si="0"/>
        <v>49.706360114956894</v>
      </c>
      <c r="H7" s="8">
        <f t="shared" si="1"/>
        <v>22.09039548022599</v>
      </c>
      <c r="I7" s="8">
        <f t="shared" si="2"/>
        <v>24.903396379906447</v>
      </c>
      <c r="J7">
        <v>1008</v>
      </c>
      <c r="K7" t="s">
        <v>30</v>
      </c>
      <c r="L7">
        <v>203993</v>
      </c>
      <c r="M7">
        <v>11624</v>
      </c>
    </row>
    <row r="8" spans="1:14" x14ac:dyDescent="0.3">
      <c r="A8" s="24"/>
      <c r="B8" s="1" t="s">
        <v>40</v>
      </c>
      <c r="C8" s="11">
        <f>(21372-$L$4)/1024</f>
        <v>14.31640625</v>
      </c>
      <c r="D8" s="11">
        <f>(1244-$M$4+J8)/1024</f>
        <v>0.97265625</v>
      </c>
      <c r="E8" s="12">
        <v>2384</v>
      </c>
      <c r="F8" s="8">
        <v>89.17</v>
      </c>
      <c r="G8" s="8">
        <f t="shared" si="0"/>
        <v>45.795326752467822</v>
      </c>
      <c r="H8" s="8">
        <f t="shared" si="1"/>
        <v>14.067796610169491</v>
      </c>
      <c r="I8" s="8">
        <f t="shared" si="2"/>
        <v>24.242424242424242</v>
      </c>
      <c r="J8">
        <v>504</v>
      </c>
    </row>
    <row r="9" spans="1:14" x14ac:dyDescent="0.3">
      <c r="A9" s="24"/>
      <c r="B9" s="1" t="s">
        <v>1</v>
      </c>
      <c r="C9" s="4" t="s">
        <v>12</v>
      </c>
      <c r="D9" s="4"/>
      <c r="E9" s="2"/>
      <c r="F9" s="2"/>
      <c r="G9" s="2"/>
      <c r="H9" s="2"/>
      <c r="I9" s="2"/>
    </row>
    <row r="10" spans="1:14" x14ac:dyDescent="0.3">
      <c r="A10" s="24"/>
      <c r="B10" s="1" t="s">
        <v>2</v>
      </c>
      <c r="C10" s="4" t="s">
        <v>12</v>
      </c>
      <c r="D10" s="4"/>
      <c r="E10" s="2"/>
      <c r="F10" s="2"/>
      <c r="G10" s="2"/>
      <c r="H10" s="2"/>
      <c r="I10" s="2"/>
    </row>
  </sheetData>
  <mergeCells count="2">
    <mergeCell ref="K1:M1"/>
    <mergeCell ref="A2:A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9BA1-34F3-4EF3-BB89-642F44B36BE2}">
  <dimension ref="A1:N10"/>
  <sheetViews>
    <sheetView workbookViewId="0">
      <selection activeCell="D7" sqref="D7"/>
    </sheetView>
  </sheetViews>
  <sheetFormatPr baseColWidth="10" defaultRowHeight="14.4" x14ac:dyDescent="0.3"/>
  <cols>
    <col min="2" max="2" width="20" bestFit="1" customWidth="1"/>
    <col min="11" max="11" width="12.33203125" bestFit="1" customWidth="1"/>
  </cols>
  <sheetData>
    <row r="1" spans="1:14" ht="43.2" x14ac:dyDescent="0.3">
      <c r="A1" s="3" t="s">
        <v>5</v>
      </c>
      <c r="B1" s="3" t="s">
        <v>6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22</v>
      </c>
      <c r="H1" s="3" t="s">
        <v>23</v>
      </c>
      <c r="I1" s="3" t="s">
        <v>24</v>
      </c>
      <c r="J1" s="3" t="s">
        <v>42</v>
      </c>
      <c r="K1" s="25" t="s">
        <v>14</v>
      </c>
      <c r="L1" s="25"/>
      <c r="M1" s="25"/>
      <c r="N1" s="3" t="s">
        <v>47</v>
      </c>
    </row>
    <row r="2" spans="1:14" ht="14.4" customHeight="1" x14ac:dyDescent="0.3">
      <c r="A2" s="24" t="s">
        <v>19</v>
      </c>
      <c r="B2" s="1" t="s">
        <v>0</v>
      </c>
      <c r="C2" s="8">
        <f>(393381-$L$6)/1024</f>
        <v>130.16796875</v>
      </c>
      <c r="D2" s="8">
        <f>(53660-$M$6)/1024</f>
        <v>25.1640625</v>
      </c>
      <c r="E2" s="9">
        <v>11531</v>
      </c>
      <c r="F2" s="8">
        <v>98.89</v>
      </c>
      <c r="G2" s="8">
        <f t="shared" ref="G2:G8" si="0">C2*100/MAX($C$2:$C$8)</f>
        <v>100</v>
      </c>
      <c r="H2" s="8">
        <f t="shared" ref="H2:H8" si="1">D2*100/MAX($D$2:$D$8)</f>
        <v>100</v>
      </c>
      <c r="I2" s="8">
        <f t="shared" ref="I2:I8" si="2">E2*100/MAX($E$2:$E$8)</f>
        <v>99.84414234998701</v>
      </c>
      <c r="K2" t="s">
        <v>25</v>
      </c>
      <c r="L2" t="s">
        <v>15</v>
      </c>
      <c r="M2" t="s">
        <v>16</v>
      </c>
      <c r="N2" t="s">
        <v>13</v>
      </c>
    </row>
    <row r="3" spans="1:14" x14ac:dyDescent="0.3">
      <c r="A3" s="24"/>
      <c r="B3" s="1" t="s">
        <v>3</v>
      </c>
      <c r="C3" s="8">
        <f>(378477-$L$6)/1024</f>
        <v>115.61328125</v>
      </c>
      <c r="D3" s="8">
        <f>(51916-$M$6)/1024</f>
        <v>23.4609375</v>
      </c>
      <c r="E3" s="9">
        <v>11549</v>
      </c>
      <c r="F3" s="8">
        <v>98.89</v>
      </c>
      <c r="G3" s="8">
        <f t="shared" si="0"/>
        <v>88.818533745461096</v>
      </c>
      <c r="H3" s="8">
        <f t="shared" si="1"/>
        <v>93.231915554175728</v>
      </c>
      <c r="I3" s="8">
        <f t="shared" si="2"/>
        <v>100</v>
      </c>
      <c r="K3" t="s">
        <v>26</v>
      </c>
      <c r="L3">
        <v>78424</v>
      </c>
      <c r="M3">
        <v>52660</v>
      </c>
      <c r="N3" t="s">
        <v>17</v>
      </c>
    </row>
    <row r="4" spans="1:14" x14ac:dyDescent="0.3">
      <c r="A4" s="24"/>
      <c r="B4" s="1" t="s">
        <v>4</v>
      </c>
      <c r="C4" s="8" t="s">
        <v>21</v>
      </c>
      <c r="D4" s="8"/>
      <c r="E4" s="9"/>
      <c r="F4" s="9"/>
      <c r="G4" s="8" t="e">
        <f t="shared" si="0"/>
        <v>#VALUE!</v>
      </c>
      <c r="H4" s="8">
        <f t="shared" si="1"/>
        <v>0</v>
      </c>
      <c r="I4" s="8">
        <f t="shared" si="2"/>
        <v>0</v>
      </c>
      <c r="K4" t="s">
        <v>27</v>
      </c>
      <c r="L4">
        <v>6712</v>
      </c>
      <c r="M4">
        <v>752</v>
      </c>
      <c r="N4" t="s">
        <v>18</v>
      </c>
    </row>
    <row r="5" spans="1:14" x14ac:dyDescent="0.3">
      <c r="A5" s="24"/>
      <c r="B5" s="1" t="s">
        <v>37</v>
      </c>
      <c r="C5" s="8">
        <f>(277621-$L$6)/1024</f>
        <v>17.12109375</v>
      </c>
      <c r="D5" s="8">
        <f>(33928-$M$6+J5)/1024</f>
        <v>7.86328125</v>
      </c>
      <c r="E5" s="9">
        <v>8213</v>
      </c>
      <c r="F5" s="8">
        <v>98.89</v>
      </c>
      <c r="G5" s="8">
        <f t="shared" si="0"/>
        <v>13.153077454010743</v>
      </c>
      <c r="H5" s="8">
        <f t="shared" si="1"/>
        <v>31.248059608817137</v>
      </c>
      <c r="I5" s="8">
        <f t="shared" si="2"/>
        <v>71.11438219759286</v>
      </c>
      <c r="J5">
        <v>2016</v>
      </c>
      <c r="K5" t="s">
        <v>28</v>
      </c>
      <c r="L5">
        <v>662</v>
      </c>
      <c r="M5">
        <v>9</v>
      </c>
      <c r="N5" t="s">
        <v>20</v>
      </c>
    </row>
    <row r="6" spans="1:14" x14ac:dyDescent="0.3">
      <c r="A6" s="24"/>
      <c r="B6" s="1" t="s">
        <v>38</v>
      </c>
      <c r="C6" s="8">
        <f>(276413-$L$6)/1024</f>
        <v>15.94140625</v>
      </c>
      <c r="D6" s="8">
        <f>(33912-$M$6+J6)/1024</f>
        <v>7.84765625</v>
      </c>
      <c r="E6" s="9">
        <v>5012</v>
      </c>
      <c r="F6" s="8">
        <v>98.89</v>
      </c>
      <c r="G6" s="8">
        <f t="shared" si="0"/>
        <v>12.246796506917144</v>
      </c>
      <c r="H6" s="8">
        <f t="shared" si="1"/>
        <v>31.185967090965537</v>
      </c>
      <c r="I6" s="8">
        <f t="shared" si="2"/>
        <v>43.39769677028314</v>
      </c>
      <c r="J6">
        <v>2016</v>
      </c>
      <c r="K6" t="s">
        <v>29</v>
      </c>
      <c r="L6">
        <v>260089</v>
      </c>
      <c r="M6">
        <v>27892</v>
      </c>
    </row>
    <row r="7" spans="1:14" x14ac:dyDescent="0.3">
      <c r="A7" s="24"/>
      <c r="B7" s="1" t="s">
        <v>39</v>
      </c>
      <c r="C7" s="8">
        <f>(273581-$L$6)/1024</f>
        <v>13.17578125</v>
      </c>
      <c r="D7" s="8">
        <f>(31368-$M$6+J7)/1024</f>
        <v>4.37890625</v>
      </c>
      <c r="E7" s="9">
        <v>1489</v>
      </c>
      <c r="F7" s="8">
        <v>98.89</v>
      </c>
      <c r="G7" s="8">
        <f t="shared" si="0"/>
        <v>10.122137862737448</v>
      </c>
      <c r="H7" s="8">
        <f t="shared" si="1"/>
        <v>17.401428127910588</v>
      </c>
      <c r="I7" s="8">
        <f t="shared" si="2"/>
        <v>12.892891159407741</v>
      </c>
      <c r="J7">
        <v>1008</v>
      </c>
      <c r="K7" t="s">
        <v>30</v>
      </c>
      <c r="L7">
        <v>203993</v>
      </c>
      <c r="M7">
        <v>11624</v>
      </c>
    </row>
    <row r="8" spans="1:14" x14ac:dyDescent="0.3">
      <c r="A8" s="24"/>
      <c r="B8" s="1" t="s">
        <v>40</v>
      </c>
      <c r="C8" s="8">
        <f>(272401-$L$6)/1024</f>
        <v>12.0234375</v>
      </c>
      <c r="D8" s="8">
        <f>(30052-$M$6+J7)/1024</f>
        <v>3.09375</v>
      </c>
      <c r="E8" s="9">
        <v>1705</v>
      </c>
      <c r="F8" s="8">
        <v>89.72</v>
      </c>
      <c r="G8" s="8">
        <f t="shared" si="0"/>
        <v>9.2368634276625752</v>
      </c>
      <c r="H8" s="8">
        <f t="shared" si="1"/>
        <v>12.294318534616579</v>
      </c>
      <c r="I8" s="8">
        <f t="shared" si="2"/>
        <v>14.763182959563599</v>
      </c>
      <c r="J8">
        <v>504</v>
      </c>
    </row>
    <row r="9" spans="1:14" x14ac:dyDescent="0.3">
      <c r="A9" s="24"/>
      <c r="B9" s="1" t="s">
        <v>1</v>
      </c>
      <c r="C9" s="4" t="s">
        <v>12</v>
      </c>
      <c r="D9" s="4"/>
      <c r="E9" s="2"/>
      <c r="F9" s="2"/>
      <c r="G9" s="2"/>
      <c r="H9" s="2"/>
      <c r="I9" s="2"/>
    </row>
    <row r="10" spans="1:14" x14ac:dyDescent="0.3">
      <c r="A10" s="24"/>
      <c r="B10" s="1" t="s">
        <v>2</v>
      </c>
      <c r="C10" s="4" t="s">
        <v>12</v>
      </c>
      <c r="D10" s="4"/>
      <c r="E10" s="2"/>
      <c r="F10" s="2"/>
      <c r="G10" s="2"/>
      <c r="H10" s="2"/>
      <c r="I10" s="2"/>
    </row>
  </sheetData>
  <mergeCells count="2">
    <mergeCell ref="K1:M1"/>
    <mergeCell ref="A2:A1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2F1B2-2CD6-46C4-8023-CB5DEEB9D0B6}">
  <dimension ref="A1:N10"/>
  <sheetViews>
    <sheetView workbookViewId="0">
      <selection activeCell="M19" sqref="M19"/>
    </sheetView>
  </sheetViews>
  <sheetFormatPr baseColWidth="10" defaultRowHeight="14.4" x14ac:dyDescent="0.3"/>
  <cols>
    <col min="2" max="2" width="20" bestFit="1" customWidth="1"/>
  </cols>
  <sheetData>
    <row r="1" spans="1:14" ht="43.2" x14ac:dyDescent="0.3">
      <c r="A1" s="3" t="s">
        <v>5</v>
      </c>
      <c r="B1" s="3" t="s">
        <v>6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22</v>
      </c>
      <c r="H1" s="3" t="s">
        <v>23</v>
      </c>
      <c r="I1" s="3" t="s">
        <v>24</v>
      </c>
      <c r="J1" s="3" t="s">
        <v>42</v>
      </c>
      <c r="K1" s="22" t="s">
        <v>14</v>
      </c>
      <c r="L1" s="22"/>
      <c r="M1" s="22"/>
      <c r="N1" s="17" t="s">
        <v>7</v>
      </c>
    </row>
    <row r="2" spans="1:14" ht="14.4" customHeight="1" x14ac:dyDescent="0.3">
      <c r="A2" s="23" t="s">
        <v>46</v>
      </c>
      <c r="B2" s="1" t="s">
        <v>0</v>
      </c>
      <c r="C2" s="4">
        <f>(410322-$L$7)/1024</f>
        <v>201.4931640625</v>
      </c>
      <c r="D2" s="4">
        <f>(24900-$M$7)/1024</f>
        <v>12.96484375</v>
      </c>
      <c r="E2" s="2">
        <v>1885</v>
      </c>
      <c r="F2" s="5">
        <v>98.89</v>
      </c>
      <c r="G2" s="4">
        <f>C2*100/MAX($C$2:$C$8)</f>
        <v>100</v>
      </c>
      <c r="H2" s="4">
        <f>D2*100/MAX($D$2:$D$8)</f>
        <v>100</v>
      </c>
      <c r="I2" s="4">
        <f>E2*100/MAX($E$2:$E$8)</f>
        <v>100</v>
      </c>
      <c r="K2" t="s">
        <v>25</v>
      </c>
      <c r="L2" t="s">
        <v>15</v>
      </c>
      <c r="M2" t="s">
        <v>16</v>
      </c>
      <c r="N2" t="s">
        <v>13</v>
      </c>
    </row>
    <row r="3" spans="1:14" x14ac:dyDescent="0.3">
      <c r="A3" s="23"/>
      <c r="B3" s="1" t="s">
        <v>3</v>
      </c>
      <c r="C3" s="4">
        <f>(399925-$L$7)/1024</f>
        <v>191.33984375</v>
      </c>
      <c r="D3" s="4">
        <f>(20736-$M$7)/1024</f>
        <v>8.8984375</v>
      </c>
      <c r="E3" s="2">
        <v>794</v>
      </c>
      <c r="F3" s="5">
        <v>98.89</v>
      </c>
      <c r="G3" s="4">
        <f t="shared" ref="G3:G8" si="0">C3*100/MAX($C$2:$C$8)</f>
        <v>94.960960407892244</v>
      </c>
      <c r="H3" s="4">
        <f t="shared" ref="H3:H8" si="1">D3*100/MAX($D$2:$D$8)</f>
        <v>68.635131063573368</v>
      </c>
      <c r="I3" s="4">
        <f t="shared" ref="I3:I8" si="2">E3*100/MAX($E$2:$E$8)</f>
        <v>42.122015915119363</v>
      </c>
      <c r="K3" t="s">
        <v>26</v>
      </c>
      <c r="L3">
        <v>78424</v>
      </c>
      <c r="M3">
        <v>52660</v>
      </c>
      <c r="N3" t="s">
        <v>17</v>
      </c>
    </row>
    <row r="4" spans="1:14" x14ac:dyDescent="0.3">
      <c r="A4" s="23"/>
      <c r="B4" s="1" t="s">
        <v>4</v>
      </c>
      <c r="C4" s="4"/>
      <c r="D4" s="4"/>
      <c r="E4" s="2"/>
      <c r="F4" s="5"/>
      <c r="G4" s="4">
        <f t="shared" si="0"/>
        <v>0</v>
      </c>
      <c r="H4" s="4">
        <f t="shared" si="1"/>
        <v>0</v>
      </c>
      <c r="I4" s="4">
        <f t="shared" si="2"/>
        <v>0</v>
      </c>
      <c r="K4" t="s">
        <v>27</v>
      </c>
      <c r="L4">
        <v>6712</v>
      </c>
      <c r="M4">
        <v>752</v>
      </c>
      <c r="N4" t="s">
        <v>18</v>
      </c>
    </row>
    <row r="5" spans="1:14" x14ac:dyDescent="0.3">
      <c r="A5" s="23"/>
      <c r="B5" s="1" t="s">
        <v>37</v>
      </c>
      <c r="C5" s="4">
        <f>(223481-$L$7)/1024</f>
        <v>19.03125</v>
      </c>
      <c r="D5" s="4">
        <f>(12588-$M$7+J5)/1024</f>
        <v>2.91015625</v>
      </c>
      <c r="E5" s="2">
        <v>284</v>
      </c>
      <c r="F5" s="5">
        <v>98.89</v>
      </c>
      <c r="G5" s="4">
        <f t="shared" si="0"/>
        <v>9.4451095095696687</v>
      </c>
      <c r="H5" s="4">
        <f t="shared" si="1"/>
        <v>22.446520036155469</v>
      </c>
      <c r="I5" s="4">
        <f t="shared" si="2"/>
        <v>15.066312997347481</v>
      </c>
      <c r="J5">
        <v>2016</v>
      </c>
      <c r="K5" t="s">
        <v>28</v>
      </c>
      <c r="L5">
        <v>662</v>
      </c>
      <c r="M5">
        <v>9</v>
      </c>
      <c r="N5" t="s">
        <v>20</v>
      </c>
    </row>
    <row r="6" spans="1:14" x14ac:dyDescent="0.3">
      <c r="A6" s="23"/>
      <c r="B6" s="1" t="s">
        <v>38</v>
      </c>
      <c r="C6" s="4">
        <f>(222745-$L$7)/1024</f>
        <v>18.3125</v>
      </c>
      <c r="D6" s="4">
        <f>(12584-$M$7+J6)/1024</f>
        <v>2.90625</v>
      </c>
      <c r="E6" s="2">
        <v>341</v>
      </c>
      <c r="F6" s="5">
        <v>98.89</v>
      </c>
      <c r="G6" s="4">
        <f t="shared" si="0"/>
        <v>9.0883976561704856</v>
      </c>
      <c r="H6" s="4">
        <f t="shared" si="1"/>
        <v>22.41639047905996</v>
      </c>
      <c r="I6" s="4">
        <f t="shared" si="2"/>
        <v>18.090185676392572</v>
      </c>
      <c r="J6">
        <v>2016</v>
      </c>
      <c r="K6" t="s">
        <v>29</v>
      </c>
      <c r="L6">
        <v>260089</v>
      </c>
      <c r="M6">
        <v>27892</v>
      </c>
    </row>
    <row r="7" spans="1:14" x14ac:dyDescent="0.3">
      <c r="A7" s="23"/>
      <c r="B7" s="1" t="s">
        <v>39</v>
      </c>
      <c r="C7" s="4">
        <f>(220181-$L$7)/1024</f>
        <v>15.80859375</v>
      </c>
      <c r="D7" s="4">
        <f>(12456-$M$7+J7)/1024</f>
        <v>1.796875</v>
      </c>
      <c r="E7" s="2">
        <v>367</v>
      </c>
      <c r="F7" s="5">
        <v>98.89</v>
      </c>
      <c r="G7" s="4">
        <f t="shared" si="0"/>
        <v>7.8457221234048538</v>
      </c>
      <c r="H7" s="4">
        <f t="shared" si="1"/>
        <v>13.85959626393492</v>
      </c>
      <c r="I7" s="4">
        <f t="shared" si="2"/>
        <v>19.469496021220159</v>
      </c>
      <c r="J7">
        <v>1008</v>
      </c>
      <c r="K7" t="s">
        <v>30</v>
      </c>
      <c r="L7">
        <v>203993</v>
      </c>
      <c r="M7">
        <v>11624</v>
      </c>
    </row>
    <row r="8" spans="1:14" x14ac:dyDescent="0.3">
      <c r="A8" s="23"/>
      <c r="B8" s="1" t="s">
        <v>40</v>
      </c>
      <c r="C8" s="4">
        <f>(218877-$L$7)/1024</f>
        <v>14.53515625</v>
      </c>
      <c r="D8" s="4">
        <f>(12392-$M$7+J8)/1024</f>
        <v>1.2421875</v>
      </c>
      <c r="E8" s="2">
        <v>361</v>
      </c>
      <c r="F8" s="5">
        <v>89.17</v>
      </c>
      <c r="G8" s="4">
        <f t="shared" si="0"/>
        <v>7.2137217744476052</v>
      </c>
      <c r="H8" s="4">
        <f t="shared" si="1"/>
        <v>9.581199156372401</v>
      </c>
      <c r="I8" s="4">
        <f t="shared" si="2"/>
        <v>19.151193633952253</v>
      </c>
      <c r="J8">
        <v>504</v>
      </c>
    </row>
    <row r="9" spans="1:14" x14ac:dyDescent="0.3">
      <c r="A9" s="23"/>
      <c r="B9" s="1" t="s">
        <v>1</v>
      </c>
      <c r="C9" s="4" t="s">
        <v>12</v>
      </c>
      <c r="D9" s="4"/>
      <c r="E9" s="2"/>
      <c r="F9" s="2"/>
      <c r="G9" s="2"/>
      <c r="H9" s="2"/>
      <c r="I9" s="2"/>
    </row>
    <row r="10" spans="1:14" x14ac:dyDescent="0.3">
      <c r="A10" s="23"/>
      <c r="B10" s="1" t="s">
        <v>2</v>
      </c>
      <c r="C10" s="4" t="s">
        <v>12</v>
      </c>
      <c r="D10" s="4"/>
      <c r="E10" s="2"/>
      <c r="F10" s="2"/>
      <c r="G10" s="2"/>
      <c r="H10" s="2"/>
      <c r="I10" s="2"/>
    </row>
  </sheetData>
  <mergeCells count="2">
    <mergeCell ref="K1:M1"/>
    <mergeCell ref="A2:A1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96E22-5FB5-40B5-84FA-D4F6B403FDCD}">
  <dimension ref="A1:N10"/>
  <sheetViews>
    <sheetView workbookViewId="0">
      <selection activeCell="J2" sqref="J2:M8"/>
    </sheetView>
  </sheetViews>
  <sheetFormatPr baseColWidth="10" defaultRowHeight="14.4" x14ac:dyDescent="0.3"/>
  <cols>
    <col min="2" max="2" width="20" bestFit="1" customWidth="1"/>
  </cols>
  <sheetData>
    <row r="1" spans="1:14" ht="43.2" x14ac:dyDescent="0.3">
      <c r="A1" s="3" t="s">
        <v>5</v>
      </c>
      <c r="B1" s="3" t="s">
        <v>6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22</v>
      </c>
      <c r="H1" s="3" t="s">
        <v>23</v>
      </c>
      <c r="I1" s="3" t="s">
        <v>24</v>
      </c>
      <c r="J1" s="3" t="s">
        <v>42</v>
      </c>
      <c r="K1" s="22" t="s">
        <v>14</v>
      </c>
      <c r="L1" s="22"/>
      <c r="M1" s="22"/>
      <c r="N1" s="17" t="s">
        <v>7</v>
      </c>
    </row>
    <row r="2" spans="1:14" x14ac:dyDescent="0.3">
      <c r="A2" s="23" t="s">
        <v>32</v>
      </c>
      <c r="B2" s="1" t="s">
        <v>0</v>
      </c>
      <c r="C2" s="4">
        <f>(171592-L3)/1024</f>
        <v>90.984375</v>
      </c>
      <c r="D2" s="4">
        <f>(76496-M3)/1024</f>
        <v>23.27734375</v>
      </c>
      <c r="E2" s="2">
        <v>12833</v>
      </c>
      <c r="F2" s="5">
        <v>98.89</v>
      </c>
      <c r="G2" s="4">
        <f>C2*100/MAX(C$2:C$8)</f>
        <v>70.243372839952954</v>
      </c>
      <c r="H2" s="4">
        <f t="shared" ref="H2:I8" si="0">D2*100/MAX(D$2:D$8)</f>
        <v>94.176214934808371</v>
      </c>
      <c r="I2" s="4">
        <f t="shared" si="0"/>
        <v>78.25</v>
      </c>
      <c r="K2" t="s">
        <v>25</v>
      </c>
      <c r="L2" t="s">
        <v>15</v>
      </c>
      <c r="M2" t="s">
        <v>16</v>
      </c>
      <c r="N2" t="s">
        <v>13</v>
      </c>
    </row>
    <row r="3" spans="1:14" x14ac:dyDescent="0.3">
      <c r="A3" s="23"/>
      <c r="B3" s="1" t="s">
        <v>3</v>
      </c>
      <c r="C3" s="4">
        <f>(211060-L3)/1024</f>
        <v>129.52734375</v>
      </c>
      <c r="D3" s="4">
        <f>(75180-M3)/1024</f>
        <v>21.9921875</v>
      </c>
      <c r="E3" s="2">
        <v>10862</v>
      </c>
      <c r="F3" s="5">
        <v>98.89</v>
      </c>
      <c r="G3" s="4">
        <f t="shared" ref="G3:G8" si="1">C3*100/MAX(C$2:C$8)</f>
        <v>100</v>
      </c>
      <c r="H3" s="4">
        <f t="shared" si="0"/>
        <v>88.976689055709201</v>
      </c>
      <c r="I3" s="4">
        <f t="shared" si="0"/>
        <v>66.231707317073173</v>
      </c>
      <c r="K3" t="s">
        <v>26</v>
      </c>
      <c r="L3">
        <v>78424</v>
      </c>
      <c r="M3">
        <v>52660</v>
      </c>
      <c r="N3" t="s">
        <v>17</v>
      </c>
    </row>
    <row r="4" spans="1:14" x14ac:dyDescent="0.3">
      <c r="A4" s="23"/>
      <c r="B4" s="1" t="s">
        <v>4</v>
      </c>
      <c r="C4" s="4">
        <f>(108260-L3)/1024</f>
        <v>29.13671875</v>
      </c>
      <c r="D4" s="4">
        <f>(65426-M3+J5)/1024</f>
        <v>24.716796875</v>
      </c>
      <c r="E4" s="2">
        <v>16400</v>
      </c>
      <c r="F4" s="5">
        <v>98.89</v>
      </c>
      <c r="G4" s="4">
        <f t="shared" si="1"/>
        <v>22.494647003830032</v>
      </c>
      <c r="H4" s="4">
        <f t="shared" si="0"/>
        <v>100</v>
      </c>
      <c r="I4" s="4">
        <f t="shared" si="0"/>
        <v>100</v>
      </c>
      <c r="K4" t="s">
        <v>27</v>
      </c>
      <c r="L4">
        <v>6712</v>
      </c>
      <c r="M4">
        <v>752</v>
      </c>
      <c r="N4" t="s">
        <v>18</v>
      </c>
    </row>
    <row r="5" spans="1:14" x14ac:dyDescent="0.3">
      <c r="A5" s="23"/>
      <c r="B5" s="1" t="s">
        <v>37</v>
      </c>
      <c r="C5" s="4">
        <f>(88192-L3)/1024</f>
        <v>9.5390625</v>
      </c>
      <c r="D5" s="4">
        <f>(58872-M3+J5)/1024</f>
        <v>18.31640625</v>
      </c>
      <c r="E5" s="2">
        <v>9468</v>
      </c>
      <c r="F5" s="5">
        <v>98.89</v>
      </c>
      <c r="G5" s="4">
        <f t="shared" si="1"/>
        <v>7.3645164208812091</v>
      </c>
      <c r="H5" s="4">
        <f t="shared" si="0"/>
        <v>74.10509679968392</v>
      </c>
      <c r="I5" s="4">
        <f t="shared" si="0"/>
        <v>57.731707317073173</v>
      </c>
      <c r="J5">
        <v>12544</v>
      </c>
      <c r="K5" t="s">
        <v>28</v>
      </c>
      <c r="L5">
        <v>662</v>
      </c>
      <c r="M5">
        <v>9</v>
      </c>
      <c r="N5" t="s">
        <v>20</v>
      </c>
    </row>
    <row r="6" spans="1:14" x14ac:dyDescent="0.3">
      <c r="A6" s="23"/>
      <c r="B6" s="1" t="s">
        <v>38</v>
      </c>
      <c r="C6" s="4">
        <f>(84896-L3)/1024</f>
        <v>6.3203125</v>
      </c>
      <c r="D6" s="4">
        <f>(55096-M3+J6)/1024</f>
        <v>14.62890625</v>
      </c>
      <c r="E6" s="2">
        <v>3241</v>
      </c>
      <c r="F6" s="5">
        <v>98.89</v>
      </c>
      <c r="G6" s="4">
        <f t="shared" si="1"/>
        <v>4.8795198890195728</v>
      </c>
      <c r="H6" s="4">
        <f t="shared" si="0"/>
        <v>59.186092453575661</v>
      </c>
      <c r="I6" s="4">
        <f t="shared" si="0"/>
        <v>19.762195121951219</v>
      </c>
      <c r="J6">
        <v>12544</v>
      </c>
      <c r="K6" t="s">
        <v>29</v>
      </c>
      <c r="L6">
        <v>260089</v>
      </c>
      <c r="M6">
        <v>27892</v>
      </c>
    </row>
    <row r="7" spans="1:14" x14ac:dyDescent="0.3">
      <c r="A7" s="23"/>
      <c r="B7" s="1" t="s">
        <v>39</v>
      </c>
      <c r="C7" s="4">
        <f>(84616-L3)/1024</f>
        <v>6.046875</v>
      </c>
      <c r="D7" s="4">
        <f>(54968-M3+J7)/1024</f>
        <v>8.37890625</v>
      </c>
      <c r="E7" s="2">
        <v>1258</v>
      </c>
      <c r="F7" s="5">
        <v>98.89</v>
      </c>
      <c r="G7" s="4">
        <f t="shared" si="1"/>
        <v>4.6684158147109382</v>
      </c>
      <c r="H7" s="4">
        <f t="shared" si="0"/>
        <v>33.899644409324381</v>
      </c>
      <c r="I7" s="4">
        <f t="shared" si="0"/>
        <v>7.6707317073170733</v>
      </c>
      <c r="J7">
        <f>J6/2</f>
        <v>6272</v>
      </c>
      <c r="K7" t="s">
        <v>30</v>
      </c>
      <c r="L7">
        <v>203993</v>
      </c>
      <c r="M7">
        <v>11624</v>
      </c>
    </row>
    <row r="8" spans="1:14" x14ac:dyDescent="0.3">
      <c r="A8" s="23"/>
      <c r="B8" s="1" t="s">
        <v>40</v>
      </c>
      <c r="C8" s="4">
        <f>(84552-L3)/1024</f>
        <v>5.984375</v>
      </c>
      <c r="D8" s="4">
        <f>(54904-M3+J8)/1024</f>
        <v>5.25390625</v>
      </c>
      <c r="E8" s="2">
        <v>1291</v>
      </c>
      <c r="F8" s="5">
        <v>89.72</v>
      </c>
      <c r="G8" s="4">
        <f t="shared" si="1"/>
        <v>4.6201634548689645</v>
      </c>
      <c r="H8" s="4">
        <f t="shared" si="0"/>
        <v>21.256420387198737</v>
      </c>
      <c r="I8" s="4">
        <f t="shared" si="0"/>
        <v>7.8719512195121952</v>
      </c>
      <c r="J8">
        <f>J6/4</f>
        <v>3136</v>
      </c>
    </row>
    <row r="9" spans="1:14" x14ac:dyDescent="0.3">
      <c r="A9" s="23"/>
      <c r="B9" s="1" t="s">
        <v>1</v>
      </c>
      <c r="C9" s="4" t="s">
        <v>12</v>
      </c>
      <c r="D9" s="4"/>
      <c r="E9" s="2"/>
      <c r="F9" s="2"/>
      <c r="G9" s="2"/>
      <c r="H9" s="2"/>
      <c r="I9" s="2"/>
    </row>
    <row r="10" spans="1:14" x14ac:dyDescent="0.3">
      <c r="A10" s="23"/>
      <c r="B10" s="1" t="s">
        <v>2</v>
      </c>
      <c r="C10" s="4" t="s">
        <v>12</v>
      </c>
      <c r="D10" s="4"/>
      <c r="E10" s="2"/>
      <c r="F10" s="2"/>
      <c r="G10" s="2"/>
      <c r="H10" s="2"/>
      <c r="I10" s="2"/>
    </row>
  </sheetData>
  <mergeCells count="2">
    <mergeCell ref="A2:A10"/>
    <mergeCell ref="K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Resultados</vt:lpstr>
      <vt:lpstr>Mega</vt:lpstr>
      <vt:lpstr>STM32</vt:lpstr>
      <vt:lpstr>ESP8266</vt:lpstr>
      <vt:lpstr>ESP32</vt:lpstr>
      <vt:lpstr>RaspiPico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Es</dc:creator>
  <cp:lastModifiedBy>cesar</cp:lastModifiedBy>
  <dcterms:created xsi:type="dcterms:W3CDTF">2015-06-05T18:19:34Z</dcterms:created>
  <dcterms:modified xsi:type="dcterms:W3CDTF">2021-11-25T02:50:48Z</dcterms:modified>
</cp:coreProperties>
</file>