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esar\Documents\GitLab\EmbedIA-Comparisons\02_EMNIST-Digits&amp;Letters\Pruebas\"/>
    </mc:Choice>
  </mc:AlternateContent>
  <xr:revisionPtr revIDLastSave="0" documentId="13_ncr:1_{9DF75260-70BF-4504-897E-641CBB3893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eneral" sheetId="1" r:id="rId1"/>
    <sheet name="ESP8266" sheetId="2" r:id="rId2"/>
    <sheet name="ESP32" sheetId="4" r:id="rId3"/>
    <sheet name="RaspiPico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5" l="1"/>
  <c r="D8" i="5" s="1"/>
  <c r="H8" i="5" s="1"/>
  <c r="I8" i="5"/>
  <c r="C8" i="5"/>
  <c r="G8" i="5" s="1"/>
  <c r="J7" i="5"/>
  <c r="D7" i="5" s="1"/>
  <c r="I7" i="5"/>
  <c r="C7" i="5"/>
  <c r="I6" i="5"/>
  <c r="D6" i="5"/>
  <c r="C6" i="5"/>
  <c r="G6" i="5" s="1"/>
  <c r="I5" i="5"/>
  <c r="D5" i="5"/>
  <c r="H5" i="5" s="1"/>
  <c r="C5" i="5"/>
  <c r="G5" i="5" s="1"/>
  <c r="I4" i="5"/>
  <c r="D4" i="5"/>
  <c r="C4" i="5"/>
  <c r="I3" i="5"/>
  <c r="D3" i="5"/>
  <c r="C3" i="5"/>
  <c r="G7" i="5" s="1"/>
  <c r="I2" i="5"/>
  <c r="D2" i="5"/>
  <c r="C2" i="5"/>
  <c r="G4" i="5" s="1"/>
  <c r="I3" i="4"/>
  <c r="I5" i="4"/>
  <c r="I6" i="4"/>
  <c r="I7" i="4"/>
  <c r="I8" i="4"/>
  <c r="I2" i="4"/>
  <c r="H3" i="4"/>
  <c r="H5" i="4"/>
  <c r="H6" i="4"/>
  <c r="H7" i="4"/>
  <c r="H8" i="4"/>
  <c r="H2" i="4"/>
  <c r="G3" i="4"/>
  <c r="G5" i="4"/>
  <c r="G6" i="4"/>
  <c r="G7" i="4"/>
  <c r="G8" i="4"/>
  <c r="G2" i="4"/>
  <c r="J8" i="4"/>
  <c r="D8" i="4" s="1"/>
  <c r="C8" i="4"/>
  <c r="J7" i="4"/>
  <c r="D7" i="4" s="1"/>
  <c r="C7" i="4"/>
  <c r="D6" i="4"/>
  <c r="C6" i="4"/>
  <c r="D5" i="4"/>
  <c r="C5" i="4"/>
  <c r="D3" i="4"/>
  <c r="C3" i="4"/>
  <c r="D2" i="4"/>
  <c r="C2" i="4"/>
  <c r="I3" i="2"/>
  <c r="I5" i="2"/>
  <c r="I6" i="2"/>
  <c r="I7" i="2"/>
  <c r="I8" i="2"/>
  <c r="I2" i="2"/>
  <c r="H3" i="2"/>
  <c r="H5" i="2"/>
  <c r="H6" i="2"/>
  <c r="H7" i="2"/>
  <c r="H8" i="2"/>
  <c r="H2" i="2"/>
  <c r="G3" i="2"/>
  <c r="G5" i="2"/>
  <c r="G6" i="2"/>
  <c r="G7" i="2"/>
  <c r="G8" i="2"/>
  <c r="G2" i="2"/>
  <c r="D8" i="2"/>
  <c r="C8" i="2"/>
  <c r="D7" i="2"/>
  <c r="C7" i="2"/>
  <c r="D6" i="2"/>
  <c r="C6" i="2"/>
  <c r="D5" i="2"/>
  <c r="C5" i="2"/>
  <c r="D3" i="2"/>
  <c r="C3" i="2"/>
  <c r="D2" i="2"/>
  <c r="C2" i="2"/>
  <c r="C20" i="1"/>
  <c r="D4" i="1"/>
  <c r="D33" i="1" s="1"/>
  <c r="E33" i="1"/>
  <c r="C4" i="1"/>
  <c r="C33" i="1" s="1"/>
  <c r="D20" i="1"/>
  <c r="C8" i="1"/>
  <c r="C7" i="1"/>
  <c r="D6" i="1"/>
  <c r="C6" i="1"/>
  <c r="D5" i="1"/>
  <c r="C5" i="1"/>
  <c r="D3" i="1"/>
  <c r="C3" i="1"/>
  <c r="D2" i="1"/>
  <c r="C2" i="1"/>
  <c r="D17" i="1"/>
  <c r="C17" i="1"/>
  <c r="D16" i="1"/>
  <c r="C16" i="1"/>
  <c r="D15" i="1"/>
  <c r="C15" i="1"/>
  <c r="D14" i="1"/>
  <c r="C14" i="1"/>
  <c r="D12" i="1"/>
  <c r="C12" i="1"/>
  <c r="D11" i="1"/>
  <c r="C11" i="1"/>
  <c r="J8" i="1"/>
  <c r="D8" i="1" s="1"/>
  <c r="J7" i="1"/>
  <c r="D7" i="1" s="1"/>
  <c r="J17" i="1"/>
  <c r="J16" i="1"/>
  <c r="J26" i="1"/>
  <c r="D26" i="1" s="1"/>
  <c r="J25" i="1"/>
  <c r="D25" i="1" s="1"/>
  <c r="C26" i="1"/>
  <c r="C25" i="1"/>
  <c r="D24" i="1"/>
  <c r="C24" i="1"/>
  <c r="G20" i="1" s="1"/>
  <c r="D23" i="1"/>
  <c r="C23" i="1"/>
  <c r="D21" i="1"/>
  <c r="C21" i="1"/>
  <c r="C34" i="1" l="1"/>
  <c r="H6" i="5"/>
  <c r="H3" i="5"/>
  <c r="H7" i="5"/>
  <c r="H2" i="5"/>
  <c r="H4" i="5"/>
  <c r="G3" i="5"/>
  <c r="G2" i="5"/>
  <c r="E31" i="1"/>
  <c r="E32" i="1"/>
  <c r="E34" i="1"/>
  <c r="E35" i="1"/>
  <c r="E36" i="1"/>
  <c r="E37" i="1"/>
  <c r="I20" i="1"/>
  <c r="I21" i="1"/>
  <c r="I23" i="1"/>
  <c r="I24" i="1"/>
  <c r="I25" i="1"/>
  <c r="I26" i="1"/>
  <c r="I17" i="1"/>
  <c r="I16" i="1"/>
  <c r="I15" i="1"/>
  <c r="I14" i="1"/>
  <c r="I12" i="1"/>
  <c r="I11" i="1"/>
  <c r="I31" i="1" l="1"/>
  <c r="I33" i="1"/>
  <c r="H12" i="1"/>
  <c r="G23" i="1"/>
  <c r="H16" i="1"/>
  <c r="I34" i="1"/>
  <c r="H23" i="1"/>
  <c r="I36" i="1"/>
  <c r="I37" i="1"/>
  <c r="I35" i="1"/>
  <c r="I32" i="1"/>
  <c r="G12" i="1"/>
  <c r="G14" i="1"/>
  <c r="H17" i="1"/>
  <c r="G15" i="1"/>
  <c r="H15" i="1"/>
  <c r="H14" i="1"/>
  <c r="H20" i="1"/>
  <c r="G21" i="1"/>
  <c r="G26" i="1"/>
  <c r="G24" i="1"/>
  <c r="G25" i="1"/>
  <c r="H21" i="1"/>
  <c r="H26" i="1"/>
  <c r="H24" i="1"/>
  <c r="H25" i="1"/>
  <c r="G16" i="1"/>
  <c r="G11" i="1"/>
  <c r="H11" i="1"/>
  <c r="G17" i="1"/>
  <c r="D37" i="1"/>
  <c r="D36" i="1"/>
  <c r="D35" i="1"/>
  <c r="D34" i="1"/>
  <c r="D32" i="1"/>
  <c r="D31" i="1"/>
  <c r="C37" i="1"/>
  <c r="C36" i="1"/>
  <c r="C35" i="1"/>
  <c r="C32" i="1"/>
  <c r="C31" i="1"/>
  <c r="I2" i="1"/>
  <c r="I3" i="1"/>
  <c r="I4" i="1"/>
  <c r="I5" i="1"/>
  <c r="I6" i="1"/>
  <c r="I7" i="1"/>
  <c r="I8" i="1"/>
  <c r="H33" i="1" l="1"/>
  <c r="G33" i="1"/>
  <c r="H34" i="1"/>
  <c r="G31" i="1"/>
  <c r="G37" i="1"/>
  <c r="G36" i="1"/>
  <c r="G35" i="1"/>
  <c r="H36" i="1"/>
  <c r="G34" i="1"/>
  <c r="G32" i="1"/>
  <c r="H37" i="1"/>
  <c r="H35" i="1"/>
  <c r="H32" i="1"/>
  <c r="H31" i="1"/>
  <c r="G5" i="1"/>
  <c r="H2" i="1"/>
  <c r="H5" i="1"/>
  <c r="H4" i="1"/>
  <c r="H8" i="1"/>
  <c r="H7" i="1"/>
  <c r="H3" i="1"/>
  <c r="H6" i="1"/>
  <c r="G2" i="1"/>
  <c r="G8" i="1"/>
  <c r="G6" i="1"/>
  <c r="G7" i="1"/>
  <c r="G4" i="1"/>
  <c r="G3" i="1"/>
  <c r="J34" i="1" l="1"/>
  <c r="J36" i="1"/>
  <c r="J37" i="1"/>
  <c r="J31" i="1"/>
  <c r="J35" i="1"/>
  <c r="J32" i="1"/>
  <c r="J33" i="1"/>
</calcChain>
</file>

<file path=xl/sharedStrings.xml><?xml version="1.0" encoding="utf-8"?>
<sst xmlns="http://schemas.openxmlformats.org/spreadsheetml/2006/main" count="189" uniqueCount="42">
  <si>
    <t>Eloquent Tiny ML</t>
  </si>
  <si>
    <t>CMSIS-NN</t>
  </si>
  <si>
    <t>Microsoft Edge ML</t>
  </si>
  <si>
    <t>Google Tensorflow Lite</t>
  </si>
  <si>
    <t>uTensor</t>
  </si>
  <si>
    <t>MCU / Placa Desarrollo</t>
  </si>
  <si>
    <t>Biblioteca / Framework</t>
  </si>
  <si>
    <t>Memoria de Programa (Kib)</t>
  </si>
  <si>
    <t>Memoria de Datos (Kib)</t>
  </si>
  <si>
    <t>Tiempo de Inferencia (us)</t>
  </si>
  <si>
    <t>Efectividad (%)</t>
  </si>
  <si>
    <t>*1</t>
  </si>
  <si>
    <t>*1 No probado. No encontramos ejemplos de uso</t>
  </si>
  <si>
    <t>Proyecto vacio:</t>
  </si>
  <si>
    <t>Prog</t>
  </si>
  <si>
    <t>Datos</t>
  </si>
  <si>
    <t>*2 Solo compiló para Raspi Pico y RP2420. No tiene función Softmax. Cuelga en Cortex-M3 y Da mal en RP2040</t>
  </si>
  <si>
    <t>*3 No entro en memoria</t>
  </si>
  <si>
    <t>Tensilica L106 
(Esp8266)
- Node MCU -</t>
  </si>
  <si>
    <t>*4 No compiló la biblioteca</t>
  </si>
  <si>
    <t>*4</t>
  </si>
  <si>
    <t>Memoria de Programa</t>
  </si>
  <si>
    <t xml:space="preserve">Memoria de Datos </t>
  </si>
  <si>
    <t>Tiempo de Inferencia</t>
  </si>
  <si>
    <t>MCU</t>
  </si>
  <si>
    <t>RP 2040</t>
  </si>
  <si>
    <t>STM32f1</t>
  </si>
  <si>
    <t>ATMega</t>
  </si>
  <si>
    <t>Tensilica L106</t>
  </si>
  <si>
    <t>Xtensa LX6</t>
  </si>
  <si>
    <t>Xtensa LX6
- Esp 32 Devkit -</t>
  </si>
  <si>
    <t>RP2040
(Arm Cortex-M0+)
- Raspi Pico -</t>
  </si>
  <si>
    <t xml:space="preserve"> </t>
  </si>
  <si>
    <t>Promedio General</t>
  </si>
  <si>
    <t>Embedia NN - Float</t>
  </si>
  <si>
    <t>Embedia NN - Fixed32</t>
  </si>
  <si>
    <t>Embedia NN - Fixed16</t>
  </si>
  <si>
    <t>Embedia NN - Fixed8</t>
  </si>
  <si>
    <t>Mejora Respecto del Peor</t>
  </si>
  <si>
    <t>EmbedIA swap_alloc RAM</t>
  </si>
  <si>
    <t>Notas</t>
  </si>
  <si>
    <t>Tensilica Xtensa LX6
- Esp 32 Devkit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</si>
</sst>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right"/>
    </xf>
    <xf numFmtId="0" fontId="0" fillId="3" borderId="1" xfId="0" applyFill="1" applyBorder="1"/>
    <xf numFmtId="164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0" fontId="1" fillId="2" borderId="3" xfId="0" applyFont="1" applyFill="1" applyBorder="1" applyAlignment="1">
      <alignment horizontal="center" vertical="center" wrapText="1"/>
    </xf>
    <xf numFmtId="164" fontId="0" fillId="0" borderId="0" xfId="0" applyNumberFormat="1"/>
    <xf numFmtId="2" fontId="0" fillId="4" borderId="1" xfId="0" applyNumberFormat="1" applyFill="1" applyBorder="1" applyAlignment="1">
      <alignment horizontal="right"/>
    </xf>
    <xf numFmtId="0" fontId="0" fillId="4" borderId="1" xfId="0" applyFill="1" applyBorder="1"/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0" borderId="0" xfId="0" applyNumberFormat="1" applyBorder="1"/>
    <xf numFmtId="0" fontId="1" fillId="0" borderId="0" xfId="0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right"/>
    </xf>
    <xf numFmtId="0" fontId="0" fillId="0" borderId="0" xfId="0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5050"/>
      <color rgb="FFFF6D6D"/>
      <color rgb="FFFF8C79"/>
      <color rgb="FFFFBC79"/>
      <color rgb="FFEEA400"/>
      <color rgb="FFFFD679"/>
      <color rgb="FF93ADDD"/>
      <color rgb="FF96B0DE"/>
      <color rgb="FFB68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Comparación Frameworks/Bibliotecas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General!$B$31</c:f>
              <c:strCache>
                <c:ptCount val="1"/>
                <c:pt idx="0">
                  <c:v>Eloquent Tiny 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General!$G$30:$I$30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General!$G$31:$I$31</c:f>
              <c:numCache>
                <c:formatCode>0.00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50.128935877506379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34-4F7C-99DE-D223DBFFAED4}"/>
            </c:ext>
          </c:extLst>
        </c:ser>
        <c:ser>
          <c:idx val="1"/>
          <c:order val="1"/>
          <c:tx>
            <c:strRef>
              <c:f>General!$B$32</c:f>
              <c:strCache>
                <c:ptCount val="1"/>
                <c:pt idx="0">
                  <c:v>Google Tensorflow Lite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General!$G$30:$I$30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General!$G$32:$I$32</c:f>
              <c:numCache>
                <c:formatCode>0.00</c:formatCode>
                <c:ptCount val="3"/>
                <c:pt idx="0">
                  <c:v>90.167154055129686</c:v>
                </c:pt>
                <c:pt idx="1">
                  <c:v>93.797528517110266</c:v>
                </c:pt>
                <c:pt idx="2">
                  <c:v>46.68054507604338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134-4F7C-99DE-D223DBFFAED4}"/>
            </c:ext>
          </c:extLst>
        </c:ser>
        <c:ser>
          <c:idx val="2"/>
          <c:order val="2"/>
          <c:tx>
            <c:strRef>
              <c:f>General!$B$33</c:f>
              <c:strCache>
                <c:ptCount val="1"/>
                <c:pt idx="0">
                  <c:v>uTensor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General!$G$30:$I$30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General!$G$33:$I$33</c:f>
              <c:numCache>
                <c:formatCode>0.00</c:formatCode>
                <c:ptCount val="3"/>
                <c:pt idx="0">
                  <c:v>21.576889134986416</c:v>
                </c:pt>
                <c:pt idx="1">
                  <c:v>83.258079847908746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134-4F7C-99DE-D223DBFFAED4}"/>
            </c:ext>
          </c:extLst>
        </c:ser>
        <c:ser>
          <c:idx val="3"/>
          <c:order val="3"/>
          <c:tx>
            <c:strRef>
              <c:f>General!$B$34</c:f>
              <c:strCache>
                <c:ptCount val="1"/>
                <c:pt idx="0">
                  <c:v>Embedia NN - Float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General!$G$30:$I$30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General!$G$34:$I$34</c:f>
              <c:numCache>
                <c:formatCode>0.00</c:formatCode>
                <c:ptCount val="3"/>
                <c:pt idx="0">
                  <c:v>16.70134623038189</c:v>
                </c:pt>
                <c:pt idx="1">
                  <c:v>67.431083650190118</c:v>
                </c:pt>
                <c:pt idx="2">
                  <c:v>32.67819968546312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134-4F7C-99DE-D223DBFFAED4}"/>
            </c:ext>
          </c:extLst>
        </c:ser>
        <c:ser>
          <c:idx val="4"/>
          <c:order val="4"/>
          <c:tx>
            <c:strRef>
              <c:f>General!$B$35</c:f>
              <c:strCache>
                <c:ptCount val="1"/>
                <c:pt idx="0">
                  <c:v>Embedia NN - Fixed32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General!$G$30:$I$30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General!$G$35:$I$35</c:f>
              <c:numCache>
                <c:formatCode>0.00</c:formatCode>
                <c:ptCount val="3"/>
                <c:pt idx="0">
                  <c:v>15.064413143915143</c:v>
                </c:pt>
                <c:pt idx="1">
                  <c:v>63.63672370088721</c:v>
                </c:pt>
                <c:pt idx="2">
                  <c:v>19.319170083240156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134-4F7C-99DE-D223DBFFAED4}"/>
            </c:ext>
          </c:extLst>
        </c:ser>
        <c:ser>
          <c:idx val="5"/>
          <c:order val="5"/>
          <c:tx>
            <c:strRef>
              <c:f>General!$B$36</c:f>
              <c:strCache>
                <c:ptCount val="1"/>
                <c:pt idx="0">
                  <c:v>Embedia NN - Fixed16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General!$G$30:$I$30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General!$G$36:$I$36</c:f>
              <c:numCache>
                <c:formatCode>0.00</c:formatCode>
                <c:ptCount val="3"/>
                <c:pt idx="0">
                  <c:v>10.869123219878526</c:v>
                </c:pt>
                <c:pt idx="1">
                  <c:v>35.800855513307987</c:v>
                </c:pt>
                <c:pt idx="2">
                  <c:v>9.2185364641570384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134-4F7C-99DE-D223DBFFAED4}"/>
            </c:ext>
          </c:extLst>
        </c:ser>
        <c:ser>
          <c:idx val="6"/>
          <c:order val="6"/>
          <c:tx>
            <c:strRef>
              <c:f>General!$B$37</c:f>
              <c:strCache>
                <c:ptCount val="1"/>
                <c:pt idx="0">
                  <c:v>Embedia NN - Fixed8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General!$G$30:$I$30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General!$G$37:$I$37</c:f>
              <c:numCache>
                <c:formatCode>0.00</c:formatCode>
                <c:ptCount val="3"/>
                <c:pt idx="0">
                  <c:v>8.8454517139346933</c:v>
                </c:pt>
                <c:pt idx="1">
                  <c:v>24.980196451204058</c:v>
                </c:pt>
                <c:pt idx="2">
                  <c:v>8.657036626273829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134-4F7C-99DE-D223DBFFA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089487"/>
        <c:axId val="1405110703"/>
      </c:barChart>
      <c:catAx>
        <c:axId val="140508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5110703"/>
        <c:crosses val="autoZero"/>
        <c:auto val="1"/>
        <c:lblAlgn val="ctr"/>
        <c:lblOffset val="100"/>
        <c:noMultiLvlLbl val="0"/>
      </c:catAx>
      <c:valAx>
        <c:axId val="14051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508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Comparación en ESP8266</a:t>
            </a:r>
          </a:p>
        </c:rich>
      </c:tx>
      <c:layout>
        <c:manualLayout>
          <c:xMode val="edge"/>
          <c:yMode val="edge"/>
          <c:x val="0.14891516706623764"/>
          <c:y val="4.3872332991500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'ESP8266'!$B$2</c:f>
              <c:strCache>
                <c:ptCount val="1"/>
                <c:pt idx="0">
                  <c:v>Eloquent Tiny ML</c:v>
                </c:pt>
              </c:strCache>
            </c:strRef>
          </c:tx>
          <c:spPr>
            <a:solidFill>
              <a:srgbClr val="B686DA"/>
            </a:solidFill>
            <a:ln>
              <a:noFill/>
            </a:ln>
            <a:effectLst/>
          </c:spPr>
          <c:invertIfNegative val="0"/>
          <c:cat>
            <c:strRef>
              <c:f>'ESP8266'!$G$1:$I$1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'ESP8266'!$G$2:$I$2</c:f>
              <c:numCache>
                <c:formatCode>0.00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99.813226342003318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3-47C1-A8DD-A1262C058AB1}"/>
            </c:ext>
          </c:extLst>
        </c:ser>
        <c:ser>
          <c:idx val="1"/>
          <c:order val="1"/>
          <c:tx>
            <c:strRef>
              <c:f>'ESP8266'!$B$3</c:f>
              <c:strCache>
                <c:ptCount val="1"/>
                <c:pt idx="0">
                  <c:v>Google Tensorflow Lite</c:v>
                </c:pt>
              </c:strCache>
            </c:strRef>
          </c:tx>
          <c:spPr>
            <a:solidFill>
              <a:srgbClr val="93ADDD"/>
            </a:solidFill>
            <a:ln>
              <a:noFill/>
            </a:ln>
            <a:effectLst/>
          </c:spPr>
          <c:invertIfNegative val="0"/>
          <c:cat>
            <c:strRef>
              <c:f>'ESP8266'!$G$1:$I$1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'ESP8266'!$G$3:$I$3</c:f>
              <c:numCache>
                <c:formatCode>0.00</c:formatCode>
                <c:ptCount val="3"/>
                <c:pt idx="0">
                  <c:v>89.2246954378314</c:v>
                </c:pt>
                <c:pt idx="1">
                  <c:v>94.853556485355654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3-47C1-A8DD-A1262C058AB1}"/>
            </c:ext>
          </c:extLst>
        </c:ser>
        <c:ser>
          <c:idx val="2"/>
          <c:order val="2"/>
          <c:tx>
            <c:strRef>
              <c:f>'ESP8266'!$B$4</c:f>
              <c:strCache>
                <c:ptCount val="1"/>
                <c:pt idx="0">
                  <c:v>uTensor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'ESP8266'!$G$1:$I$1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'ESP8266'!$G$4:$I$4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D143-47C1-A8DD-A1262C058AB1}"/>
            </c:ext>
          </c:extLst>
        </c:ser>
        <c:ser>
          <c:idx val="3"/>
          <c:order val="3"/>
          <c:tx>
            <c:strRef>
              <c:f>'ESP8266'!$B$5</c:f>
              <c:strCache>
                <c:ptCount val="1"/>
                <c:pt idx="0">
                  <c:v>Embedia NN - Float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'ESP8266'!$G$1:$I$1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'ESP8266'!$G$5:$I$5</c:f>
              <c:numCache>
                <c:formatCode>0.00</c:formatCode>
                <c:ptCount val="3"/>
                <c:pt idx="0">
                  <c:v>20.786071740558402</c:v>
                </c:pt>
                <c:pt idx="1">
                  <c:v>44.702928870292887</c:v>
                </c:pt>
                <c:pt idx="2">
                  <c:v>67.949640287769782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43-47C1-A8DD-A1262C058AB1}"/>
            </c:ext>
          </c:extLst>
        </c:ser>
        <c:ser>
          <c:idx val="4"/>
          <c:order val="4"/>
          <c:tx>
            <c:strRef>
              <c:f>'ESP8266'!$B$6</c:f>
              <c:strCache>
                <c:ptCount val="1"/>
                <c:pt idx="0">
                  <c:v>Embedia NN - Fixed32</c:v>
                </c:pt>
              </c:strCache>
            </c:strRef>
          </c:tx>
          <c:spPr>
            <a:solidFill>
              <a:srgbClr val="FFBC79"/>
            </a:solidFill>
            <a:ln>
              <a:noFill/>
            </a:ln>
            <a:effectLst/>
          </c:spPr>
          <c:invertIfNegative val="0"/>
          <c:cat>
            <c:strRef>
              <c:f>'ESP8266'!$G$1:$I$1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'ESP8266'!$G$6:$I$6</c:f>
              <c:numCache>
                <c:formatCode>0.00</c:formatCode>
                <c:ptCount val="3"/>
                <c:pt idx="0">
                  <c:v>19.231264093830205</c:v>
                </c:pt>
                <c:pt idx="1">
                  <c:v>44.602510460251047</c:v>
                </c:pt>
                <c:pt idx="2">
                  <c:v>47.0655783065855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43-47C1-A8DD-A1262C058AB1}"/>
            </c:ext>
          </c:extLst>
        </c:ser>
        <c:ser>
          <c:idx val="5"/>
          <c:order val="5"/>
          <c:tx>
            <c:strRef>
              <c:f>'ESP8266'!$B$7</c:f>
              <c:strCache>
                <c:ptCount val="1"/>
                <c:pt idx="0">
                  <c:v>Embedia NN - Fixed16</c:v>
                </c:pt>
              </c:strCache>
            </c:strRef>
          </c:tx>
          <c:spPr>
            <a:solidFill>
              <a:srgbClr val="FF8C79"/>
            </a:solidFill>
            <a:ln>
              <a:solidFill>
                <a:srgbClr val="EEA400"/>
              </a:solidFill>
            </a:ln>
            <a:effectLst/>
          </c:spPr>
          <c:invertIfNegative val="0"/>
          <c:cat>
            <c:strRef>
              <c:f>'ESP8266'!$G$1:$I$1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'ESP8266'!$G$7:$I$7</c:f>
              <c:numCache>
                <c:formatCode>0.00</c:formatCode>
                <c:ptCount val="3"/>
                <c:pt idx="0">
                  <c:v>12.751995991088299</c:v>
                </c:pt>
                <c:pt idx="1">
                  <c:v>23.04602510460251</c:v>
                </c:pt>
                <c:pt idx="2">
                  <c:v>20.037354731599336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43-47C1-A8DD-A1262C058AB1}"/>
            </c:ext>
          </c:extLst>
        </c:ser>
        <c:ser>
          <c:idx val="6"/>
          <c:order val="6"/>
          <c:tx>
            <c:strRef>
              <c:f>'ESP8266'!$B$8</c:f>
              <c:strCache>
                <c:ptCount val="1"/>
                <c:pt idx="0">
                  <c:v>Embedia NN - Fixed8</c:v>
                </c:pt>
              </c:strCache>
            </c:strRef>
          </c:tx>
          <c:spPr>
            <a:solidFill>
              <a:srgbClr val="FE5050"/>
            </a:solidFill>
            <a:ln>
              <a:noFill/>
            </a:ln>
            <a:effectLst/>
          </c:spPr>
          <c:invertIfNegative val="0"/>
          <c:cat>
            <c:strRef>
              <c:f>'ESP8266'!$G$1:$I$1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'ESP8266'!$G$8:$I$8</c:f>
              <c:numCache>
                <c:formatCode>0.00</c:formatCode>
                <c:ptCount val="3"/>
                <c:pt idx="0">
                  <c:v>9.5936236634139398</c:v>
                </c:pt>
                <c:pt idx="1">
                  <c:v>13.305439330543933</c:v>
                </c:pt>
                <c:pt idx="2">
                  <c:v>22.159656889872718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43-47C1-A8DD-A1262C058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757663"/>
        <c:axId val="1435754751"/>
      </c:barChart>
      <c:catAx>
        <c:axId val="14357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5754751"/>
        <c:crosses val="autoZero"/>
        <c:auto val="1"/>
        <c:lblAlgn val="ctr"/>
        <c:lblOffset val="100"/>
        <c:noMultiLvlLbl val="0"/>
      </c:catAx>
      <c:valAx>
        <c:axId val="143575475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5757663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Comparación en ESP32</a:t>
            </a:r>
          </a:p>
        </c:rich>
      </c:tx>
      <c:layout>
        <c:manualLayout>
          <c:xMode val="edge"/>
          <c:yMode val="edge"/>
          <c:x val="0.35816625620035386"/>
          <c:y val="4.3872339752711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'ESP32'!$B$2</c:f>
              <c:strCache>
                <c:ptCount val="1"/>
                <c:pt idx="0">
                  <c:v>Eloquent Tiny ML</c:v>
                </c:pt>
              </c:strCache>
            </c:strRef>
          </c:tx>
          <c:spPr>
            <a:solidFill>
              <a:srgbClr val="B686DA"/>
            </a:solidFill>
            <a:ln>
              <a:noFill/>
            </a:ln>
            <a:effectLst/>
          </c:spPr>
          <c:invertIfNegative val="0"/>
          <c:cat>
            <c:strRef>
              <c:f>'ESP32'!$G$1:$I$1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'ESP32'!$G$2:$I$2</c:f>
              <c:numCache>
                <c:formatCode>0.00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95.390625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C-44E4-84FD-19041943A4EF}"/>
            </c:ext>
          </c:extLst>
        </c:ser>
        <c:ser>
          <c:idx val="1"/>
          <c:order val="1"/>
          <c:tx>
            <c:strRef>
              <c:f>'ESP32'!$B$3</c:f>
              <c:strCache>
                <c:ptCount val="1"/>
                <c:pt idx="0">
                  <c:v>Google Tensorflow Lite</c:v>
                </c:pt>
              </c:strCache>
            </c:strRef>
          </c:tx>
          <c:spPr>
            <a:solidFill>
              <a:srgbClr val="93ADDD"/>
            </a:solidFill>
            <a:ln>
              <a:noFill/>
            </a:ln>
            <a:effectLst/>
          </c:spPr>
          <c:invertIfNegative val="0"/>
          <c:cat>
            <c:strRef>
              <c:f>'ESP32'!$G$1:$I$1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'ESP32'!$G$3:$I$3</c:f>
              <c:numCache>
                <c:formatCode>0.00</c:formatCode>
                <c:ptCount val="3"/>
                <c:pt idx="0">
                  <c:v>68.882031698919093</c:v>
                </c:pt>
                <c:pt idx="1">
                  <c:v>92.418840307750045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C-44E4-84FD-19041943A4EF}"/>
            </c:ext>
          </c:extLst>
        </c:ser>
        <c:ser>
          <c:idx val="2"/>
          <c:order val="2"/>
          <c:tx>
            <c:strRef>
              <c:f>'ESP32'!$B$4</c:f>
              <c:strCache>
                <c:ptCount val="1"/>
                <c:pt idx="0">
                  <c:v>uTensor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'ESP32'!$G$1:$I$1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'ESP32'!$G$4:$I$4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D4CC-44E4-84FD-19041943A4EF}"/>
            </c:ext>
          </c:extLst>
        </c:ser>
        <c:ser>
          <c:idx val="3"/>
          <c:order val="3"/>
          <c:tx>
            <c:strRef>
              <c:f>'ESP32'!$B$5</c:f>
              <c:strCache>
                <c:ptCount val="1"/>
                <c:pt idx="0">
                  <c:v>Embedia NN - Float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'ESP32'!$G$1:$I$1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'ESP32'!$G$5:$I$5</c:f>
              <c:numCache>
                <c:formatCode>0.00</c:formatCode>
                <c:ptCount val="3"/>
                <c:pt idx="0">
                  <c:v>16.210517742979047</c:v>
                </c:pt>
                <c:pt idx="1">
                  <c:v>80.596734847063246</c:v>
                </c:pt>
                <c:pt idx="2">
                  <c:v>25.87890625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CC-44E4-84FD-19041943A4EF}"/>
            </c:ext>
          </c:extLst>
        </c:ser>
        <c:ser>
          <c:idx val="4"/>
          <c:order val="4"/>
          <c:tx>
            <c:strRef>
              <c:f>'ESP32'!$B$6</c:f>
              <c:strCache>
                <c:ptCount val="1"/>
                <c:pt idx="0">
                  <c:v>Embedia NN - Fixed32</c:v>
                </c:pt>
              </c:strCache>
            </c:strRef>
          </c:tx>
          <c:spPr>
            <a:solidFill>
              <a:srgbClr val="FFBC79"/>
            </a:solidFill>
            <a:ln>
              <a:noFill/>
            </a:ln>
            <a:effectLst/>
          </c:spPr>
          <c:invertIfNegative val="0"/>
          <c:cat>
            <c:strRef>
              <c:f>'ESP32'!$G$1:$I$1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'ESP32'!$G$6:$I$6</c:f>
              <c:numCache>
                <c:formatCode>0.00</c:formatCode>
                <c:ptCount val="3"/>
                <c:pt idx="0">
                  <c:v>15.356284810670672</c:v>
                </c:pt>
                <c:pt idx="1">
                  <c:v>80.559204353537254</c:v>
                </c:pt>
                <c:pt idx="2">
                  <c:v>35.859375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CC-44E4-84FD-19041943A4EF}"/>
            </c:ext>
          </c:extLst>
        </c:ser>
        <c:ser>
          <c:idx val="5"/>
          <c:order val="5"/>
          <c:tx>
            <c:strRef>
              <c:f>'ESP32'!$B$7</c:f>
              <c:strCache>
                <c:ptCount val="1"/>
                <c:pt idx="0">
                  <c:v>Embedia NN - Fixed16</c:v>
                </c:pt>
              </c:strCache>
            </c:strRef>
          </c:tx>
          <c:spPr>
            <a:solidFill>
              <a:srgbClr val="FF8C79"/>
            </a:solidFill>
            <a:ln>
              <a:solidFill>
                <a:srgbClr val="EEA400"/>
              </a:solidFill>
            </a:ln>
            <a:effectLst/>
          </c:spPr>
          <c:invertIfNegative val="0"/>
          <c:cat>
            <c:strRef>
              <c:f>'ESP32'!$G$1:$I$1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'ESP32'!$G$7:$I$7</c:f>
              <c:numCache>
                <c:formatCode>0.00</c:formatCode>
                <c:ptCount val="3"/>
                <c:pt idx="0">
                  <c:v>11.025396236488596</c:v>
                </c:pt>
                <c:pt idx="1">
                  <c:v>51.135297429161191</c:v>
                </c:pt>
                <c:pt idx="2">
                  <c:v>34.23828125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CC-44E4-84FD-19041943A4EF}"/>
            </c:ext>
          </c:extLst>
        </c:ser>
        <c:ser>
          <c:idx val="6"/>
          <c:order val="6"/>
          <c:tx>
            <c:strRef>
              <c:f>'ESP32'!$B$8</c:f>
              <c:strCache>
                <c:ptCount val="1"/>
                <c:pt idx="0">
                  <c:v>Embedia NN - Fixed8</c:v>
                </c:pt>
              </c:strCache>
            </c:strRef>
          </c:tx>
          <c:spPr>
            <a:solidFill>
              <a:srgbClr val="FE5050"/>
            </a:solidFill>
            <a:ln>
              <a:noFill/>
            </a:ln>
            <a:effectLst/>
          </c:spPr>
          <c:invertIfNegative val="0"/>
          <c:cat>
            <c:strRef>
              <c:f>'ESP32'!$G$1:$I$1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'ESP32'!$G$8:$I$8</c:f>
              <c:numCache>
                <c:formatCode>0.00</c:formatCode>
                <c:ptCount val="3"/>
                <c:pt idx="0">
                  <c:v>8.9061022455286238</c:v>
                </c:pt>
                <c:pt idx="1">
                  <c:v>36.423343966973164</c:v>
                </c:pt>
                <c:pt idx="2">
                  <c:v>30.748697916666668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CC-44E4-84FD-19041943A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757663"/>
        <c:axId val="1435754751"/>
      </c:barChart>
      <c:catAx>
        <c:axId val="14357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5754751"/>
        <c:crosses val="autoZero"/>
        <c:auto val="1"/>
        <c:lblAlgn val="ctr"/>
        <c:lblOffset val="100"/>
        <c:noMultiLvlLbl val="0"/>
      </c:catAx>
      <c:valAx>
        <c:axId val="143575475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5757663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Comparación en RP2040</a:t>
            </a:r>
          </a:p>
        </c:rich>
      </c:tx>
      <c:layout>
        <c:manualLayout>
          <c:xMode val="edge"/>
          <c:yMode val="edge"/>
          <c:x val="0.32348328978172103"/>
          <c:y val="4.3872370431308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RaspiPico!$B$2</c:f>
              <c:strCache>
                <c:ptCount val="1"/>
                <c:pt idx="0">
                  <c:v>Eloquent Tiny ML</c:v>
                </c:pt>
              </c:strCache>
            </c:strRef>
          </c:tx>
          <c:spPr>
            <a:solidFill>
              <a:srgbClr val="B686DA"/>
            </a:solidFill>
            <a:ln>
              <a:noFill/>
            </a:ln>
            <a:effectLst/>
          </c:spPr>
          <c:invertIfNegative val="0"/>
          <c:cat>
            <c:strRef>
              <c:f>RaspiPico!$G$1:$I$1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RaspiPico!$G$2:$I$2</c:f>
              <c:numCache>
                <c:formatCode>0.00</c:formatCode>
                <c:ptCount val="3"/>
                <c:pt idx="0">
                  <c:v>70.475961104253841</c:v>
                </c:pt>
                <c:pt idx="1">
                  <c:v>100</c:v>
                </c:pt>
                <c:pt idx="2">
                  <c:v>71.482595929201935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E-4BD7-BE39-9C624CFC5007}"/>
            </c:ext>
          </c:extLst>
        </c:ser>
        <c:ser>
          <c:idx val="1"/>
          <c:order val="1"/>
          <c:tx>
            <c:strRef>
              <c:f>RaspiPico!$B$3</c:f>
              <c:strCache>
                <c:ptCount val="1"/>
                <c:pt idx="0">
                  <c:v>Google Tensorflow Lite</c:v>
                </c:pt>
              </c:strCache>
            </c:strRef>
          </c:tx>
          <c:spPr>
            <a:solidFill>
              <a:srgbClr val="93ADDD"/>
            </a:solidFill>
            <a:ln>
              <a:noFill/>
            </a:ln>
            <a:effectLst/>
          </c:spPr>
          <c:invertIfNegative val="0"/>
          <c:cat>
            <c:strRef>
              <c:f>RaspiPico!$G$1:$I$1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RaspiPico!$G$3:$I$3</c:f>
              <c:numCache>
                <c:formatCode>0.00</c:formatCode>
                <c:ptCount val="3"/>
                <c:pt idx="0">
                  <c:v>100</c:v>
                </c:pt>
                <c:pt idx="1">
                  <c:v>93.135901618772749</c:v>
                </c:pt>
                <c:pt idx="2">
                  <c:v>60.371080788705761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E-4BD7-BE39-9C624CFC5007}"/>
            </c:ext>
          </c:extLst>
        </c:ser>
        <c:ser>
          <c:idx val="2"/>
          <c:order val="2"/>
          <c:tx>
            <c:strRef>
              <c:f>RaspiPico!$B$4</c:f>
              <c:strCache>
                <c:ptCount val="1"/>
                <c:pt idx="0">
                  <c:v>uTensor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RaspiPico!$G$1:$I$1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RaspiPico!$G$4:$I$4</c:f>
              <c:numCache>
                <c:formatCode>0.00</c:formatCode>
                <c:ptCount val="3"/>
                <c:pt idx="0">
                  <c:v>25.026341933347382</c:v>
                </c:pt>
                <c:pt idx="1">
                  <c:v>87.928221859706369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E-4BD7-BE39-9C624CFC5007}"/>
            </c:ext>
          </c:extLst>
        </c:ser>
        <c:ser>
          <c:idx val="3"/>
          <c:order val="3"/>
          <c:tx>
            <c:strRef>
              <c:f>RaspiPico!$B$5</c:f>
              <c:strCache>
                <c:ptCount val="1"/>
                <c:pt idx="0">
                  <c:v>Embedia NN - Float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RaspiPico!$G$1:$I$1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RaspiPico!$G$5:$I$5</c:f>
              <c:numCache>
                <c:formatCode>0.00</c:formatCode>
                <c:ptCount val="3"/>
                <c:pt idx="0">
                  <c:v>8.0470843242917791</c:v>
                </c:pt>
                <c:pt idx="1">
                  <c:v>59.681264901493286</c:v>
                </c:pt>
                <c:pt idx="2">
                  <c:v>49.773188003963526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E-4BD7-BE39-9C624CFC5007}"/>
            </c:ext>
          </c:extLst>
        </c:ser>
        <c:ser>
          <c:idx val="4"/>
          <c:order val="4"/>
          <c:tx>
            <c:strRef>
              <c:f>RaspiPico!$B$6</c:f>
              <c:strCache>
                <c:ptCount val="1"/>
                <c:pt idx="0">
                  <c:v>Embedia NN - Fixed32</c:v>
                </c:pt>
              </c:strCache>
            </c:strRef>
          </c:tx>
          <c:spPr>
            <a:solidFill>
              <a:srgbClr val="FFBC79"/>
            </a:solidFill>
            <a:ln>
              <a:noFill/>
            </a:ln>
            <a:effectLst/>
          </c:spPr>
          <c:invertIfNegative val="0"/>
          <c:cat>
            <c:strRef>
              <c:f>RaspiPico!$G$1:$I$1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RaspiPico!$G$6:$I$6</c:f>
              <c:numCache>
                <c:formatCode>0.00</c:formatCode>
                <c:ptCount val="3"/>
                <c:pt idx="0">
                  <c:v>5.5001956829334375</c:v>
                </c:pt>
                <c:pt idx="1">
                  <c:v>47.835362027857947</c:v>
                </c:pt>
                <c:pt idx="2">
                  <c:v>22.024853867621793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1E-4BD7-BE39-9C624CFC5007}"/>
            </c:ext>
          </c:extLst>
        </c:ser>
        <c:ser>
          <c:idx val="5"/>
          <c:order val="5"/>
          <c:tx>
            <c:strRef>
              <c:f>RaspiPico!$B$7</c:f>
              <c:strCache>
                <c:ptCount val="1"/>
                <c:pt idx="0">
                  <c:v>Embedia NN - Fixed16</c:v>
                </c:pt>
              </c:strCache>
            </c:strRef>
          </c:tx>
          <c:spPr>
            <a:solidFill>
              <a:srgbClr val="FF8C79"/>
            </a:solidFill>
            <a:ln>
              <a:solidFill>
                <a:srgbClr val="EEA400"/>
              </a:solidFill>
            </a:ln>
            <a:effectLst/>
          </c:spPr>
          <c:invertIfNegative val="0"/>
          <c:cat>
            <c:strRef>
              <c:f>RaspiPico!$G$1:$I$1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RaspiPico!$G$7:$I$7</c:f>
              <c:numCache>
                <c:formatCode>0.00</c:formatCode>
                <c:ptCount val="3"/>
                <c:pt idx="0">
                  <c:v>5.3075232561640124</c:v>
                </c:pt>
                <c:pt idx="1">
                  <c:v>28.159116576734849</c:v>
                </c:pt>
                <c:pt idx="2">
                  <c:v>9.7088261229239201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1E-4BD7-BE39-9C624CFC5007}"/>
            </c:ext>
          </c:extLst>
        </c:ser>
        <c:ser>
          <c:idx val="6"/>
          <c:order val="6"/>
          <c:tx>
            <c:strRef>
              <c:f>RaspiPico!$B$8</c:f>
              <c:strCache>
                <c:ptCount val="1"/>
                <c:pt idx="0">
                  <c:v>Embedia NN - Fixed8</c:v>
                </c:pt>
              </c:strCache>
            </c:strRef>
          </c:tx>
          <c:spPr>
            <a:solidFill>
              <a:srgbClr val="FE5050"/>
            </a:solidFill>
            <a:ln>
              <a:noFill/>
            </a:ln>
            <a:effectLst/>
          </c:spPr>
          <c:invertIfNegative val="0"/>
          <c:cat>
            <c:strRef>
              <c:f>RaspiPico!$G$1:$I$1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RaspiPico!$G$8:$I$8</c:f>
              <c:numCache>
                <c:formatCode>0.00</c:formatCode>
                <c:ptCount val="3"/>
                <c:pt idx="0">
                  <c:v>5.3015022428274676</c:v>
                </c:pt>
                <c:pt idx="1">
                  <c:v>18.320993851173295</c:v>
                </c:pt>
                <c:pt idx="2">
                  <c:v>7.1170786251284053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1E-4BD7-BE39-9C624CFC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757663"/>
        <c:axId val="1435754751"/>
      </c:barChart>
      <c:catAx>
        <c:axId val="14357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5754751"/>
        <c:crosses val="autoZero"/>
        <c:auto val="1"/>
        <c:lblAlgn val="ctr"/>
        <c:lblOffset val="100"/>
        <c:noMultiLvlLbl val="0"/>
      </c:catAx>
      <c:valAx>
        <c:axId val="143575475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5757663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160020</xdr:rowOff>
    </xdr:from>
    <xdr:to>
      <xdr:col>8</xdr:col>
      <xdr:colOff>690638</xdr:colOff>
      <xdr:row>56</xdr:row>
      <xdr:rowOff>22860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FC120FD-AB99-40FF-B034-1E9AF2EF7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777240</xdr:colOff>
      <xdr:row>10</xdr:row>
      <xdr:rowOff>15240</xdr:rowOff>
    </xdr:from>
    <xdr:to>
      <xdr:col>9</xdr:col>
      <xdr:colOff>0</xdr:colOff>
      <xdr:row>24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44BAF0-26B9-4F3E-94AB-8D4B905DD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10</xdr:row>
      <xdr:rowOff>22860</xdr:rowOff>
    </xdr:from>
    <xdr:to>
      <xdr:col>9</xdr:col>
      <xdr:colOff>15240</xdr:colOff>
      <xdr:row>23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96E43-C543-4867-BA8A-A24212CC3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10</xdr:row>
      <xdr:rowOff>15240</xdr:rowOff>
    </xdr:from>
    <xdr:to>
      <xdr:col>8</xdr:col>
      <xdr:colOff>777240</xdr:colOff>
      <xdr:row>24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14E664-65EB-4569-9F71-C1FC6EA3B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sar/Documents/GitLab/EmbedIA-Comparisons/01_MNIST-Digits/Pruebas/ResumenDeResult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s"/>
      <sheetName val="Mega"/>
      <sheetName val="STM32"/>
      <sheetName val="ESP8266"/>
      <sheetName val="ESP32"/>
      <sheetName val="RaspiPico"/>
    </sheetNames>
    <sheetDataSet>
      <sheetData sheetId="0" refreshError="1"/>
      <sheetData sheetId="1" refreshError="1"/>
      <sheetData sheetId="2">
        <row r="1">
          <cell r="G1" t="str">
            <v>Memoria de Programa</v>
          </cell>
          <cell r="H1" t="str">
            <v xml:space="preserve">Memoria de Datos </v>
          </cell>
          <cell r="I1" t="str">
            <v>Tiempo de Inferencia</v>
          </cell>
        </row>
        <row r="2">
          <cell r="B2" t="str">
            <v>Eloquent Tiny ML</v>
          </cell>
        </row>
        <row r="3">
          <cell r="B3" t="str">
            <v>Google Tensorflow Lite</v>
          </cell>
        </row>
        <row r="4">
          <cell r="B4" t="str">
            <v>uTensor (microTensor)</v>
          </cell>
          <cell r="G4">
            <v>100</v>
          </cell>
          <cell r="H4">
            <v>100</v>
          </cell>
          <cell r="I4">
            <v>60.453528574333944</v>
          </cell>
        </row>
        <row r="5">
          <cell r="B5" t="str">
            <v>Embedia NN - Float</v>
          </cell>
          <cell r="G5">
            <v>73.59740097463451</v>
          </cell>
          <cell r="H5">
            <v>38.192090395480228</v>
          </cell>
          <cell r="I5">
            <v>100</v>
          </cell>
        </row>
        <row r="6">
          <cell r="B6" t="str">
            <v>Embedia NN - Fixed32</v>
          </cell>
          <cell r="G6">
            <v>60.852180432337875</v>
          </cell>
          <cell r="H6">
            <v>38.135593220338983</v>
          </cell>
          <cell r="I6">
            <v>27.923530608094367</v>
          </cell>
        </row>
        <row r="7">
          <cell r="B7" t="str">
            <v>Embedia NN - Fixed16</v>
          </cell>
          <cell r="G7">
            <v>49.706360114956894</v>
          </cell>
          <cell r="H7">
            <v>22.09039548022599</v>
          </cell>
          <cell r="I7">
            <v>24.903396379906447</v>
          </cell>
        </row>
        <row r="8">
          <cell r="B8" t="str">
            <v>Embedia NN - Fixed8</v>
          </cell>
          <cell r="G8">
            <v>45.795326752467822</v>
          </cell>
          <cell r="H8">
            <v>14.067796610169491</v>
          </cell>
          <cell r="I8">
            <v>24.242424242424242</v>
          </cell>
        </row>
      </sheetData>
      <sheetData sheetId="3" refreshError="1"/>
      <sheetData sheetId="4">
        <row r="1">
          <cell r="G1" t="str">
            <v>Memoria de Programa</v>
          </cell>
          <cell r="H1" t="str">
            <v xml:space="preserve">Memoria de Datos </v>
          </cell>
          <cell r="I1" t="str">
            <v>Tiempo de Inferencia</v>
          </cell>
        </row>
        <row r="2">
          <cell r="B2" t="str">
            <v>Eloquent Tiny ML</v>
          </cell>
          <cell r="G2">
            <v>100</v>
          </cell>
          <cell r="H2">
            <v>100</v>
          </cell>
          <cell r="I2">
            <v>100</v>
          </cell>
        </row>
        <row r="3">
          <cell r="B3" t="str">
            <v>Google Tensorflow Lite</v>
          </cell>
          <cell r="G3">
            <v>94.960960407892244</v>
          </cell>
          <cell r="H3">
            <v>68.635131063573368</v>
          </cell>
          <cell r="I3">
            <v>42.122015915119363</v>
          </cell>
        </row>
        <row r="4">
          <cell r="B4" t="str">
            <v>uTensor</v>
          </cell>
          <cell r="G4">
            <v>0</v>
          </cell>
          <cell r="H4">
            <v>0</v>
          </cell>
          <cell r="I4">
            <v>0</v>
          </cell>
        </row>
        <row r="5">
          <cell r="B5" t="str">
            <v>Embedia NN - Float</v>
          </cell>
          <cell r="G5">
            <v>9.4451095095696687</v>
          </cell>
          <cell r="H5">
            <v>22.446520036155469</v>
          </cell>
          <cell r="I5">
            <v>15.066312997347481</v>
          </cell>
        </row>
        <row r="6">
          <cell r="B6" t="str">
            <v>Embedia NN - Fixed32</v>
          </cell>
          <cell r="G6">
            <v>9.0883976561704856</v>
          </cell>
          <cell r="H6">
            <v>22.41639047905996</v>
          </cell>
          <cell r="I6">
            <v>18.090185676392572</v>
          </cell>
        </row>
        <row r="7">
          <cell r="B7" t="str">
            <v>Embedia NN - Fixed16</v>
          </cell>
          <cell r="G7">
            <v>7.8457221234048538</v>
          </cell>
          <cell r="H7">
            <v>13.85959626393492</v>
          </cell>
          <cell r="I7">
            <v>19.469496021220159</v>
          </cell>
        </row>
        <row r="8">
          <cell r="B8" t="str">
            <v>Embedia NN - Fixed8</v>
          </cell>
          <cell r="G8">
            <v>7.2137217744476052</v>
          </cell>
          <cell r="H8">
            <v>9.581199156372401</v>
          </cell>
          <cell r="I8">
            <v>19.151193633952253</v>
          </cell>
        </row>
      </sheetData>
      <sheetData sheetId="5">
        <row r="1">
          <cell r="G1" t="str">
            <v>Memoria de Programa</v>
          </cell>
          <cell r="H1" t="str">
            <v xml:space="preserve">Memoria de Datos </v>
          </cell>
          <cell r="I1" t="str">
            <v>Tiempo de Inferencia</v>
          </cell>
        </row>
        <row r="2">
          <cell r="B2" t="str">
            <v>Eloquent Tiny ML</v>
          </cell>
          <cell r="G2">
            <v>70.243372839952954</v>
          </cell>
          <cell r="H2">
            <v>94.176214934808371</v>
          </cell>
          <cell r="I2">
            <v>78.25</v>
          </cell>
        </row>
        <row r="3">
          <cell r="B3" t="str">
            <v>Google Tensorflow Lite</v>
          </cell>
          <cell r="G3">
            <v>100</v>
          </cell>
          <cell r="H3">
            <v>88.976689055709201</v>
          </cell>
          <cell r="I3">
            <v>66.231707317073173</v>
          </cell>
        </row>
        <row r="4">
          <cell r="B4" t="str">
            <v>uTensor</v>
          </cell>
          <cell r="G4">
            <v>22.494647003830032</v>
          </cell>
          <cell r="H4">
            <v>100</v>
          </cell>
          <cell r="I4">
            <v>100</v>
          </cell>
        </row>
        <row r="5">
          <cell r="B5" t="str">
            <v>Embedia NN - Float</v>
          </cell>
          <cell r="G5">
            <v>7.3645164208812091</v>
          </cell>
          <cell r="H5">
            <v>74.10509679968392</v>
          </cell>
          <cell r="I5">
            <v>57.731707317073173</v>
          </cell>
        </row>
        <row r="6">
          <cell r="B6" t="str">
            <v>Embedia NN - Fixed32</v>
          </cell>
          <cell r="G6">
            <v>4.8795198890195728</v>
          </cell>
          <cell r="H6">
            <v>59.186092453575661</v>
          </cell>
          <cell r="I6">
            <v>19.762195121951219</v>
          </cell>
        </row>
        <row r="7">
          <cell r="B7" t="str">
            <v>Embedia NN - Fixed16</v>
          </cell>
          <cell r="G7">
            <v>4.6684158147109382</v>
          </cell>
          <cell r="H7">
            <v>33.899644409324381</v>
          </cell>
          <cell r="I7">
            <v>7.6707317073170733</v>
          </cell>
        </row>
        <row r="8">
          <cell r="B8" t="str">
            <v>Embedia NN - Fixed8</v>
          </cell>
          <cell r="G8">
            <v>4.6201634548689645</v>
          </cell>
          <cell r="H8">
            <v>21.256420387198737</v>
          </cell>
          <cell r="I8">
            <v>7.8719512195121952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6"/>
  <sheetViews>
    <sheetView tabSelected="1" zoomScaleNormal="100" workbookViewId="0">
      <selection activeCell="W48" sqref="W48"/>
    </sheetView>
  </sheetViews>
  <sheetFormatPr baseColWidth="10" defaultColWidth="8.88671875" defaultRowHeight="14.4" x14ac:dyDescent="0.3"/>
  <cols>
    <col min="1" max="1" width="17.44140625" customWidth="1"/>
    <col min="2" max="2" width="20.109375" bestFit="1" customWidth="1"/>
    <col min="3" max="3" width="13" customWidth="1"/>
    <col min="4" max="4" width="12.109375" customWidth="1"/>
    <col min="5" max="5" width="10" customWidth="1"/>
    <col min="6" max="7" width="10" bestFit="1" customWidth="1"/>
    <col min="8" max="8" width="13.109375" customWidth="1"/>
    <col min="9" max="9" width="11.5546875" customWidth="1"/>
    <col min="10" max="10" width="12.109375" customWidth="1"/>
    <col min="11" max="11" width="12.44140625" bestFit="1" customWidth="1"/>
    <col min="12" max="12" width="11.5546875" customWidth="1"/>
    <col min="13" max="13" width="10.44140625" bestFit="1" customWidth="1"/>
    <col min="14" max="14" width="10.5546875" bestFit="1" customWidth="1"/>
    <col min="15" max="15" width="10.44140625" bestFit="1" customWidth="1"/>
    <col min="16" max="16" width="10.6640625" bestFit="1" customWidth="1"/>
    <col min="17" max="18" width="10.5546875" bestFit="1" customWidth="1"/>
    <col min="19" max="19" width="11.5546875" bestFit="1" customWidth="1"/>
    <col min="20" max="20" width="11.44140625" bestFit="1" customWidth="1"/>
  </cols>
  <sheetData>
    <row r="1" spans="1:14" ht="43.2" x14ac:dyDescent="0.3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21</v>
      </c>
      <c r="H1" s="3" t="s">
        <v>22</v>
      </c>
      <c r="I1" s="3" t="s">
        <v>23</v>
      </c>
      <c r="J1" s="3" t="s">
        <v>39</v>
      </c>
      <c r="K1" s="22" t="s">
        <v>13</v>
      </c>
      <c r="L1" s="22"/>
      <c r="M1" s="22"/>
      <c r="N1" s="3" t="s">
        <v>40</v>
      </c>
    </row>
    <row r="2" spans="1:14" x14ac:dyDescent="0.3">
      <c r="A2" s="17" t="s">
        <v>31</v>
      </c>
      <c r="B2" s="1" t="s">
        <v>0</v>
      </c>
      <c r="C2" s="4">
        <f>(172064-L3)/1024</f>
        <v>91.4453125</v>
      </c>
      <c r="D2" s="4">
        <f>(84536-M3)/1024</f>
        <v>31.12890625</v>
      </c>
      <c r="E2" s="2">
        <v>78633</v>
      </c>
      <c r="F2" s="4">
        <v>88</v>
      </c>
      <c r="G2" s="4">
        <f>C2*100/MAX(C$2:C$8)</f>
        <v>70.475961104253841</v>
      </c>
      <c r="H2" s="4">
        <f t="shared" ref="H2:I8" si="0">D2*100/MAX(D$2:D$8)</f>
        <v>100</v>
      </c>
      <c r="I2" s="4">
        <f t="shared" si="0"/>
        <v>71.482595929201935</v>
      </c>
      <c r="K2" t="s">
        <v>24</v>
      </c>
      <c r="L2" t="s">
        <v>14</v>
      </c>
      <c r="M2" t="s">
        <v>15</v>
      </c>
      <c r="N2" t="s">
        <v>12</v>
      </c>
    </row>
    <row r="3" spans="1:14" x14ac:dyDescent="0.3">
      <c r="A3" s="17"/>
      <c r="B3" s="1" t="s">
        <v>3</v>
      </c>
      <c r="C3" s="4">
        <f>(211292-L3)/1024</f>
        <v>129.75390625</v>
      </c>
      <c r="D3" s="4">
        <f>(82348-M3)/1024</f>
        <v>28.9921875</v>
      </c>
      <c r="E3" s="2">
        <v>66410</v>
      </c>
      <c r="F3" s="4">
        <v>88</v>
      </c>
      <c r="G3" s="4">
        <f t="shared" ref="G3:G8" si="1">C3*100/MAX(C$2:C$8)</f>
        <v>100</v>
      </c>
      <c r="H3" s="4">
        <f t="shared" si="0"/>
        <v>93.135901618772749</v>
      </c>
      <c r="I3" s="4">
        <f t="shared" si="0"/>
        <v>60.371080788705761</v>
      </c>
      <c r="K3" t="s">
        <v>25</v>
      </c>
      <c r="L3">
        <v>78424</v>
      </c>
      <c r="M3">
        <v>52660</v>
      </c>
      <c r="N3" t="s">
        <v>16</v>
      </c>
    </row>
    <row r="4" spans="1:14" x14ac:dyDescent="0.3">
      <c r="A4" s="17"/>
      <c r="B4" s="1" t="s">
        <v>4</v>
      </c>
      <c r="C4" s="14">
        <f>(111676-L3)/1024</f>
        <v>32.47265625</v>
      </c>
      <c r="D4" s="14">
        <f>(68144-M3+J5)/1024</f>
        <v>27.37109375</v>
      </c>
      <c r="E4" s="15">
        <v>110003</v>
      </c>
      <c r="F4" s="4">
        <v>88</v>
      </c>
      <c r="G4" s="4">
        <f t="shared" si="1"/>
        <v>25.026341933347382</v>
      </c>
      <c r="H4" s="4">
        <f t="shared" si="0"/>
        <v>87.928221859706369</v>
      </c>
      <c r="I4" s="4">
        <f t="shared" si="0"/>
        <v>100</v>
      </c>
      <c r="K4" t="s">
        <v>26</v>
      </c>
      <c r="L4">
        <v>6712</v>
      </c>
      <c r="M4">
        <v>752</v>
      </c>
      <c r="N4" t="s">
        <v>17</v>
      </c>
    </row>
    <row r="5" spans="1:14" x14ac:dyDescent="0.3">
      <c r="A5" s="17"/>
      <c r="B5" s="1" t="s">
        <v>34</v>
      </c>
      <c r="C5" s="4">
        <f>(89116-L3)/1024</f>
        <v>10.44140625</v>
      </c>
      <c r="D5" s="4">
        <f>(59140-M3+J5)/1024</f>
        <v>18.578125</v>
      </c>
      <c r="E5" s="2">
        <v>54752</v>
      </c>
      <c r="F5" s="4">
        <v>88</v>
      </c>
      <c r="G5" s="4">
        <f t="shared" si="1"/>
        <v>8.0470843242917791</v>
      </c>
      <c r="H5" s="4">
        <f t="shared" si="0"/>
        <v>59.681264901493286</v>
      </c>
      <c r="I5" s="4">
        <f t="shared" si="0"/>
        <v>49.773188003963526</v>
      </c>
      <c r="J5">
        <v>12544</v>
      </c>
      <c r="K5" t="s">
        <v>27</v>
      </c>
      <c r="L5">
        <v>662</v>
      </c>
      <c r="M5">
        <v>9</v>
      </c>
      <c r="N5" t="s">
        <v>19</v>
      </c>
    </row>
    <row r="6" spans="1:14" x14ac:dyDescent="0.3">
      <c r="A6" s="17"/>
      <c r="B6" s="1" t="s">
        <v>35</v>
      </c>
      <c r="C6" s="4">
        <f>(85732-L3)/1024</f>
        <v>7.13671875</v>
      </c>
      <c r="D6" s="4">
        <f>(55364-M3+J6)/1024</f>
        <v>14.890625</v>
      </c>
      <c r="E6" s="2">
        <v>24228</v>
      </c>
      <c r="F6" s="4">
        <v>88</v>
      </c>
      <c r="G6" s="4">
        <f t="shared" si="1"/>
        <v>5.5001956829334375</v>
      </c>
      <c r="H6" s="4">
        <f t="shared" si="0"/>
        <v>47.835362027857947</v>
      </c>
      <c r="I6" s="4">
        <f t="shared" si="0"/>
        <v>22.024853867621793</v>
      </c>
      <c r="J6">
        <v>12544</v>
      </c>
      <c r="K6" t="s">
        <v>28</v>
      </c>
      <c r="L6">
        <v>260089</v>
      </c>
      <c r="M6">
        <v>27892</v>
      </c>
    </row>
    <row r="7" spans="1:14" x14ac:dyDescent="0.3">
      <c r="A7" s="17"/>
      <c r="B7" s="1" t="s">
        <v>36</v>
      </c>
      <c r="C7" s="4">
        <f>(85476-L3)/1024</f>
        <v>6.88671875</v>
      </c>
      <c r="D7" s="4">
        <f>(55364-M3+J7)/1024</f>
        <v>8.765625</v>
      </c>
      <c r="E7" s="2">
        <v>10680</v>
      </c>
      <c r="F7" s="4">
        <v>88</v>
      </c>
      <c r="G7" s="4">
        <f t="shared" si="1"/>
        <v>5.3075232561640124</v>
      </c>
      <c r="H7" s="4">
        <f t="shared" si="0"/>
        <v>28.159116576734849</v>
      </c>
      <c r="I7" s="4">
        <f t="shared" si="0"/>
        <v>9.7088261229239201</v>
      </c>
      <c r="J7">
        <f>J6/2</f>
        <v>6272</v>
      </c>
      <c r="K7" t="s">
        <v>29</v>
      </c>
      <c r="L7">
        <v>203993</v>
      </c>
      <c r="M7">
        <v>11624</v>
      </c>
    </row>
    <row r="8" spans="1:14" x14ac:dyDescent="0.3">
      <c r="A8" s="17"/>
      <c r="B8" s="1" t="s">
        <v>37</v>
      </c>
      <c r="C8" s="4">
        <f>(85468-L3)/1024</f>
        <v>6.87890625</v>
      </c>
      <c r="D8" s="4">
        <f>(55364-M3+J8)/1024</f>
        <v>5.703125</v>
      </c>
      <c r="E8" s="2">
        <v>7829</v>
      </c>
      <c r="F8" s="4">
        <v>75</v>
      </c>
      <c r="G8" s="4">
        <f t="shared" si="1"/>
        <v>5.3015022428274676</v>
      </c>
      <c r="H8" s="4">
        <f t="shared" si="0"/>
        <v>18.320993851173295</v>
      </c>
      <c r="I8" s="4">
        <f t="shared" si="0"/>
        <v>7.1170786251284053</v>
      </c>
      <c r="J8">
        <f>J6/4</f>
        <v>3136</v>
      </c>
    </row>
    <row r="9" spans="1:14" x14ac:dyDescent="0.3">
      <c r="A9" s="17"/>
      <c r="B9" s="1" t="s">
        <v>1</v>
      </c>
      <c r="C9" s="4" t="s">
        <v>11</v>
      </c>
      <c r="D9" s="4"/>
      <c r="E9" s="2"/>
      <c r="F9" s="2"/>
      <c r="G9" s="2"/>
      <c r="H9" s="2"/>
      <c r="I9" s="2"/>
    </row>
    <row r="10" spans="1:14" x14ac:dyDescent="0.3">
      <c r="A10" s="17"/>
      <c r="B10" s="1" t="s">
        <v>2</v>
      </c>
      <c r="C10" s="4" t="s">
        <v>11</v>
      </c>
      <c r="D10" s="4"/>
      <c r="E10" s="2"/>
      <c r="F10" s="2"/>
      <c r="G10" s="2"/>
      <c r="H10" s="2"/>
      <c r="I10" s="2"/>
    </row>
    <row r="11" spans="1:14" x14ac:dyDescent="0.3">
      <c r="A11" s="18" t="s">
        <v>18</v>
      </c>
      <c r="B11" s="6" t="s">
        <v>0</v>
      </c>
      <c r="C11" s="7">
        <f>(407760-$L$6)/1024</f>
        <v>144.2099609375</v>
      </c>
      <c r="D11" s="7">
        <f>(75692-$M$6)/1024</f>
        <v>46.6796875</v>
      </c>
      <c r="E11" s="8">
        <v>72145</v>
      </c>
      <c r="F11" s="7">
        <v>88</v>
      </c>
      <c r="G11" s="7">
        <f>C11*100/MAX($C$11:$C$17)</f>
        <v>100</v>
      </c>
      <c r="H11" s="7">
        <f>D11*100/MAX($D$11:$D$17)</f>
        <v>100</v>
      </c>
      <c r="I11" s="7">
        <f>E11*100/MAX($E$11:$E$17)</f>
        <v>99.813226342003318</v>
      </c>
    </row>
    <row r="12" spans="1:14" x14ac:dyDescent="0.3">
      <c r="A12" s="18"/>
      <c r="B12" s="6" t="s">
        <v>3</v>
      </c>
      <c r="C12" s="7">
        <f>(391848-$L$6)/1024</f>
        <v>128.6708984375</v>
      </c>
      <c r="D12" s="7">
        <f>(73232-$M$6)/1024</f>
        <v>44.27734375</v>
      </c>
      <c r="E12" s="8">
        <v>72280</v>
      </c>
      <c r="F12" s="7">
        <v>88</v>
      </c>
      <c r="G12" s="7">
        <f>C12*100/MAX($C$11:$C$17)</f>
        <v>89.2246954378314</v>
      </c>
      <c r="H12" s="7">
        <f>D12*100/MAX($D$11:$D$17)</f>
        <v>94.853556485355654</v>
      </c>
      <c r="I12" s="7">
        <f>E12*100/MAX($E$11:$E$17)</f>
        <v>100</v>
      </c>
    </row>
    <row r="13" spans="1:14" x14ac:dyDescent="0.3">
      <c r="A13" s="18"/>
      <c r="B13" s="6" t="s">
        <v>4</v>
      </c>
      <c r="C13" s="7" t="s">
        <v>20</v>
      </c>
      <c r="D13" s="7"/>
      <c r="E13" s="8"/>
      <c r="F13" s="8"/>
      <c r="G13" s="7"/>
      <c r="H13" s="7"/>
      <c r="I13" s="7"/>
    </row>
    <row r="14" spans="1:14" x14ac:dyDescent="0.3">
      <c r="A14" s="18"/>
      <c r="B14" s="6" t="s">
        <v>34</v>
      </c>
      <c r="C14" s="7">
        <f>(290784-$L$6)/1024</f>
        <v>29.9755859375</v>
      </c>
      <c r="D14" s="7">
        <f>(47244-$M$6+J14)/1024</f>
        <v>31.1484375</v>
      </c>
      <c r="E14" s="8">
        <v>49114</v>
      </c>
      <c r="F14" s="7">
        <v>88</v>
      </c>
      <c r="G14" s="7">
        <f t="shared" ref="G14:G17" si="2">C14*100/MAX($C$11:$C$17)</f>
        <v>20.786071740558402</v>
      </c>
      <c r="H14" s="7">
        <f t="shared" ref="H14:H17" si="3">D14*100/MAX($D$11:$D$17)</f>
        <v>66.728033472803347</v>
      </c>
      <c r="I14" s="7">
        <f t="shared" ref="I14:I17" si="4">E14*100/MAX($E$11:$E$17)</f>
        <v>67.949640287769782</v>
      </c>
      <c r="J14">
        <v>12544</v>
      </c>
    </row>
    <row r="15" spans="1:14" x14ac:dyDescent="0.3">
      <c r="A15" s="18"/>
      <c r="B15" s="6" t="s">
        <v>35</v>
      </c>
      <c r="C15" s="7">
        <f>(288488-$L$6)/1024</f>
        <v>27.7333984375</v>
      </c>
      <c r="D15" s="7">
        <f>(47196-$M$6+J15)/1024</f>
        <v>31.1015625</v>
      </c>
      <c r="E15" s="8">
        <v>34019</v>
      </c>
      <c r="F15" s="7">
        <v>88</v>
      </c>
      <c r="G15" s="7">
        <f t="shared" si="2"/>
        <v>19.231264093830205</v>
      </c>
      <c r="H15" s="7">
        <f t="shared" si="3"/>
        <v>66.627615062761507</v>
      </c>
      <c r="I15" s="7">
        <f t="shared" si="4"/>
        <v>47.0655783065855</v>
      </c>
      <c r="J15">
        <v>12544</v>
      </c>
    </row>
    <row r="16" spans="1:14" x14ac:dyDescent="0.3">
      <c r="A16" s="18"/>
      <c r="B16" s="6" t="s">
        <v>36</v>
      </c>
      <c r="C16" s="7">
        <f>(278920-$L$6)/1024</f>
        <v>18.3896484375</v>
      </c>
      <c r="D16" s="7">
        <f>(37900-$M$6+J16)/1024</f>
        <v>15.8984375</v>
      </c>
      <c r="E16" s="8">
        <v>14483</v>
      </c>
      <c r="F16" s="7">
        <v>88</v>
      </c>
      <c r="G16" s="7">
        <f t="shared" si="2"/>
        <v>12.751995991088299</v>
      </c>
      <c r="H16" s="7">
        <f t="shared" si="3"/>
        <v>34.05857740585774</v>
      </c>
      <c r="I16" s="7">
        <f t="shared" si="4"/>
        <v>20.037354731599336</v>
      </c>
      <c r="J16">
        <f>J15/2</f>
        <v>6272</v>
      </c>
    </row>
    <row r="17" spans="1:24" x14ac:dyDescent="0.3">
      <c r="A17" s="18"/>
      <c r="B17" s="6" t="s">
        <v>37</v>
      </c>
      <c r="C17" s="7">
        <f>(274256-$L$6)/1024</f>
        <v>13.8349609375</v>
      </c>
      <c r="D17" s="7">
        <f>(33244-$M$6+J16)/1024</f>
        <v>11.3515625</v>
      </c>
      <c r="E17" s="8">
        <v>16017</v>
      </c>
      <c r="F17" s="7">
        <v>75</v>
      </c>
      <c r="G17" s="7">
        <f t="shared" si="2"/>
        <v>9.5936236634139398</v>
      </c>
      <c r="H17" s="7">
        <f t="shared" si="3"/>
        <v>24.317991631799163</v>
      </c>
      <c r="I17" s="7">
        <f t="shared" si="4"/>
        <v>22.159656889872718</v>
      </c>
      <c r="J17">
        <f>J15/4</f>
        <v>3136</v>
      </c>
    </row>
    <row r="18" spans="1:24" x14ac:dyDescent="0.3">
      <c r="A18" s="18"/>
      <c r="B18" s="6" t="s">
        <v>1</v>
      </c>
      <c r="C18" s="7" t="s">
        <v>11</v>
      </c>
      <c r="D18" s="7"/>
      <c r="E18" s="8"/>
      <c r="F18" s="8"/>
      <c r="G18" s="8"/>
      <c r="H18" s="8"/>
      <c r="I18" s="8"/>
    </row>
    <row r="19" spans="1:24" x14ac:dyDescent="0.3">
      <c r="A19" s="18"/>
      <c r="B19" s="6" t="s">
        <v>2</v>
      </c>
      <c r="C19" s="7" t="s">
        <v>11</v>
      </c>
      <c r="D19" s="7"/>
      <c r="E19" s="8"/>
      <c r="F19" s="8"/>
      <c r="G19" s="8"/>
      <c r="H19" s="8"/>
      <c r="I19" s="8"/>
      <c r="M19" s="13"/>
      <c r="N19" s="13"/>
      <c r="O19" s="13"/>
      <c r="P19" s="13"/>
      <c r="Q19" s="13"/>
      <c r="R19" s="13"/>
      <c r="S19" s="13"/>
    </row>
    <row r="20" spans="1:24" x14ac:dyDescent="0.3">
      <c r="A20" s="17" t="s">
        <v>30</v>
      </c>
      <c r="B20" s="1" t="s">
        <v>0</v>
      </c>
      <c r="C20" s="4">
        <f>(425010-$L$7)/1024</f>
        <v>215.8369140625</v>
      </c>
      <c r="D20" s="4">
        <f>(32940-$M$7)/1024</f>
        <v>20.81640625</v>
      </c>
      <c r="E20" s="2">
        <v>14652</v>
      </c>
      <c r="F20" s="4">
        <v>88</v>
      </c>
      <c r="G20" s="4">
        <f>C20*100/MAX($C$20:$C$26)</f>
        <v>100</v>
      </c>
      <c r="H20" s="4">
        <f t="shared" ref="H20" si="5">D20*100/MAX($D$20:$D$26)</f>
        <v>100</v>
      </c>
      <c r="I20" s="4">
        <f t="shared" ref="I20" si="6">E20*100/MAX($E$20:$E$26)</f>
        <v>95.390625</v>
      </c>
      <c r="M20" s="13"/>
      <c r="N20" s="13"/>
      <c r="O20" s="13"/>
      <c r="P20" s="13"/>
      <c r="Q20" s="13"/>
      <c r="R20" s="13"/>
      <c r="S20" s="13"/>
    </row>
    <row r="21" spans="1:24" x14ac:dyDescent="0.3">
      <c r="A21" s="17"/>
      <c r="B21" s="1" t="s">
        <v>3</v>
      </c>
      <c r="C21" s="4">
        <f>(356234-$L$7)/1024</f>
        <v>148.6728515625</v>
      </c>
      <c r="D21" s="4">
        <f>(31324-$M$7)/1024</f>
        <v>19.23828125</v>
      </c>
      <c r="E21" s="2">
        <v>15360</v>
      </c>
      <c r="F21" s="4">
        <v>88</v>
      </c>
      <c r="G21" s="4">
        <f t="shared" ref="G21:G25" si="7">C21*100/MAX($C$20:$C$26)</f>
        <v>68.882031698919093</v>
      </c>
      <c r="H21" s="4">
        <f t="shared" ref="H21:H25" si="8">D21*100/MAX($D$20:$D$26)</f>
        <v>92.418840307750045</v>
      </c>
      <c r="I21" s="4">
        <f t="shared" ref="I21:I25" si="9">E21*100/MAX($E$20:$E$26)</f>
        <v>100</v>
      </c>
      <c r="M21" s="13"/>
      <c r="N21" s="13"/>
      <c r="O21" s="13"/>
      <c r="P21" s="13"/>
      <c r="Q21" s="13"/>
      <c r="R21" s="13"/>
      <c r="S21" s="13"/>
    </row>
    <row r="22" spans="1:24" x14ac:dyDescent="0.3">
      <c r="A22" s="17"/>
      <c r="B22" s="1" t="s">
        <v>4</v>
      </c>
      <c r="C22" s="4"/>
      <c r="D22" s="4"/>
      <c r="E22" s="2"/>
      <c r="F22" s="5"/>
      <c r="G22" s="4"/>
      <c r="H22" s="4"/>
      <c r="I22" s="4"/>
    </row>
    <row r="23" spans="1:24" x14ac:dyDescent="0.3">
      <c r="A23" s="17"/>
      <c r="B23" s="1" t="s">
        <v>34</v>
      </c>
      <c r="C23" s="4">
        <f>(239821-$L$7)/1024</f>
        <v>34.98828125</v>
      </c>
      <c r="D23" s="4">
        <f>(16260-$M$7+J23)/1024</f>
        <v>16.77734375</v>
      </c>
      <c r="E23" s="2">
        <v>3975</v>
      </c>
      <c r="F23" s="4">
        <v>88</v>
      </c>
      <c r="G23" s="4">
        <f>C23*100/MAX($C$20:$C$26)</f>
        <v>16.210517742979047</v>
      </c>
      <c r="H23" s="4">
        <f>D23*100/MAX($D$20:$D$26)</f>
        <v>80.596734847063246</v>
      </c>
      <c r="I23" s="4">
        <f t="shared" si="9"/>
        <v>25.87890625</v>
      </c>
      <c r="J23">
        <v>12544</v>
      </c>
      <c r="M23" s="13"/>
      <c r="N23" s="13"/>
      <c r="O23" s="13"/>
      <c r="P23" s="13"/>
      <c r="Q23" s="13"/>
      <c r="R23" s="13"/>
      <c r="S23" s="13"/>
    </row>
    <row r="24" spans="1:24" x14ac:dyDescent="0.3">
      <c r="A24" s="17"/>
      <c r="B24" s="1" t="s">
        <v>35</v>
      </c>
      <c r="C24" s="4">
        <f>(237933-$L$7)/1024</f>
        <v>33.14453125</v>
      </c>
      <c r="D24" s="4">
        <f>(16252-$M$7+J24)/1024</f>
        <v>16.76953125</v>
      </c>
      <c r="E24" s="2">
        <v>5508</v>
      </c>
      <c r="F24" s="4">
        <v>88</v>
      </c>
      <c r="G24" s="4">
        <f t="shared" si="7"/>
        <v>15.356284810670672</v>
      </c>
      <c r="H24" s="4">
        <f t="shared" si="8"/>
        <v>80.559204353537254</v>
      </c>
      <c r="I24" s="4">
        <f t="shared" si="9"/>
        <v>35.859375</v>
      </c>
      <c r="J24">
        <v>12544</v>
      </c>
      <c r="M24" s="13"/>
      <c r="N24" s="13"/>
      <c r="O24" s="13"/>
      <c r="P24" s="13"/>
      <c r="Q24" s="13"/>
      <c r="R24" s="13"/>
      <c r="S24" s="13"/>
    </row>
    <row r="25" spans="1:24" x14ac:dyDescent="0.3">
      <c r="A25" s="17"/>
      <c r="B25" s="1" t="s">
        <v>36</v>
      </c>
      <c r="C25" s="4">
        <f>(228361-$L$7)/1024</f>
        <v>23.796875</v>
      </c>
      <c r="D25" s="4">
        <f>(16252-$M$7+J25)/1024</f>
        <v>10.64453125</v>
      </c>
      <c r="E25" s="2">
        <v>5259</v>
      </c>
      <c r="F25" s="4">
        <v>88</v>
      </c>
      <c r="G25" s="4">
        <f t="shared" si="7"/>
        <v>11.025396236488596</v>
      </c>
      <c r="H25" s="4">
        <f t="shared" si="8"/>
        <v>51.135297429161191</v>
      </c>
      <c r="I25" s="4">
        <f t="shared" si="9"/>
        <v>34.23828125</v>
      </c>
      <c r="J25">
        <f>J24/2</f>
        <v>6272</v>
      </c>
      <c r="M25" s="13"/>
      <c r="N25" s="13"/>
      <c r="O25" s="13"/>
      <c r="P25" s="13"/>
      <c r="Q25" s="13"/>
      <c r="R25" s="13"/>
      <c r="S25" s="13"/>
    </row>
    <row r="26" spans="1:24" x14ac:dyDescent="0.3">
      <c r="A26" s="17"/>
      <c r="B26" s="1" t="s">
        <v>37</v>
      </c>
      <c r="C26" s="4">
        <f>(223677-$L$7)/1024</f>
        <v>19.22265625</v>
      </c>
      <c r="D26" s="4">
        <f>(16252-$M$7+J26)/1024</f>
        <v>7.58203125</v>
      </c>
      <c r="E26" s="2">
        <v>4723</v>
      </c>
      <c r="F26" s="4">
        <v>75</v>
      </c>
      <c r="G26" s="4">
        <f>C26*100/MAX($C$20:$C$26)</f>
        <v>8.9061022455286238</v>
      </c>
      <c r="H26" s="4">
        <f>D26*100/MAX($D$20:$D$26)</f>
        <v>36.423343966973164</v>
      </c>
      <c r="I26" s="4">
        <f>E26*100/MAX($E$20:$E$26)</f>
        <v>30.748697916666668</v>
      </c>
      <c r="J26">
        <f>J24/4</f>
        <v>3136</v>
      </c>
    </row>
    <row r="27" spans="1:24" x14ac:dyDescent="0.3">
      <c r="A27" s="17"/>
      <c r="B27" s="1" t="s">
        <v>1</v>
      </c>
      <c r="C27" s="4" t="s">
        <v>11</v>
      </c>
      <c r="D27" s="4"/>
      <c r="E27" s="2"/>
      <c r="F27" s="2"/>
      <c r="G27" s="2"/>
      <c r="H27" s="2"/>
      <c r="I27" s="2"/>
    </row>
    <row r="28" spans="1:24" x14ac:dyDescent="0.3">
      <c r="A28" s="17"/>
      <c r="B28" s="1" t="s">
        <v>2</v>
      </c>
      <c r="C28" s="4" t="s">
        <v>11</v>
      </c>
      <c r="D28" s="4"/>
      <c r="E28" s="2"/>
      <c r="F28" s="2"/>
      <c r="G28" s="2"/>
      <c r="H28" s="2"/>
      <c r="I28" s="2"/>
    </row>
    <row r="29" spans="1:24" ht="43.2" x14ac:dyDescent="0.3">
      <c r="J29" s="12" t="s">
        <v>38</v>
      </c>
      <c r="L29" s="23"/>
      <c r="M29" s="23"/>
      <c r="N29" s="19"/>
      <c r="O29" s="24"/>
      <c r="P29" s="23"/>
      <c r="Q29" s="23"/>
      <c r="R29" s="23"/>
      <c r="S29" s="23"/>
      <c r="T29" s="23"/>
      <c r="U29" s="23"/>
      <c r="V29" s="23"/>
      <c r="W29" s="24"/>
      <c r="X29" s="24"/>
    </row>
    <row r="30" spans="1:24" ht="43.2" x14ac:dyDescent="0.3">
      <c r="B30" s="3" t="s">
        <v>6</v>
      </c>
      <c r="C30" s="3" t="s">
        <v>7</v>
      </c>
      <c r="D30" s="3" t="s">
        <v>8</v>
      </c>
      <c r="E30" s="3" t="s">
        <v>9</v>
      </c>
      <c r="F30" s="3" t="s">
        <v>10</v>
      </c>
      <c r="G30" s="3" t="s">
        <v>21</v>
      </c>
      <c r="H30" s="3" t="s">
        <v>22</v>
      </c>
      <c r="I30" s="3" t="s">
        <v>23</v>
      </c>
      <c r="J30" s="3" t="s">
        <v>21</v>
      </c>
      <c r="L30" s="23"/>
      <c r="M30" s="23"/>
      <c r="N30" s="19"/>
      <c r="O30" s="24"/>
      <c r="P30" s="23"/>
      <c r="Q30" s="23"/>
      <c r="R30" s="23"/>
      <c r="S30" s="23"/>
      <c r="T30" s="23"/>
      <c r="U30" s="23"/>
      <c r="V30" s="23"/>
      <c r="W30" s="24"/>
      <c r="X30" s="24"/>
    </row>
    <row r="31" spans="1:24" x14ac:dyDescent="0.3">
      <c r="A31" s="16" t="s">
        <v>33</v>
      </c>
      <c r="B31" s="1" t="s">
        <v>0</v>
      </c>
      <c r="C31" s="9">
        <f t="shared" ref="C31:E32" si="10">AVERAGE(C20,C11,C2)</f>
        <v>150.49739583333334</v>
      </c>
      <c r="D31" s="9">
        <f t="shared" si="10"/>
        <v>32.875</v>
      </c>
      <c r="E31" s="10">
        <f t="shared" si="10"/>
        <v>55143.333333333336</v>
      </c>
      <c r="F31" s="5">
        <v>98.89</v>
      </c>
      <c r="G31" s="4">
        <f>C31*100/MAX($C$31:$C$37)</f>
        <v>100</v>
      </c>
      <c r="H31" s="4">
        <f>D31*100/MAX($D$31:$D$37)</f>
        <v>100</v>
      </c>
      <c r="I31" s="4">
        <f>E31*100/MAX($E$31:$E$37)</f>
        <v>50.128935877506379</v>
      </c>
      <c r="J31" s="11">
        <f t="shared" ref="J31:J37" si="11">100*MAX($G$31:$G$37)/G31-100</f>
        <v>0</v>
      </c>
      <c r="L31" s="23"/>
      <c r="M31" s="23"/>
      <c r="N31" s="19"/>
      <c r="O31" s="24"/>
      <c r="P31" s="25"/>
      <c r="Q31" s="25"/>
      <c r="R31" s="25"/>
      <c r="S31" s="25"/>
      <c r="T31" s="25"/>
      <c r="U31" s="25"/>
      <c r="V31" s="25"/>
      <c r="W31" s="24"/>
      <c r="X31" s="24"/>
    </row>
    <row r="32" spans="1:24" x14ac:dyDescent="0.3">
      <c r="A32" s="16"/>
      <c r="B32" s="1" t="s">
        <v>3</v>
      </c>
      <c r="C32" s="9">
        <f t="shared" si="10"/>
        <v>135.69921875</v>
      </c>
      <c r="D32" s="9">
        <f t="shared" si="10"/>
        <v>30.8359375</v>
      </c>
      <c r="E32" s="10">
        <f t="shared" si="10"/>
        <v>51350</v>
      </c>
      <c r="F32" s="5">
        <v>98.89</v>
      </c>
      <c r="G32" s="4">
        <f>C32*100/MAX($C$31:$C$37)</f>
        <v>90.167154055129686</v>
      </c>
      <c r="H32" s="4">
        <f>D32*100/MAX($D$31:$D$37)</f>
        <v>93.797528517110266</v>
      </c>
      <c r="I32" s="4">
        <f>E32*100/MAX($E$31:$E$37)</f>
        <v>46.68054507604338</v>
      </c>
      <c r="J32" s="11">
        <f t="shared" si="11"/>
        <v>10.905130640874333</v>
      </c>
      <c r="L32" s="23"/>
      <c r="M32" s="23"/>
      <c r="N32" s="19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spans="1:24" x14ac:dyDescent="0.3">
      <c r="A33" s="16"/>
      <c r="B33" s="1" t="s">
        <v>4</v>
      </c>
      <c r="C33" s="9">
        <f>AVERAGE(C4)</f>
        <v>32.47265625</v>
      </c>
      <c r="D33" s="9">
        <f>AVERAGE(D4)</f>
        <v>27.37109375</v>
      </c>
      <c r="E33" s="10">
        <f>AVERAGE(E4)</f>
        <v>110003</v>
      </c>
      <c r="F33" s="5">
        <v>98.89</v>
      </c>
      <c r="G33" s="4">
        <f t="shared" ref="G33" si="12">C33*100/MAX($C$31:$C$37)</f>
        <v>21.576889134986416</v>
      </c>
      <c r="H33" s="4">
        <f t="shared" ref="H33" si="13">D33*100/MAX($D$31:$D$37)</f>
        <v>83.258079847908746</v>
      </c>
      <c r="I33" s="4">
        <f t="shared" ref="I33" si="14">E33*100/MAX($E$31:$E$37)</f>
        <v>100</v>
      </c>
      <c r="J33" s="11">
        <f t="shared" si="11"/>
        <v>363.45883956854726</v>
      </c>
      <c r="L33" s="23"/>
      <c r="M33" s="23"/>
      <c r="N33" s="19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1:24" x14ac:dyDescent="0.3">
      <c r="A34" s="16"/>
      <c r="B34" s="1" t="s">
        <v>34</v>
      </c>
      <c r="C34" s="9">
        <f>AVERAGE(C23,C14,C5)</f>
        <v>25.135091145833332</v>
      </c>
      <c r="D34" s="9">
        <f t="shared" ref="C34:E37" si="15">AVERAGE(D23,D14,D5)</f>
        <v>22.16796875</v>
      </c>
      <c r="E34" s="10">
        <f t="shared" si="15"/>
        <v>35947</v>
      </c>
      <c r="F34" s="5">
        <v>98.89</v>
      </c>
      <c r="G34" s="4">
        <f>C34*100/MAX($C$31:$C$37)</f>
        <v>16.70134623038189</v>
      </c>
      <c r="H34" s="4">
        <f>D34*100/MAX($D$31:$D$37)</f>
        <v>67.431083650190118</v>
      </c>
      <c r="I34" s="4">
        <f>E34*100/MAX($E$31:$E$37)</f>
        <v>32.67819968546312</v>
      </c>
      <c r="J34" s="11">
        <f t="shared" si="11"/>
        <v>498.75412808392161</v>
      </c>
      <c r="L34" s="23"/>
      <c r="M34" s="23"/>
      <c r="N34" s="19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spans="1:24" x14ac:dyDescent="0.3">
      <c r="A35" s="16"/>
      <c r="B35" s="1" t="s">
        <v>35</v>
      </c>
      <c r="C35" s="9">
        <f t="shared" si="15"/>
        <v>22.671549479166668</v>
      </c>
      <c r="D35" s="9">
        <f t="shared" si="15"/>
        <v>20.920572916666668</v>
      </c>
      <c r="E35" s="10">
        <f t="shared" si="15"/>
        <v>21251.666666666668</v>
      </c>
      <c r="F35" s="5">
        <v>98.89</v>
      </c>
      <c r="G35" s="4">
        <f>C35*100/MAX($C$31:$C$37)</f>
        <v>15.064413143915143</v>
      </c>
      <c r="H35" s="4">
        <f>D35*100/MAX($D$31:$D$37)</f>
        <v>63.63672370088721</v>
      </c>
      <c r="I35" s="4">
        <f>E35*100/MAX($E$31:$E$37)</f>
        <v>19.319170083240156</v>
      </c>
      <c r="J35" s="11">
        <f t="shared" si="11"/>
        <v>563.81610119603135</v>
      </c>
      <c r="L35" s="23"/>
      <c r="M35" s="23"/>
      <c r="N35" s="19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1:24" x14ac:dyDescent="0.3">
      <c r="A36" s="16"/>
      <c r="B36" s="1" t="s">
        <v>36</v>
      </c>
      <c r="C36" s="9">
        <f t="shared" si="15"/>
        <v>16.357747395833332</v>
      </c>
      <c r="D36" s="9">
        <f t="shared" si="15"/>
        <v>11.76953125</v>
      </c>
      <c r="E36" s="10">
        <f t="shared" si="15"/>
        <v>10140.666666666666</v>
      </c>
      <c r="F36" s="5">
        <v>98.89</v>
      </c>
      <c r="G36" s="4">
        <f>C36*100/MAX($C$31:$C$37)</f>
        <v>10.869123219878526</v>
      </c>
      <c r="H36" s="4">
        <f>D36*100/MAX($D$31:$D$37)</f>
        <v>35.800855513307987</v>
      </c>
      <c r="I36" s="4">
        <f>E36*100/MAX($E$31:$E$37)</f>
        <v>9.2185364641570384</v>
      </c>
      <c r="J36" s="11">
        <f t="shared" si="11"/>
        <v>820.03741219080234</v>
      </c>
    </row>
    <row r="37" spans="1:24" x14ac:dyDescent="0.3">
      <c r="A37" s="16"/>
      <c r="B37" s="1" t="s">
        <v>37</v>
      </c>
      <c r="C37" s="9">
        <f t="shared" si="15"/>
        <v>13.312174479166666</v>
      </c>
      <c r="D37" s="9">
        <f t="shared" si="15"/>
        <v>8.2122395833333339</v>
      </c>
      <c r="E37" s="10">
        <f t="shared" si="15"/>
        <v>9523</v>
      </c>
      <c r="F37" s="5">
        <v>89.17</v>
      </c>
      <c r="G37" s="4">
        <f>C37*100/MAX($C$31:$C$37)</f>
        <v>8.8454517139346933</v>
      </c>
      <c r="H37" s="4">
        <f>D37*100/MAX($D$31:$D$37)</f>
        <v>24.980196451204058</v>
      </c>
      <c r="I37" s="4">
        <f>E37*100/MAX($E$31:$E$37)</f>
        <v>8.657036626273829</v>
      </c>
      <c r="J37" s="11">
        <f t="shared" si="11"/>
        <v>1030.5245139992667</v>
      </c>
    </row>
    <row r="39" spans="1:24" ht="43.2" customHeight="1" x14ac:dyDescent="0.3">
      <c r="K39" s="20"/>
      <c r="L39" s="20"/>
    </row>
    <row r="40" spans="1:24" x14ac:dyDescent="0.3">
      <c r="K40" s="21"/>
      <c r="L40" s="21"/>
      <c r="N40" s="13"/>
      <c r="O40" s="13"/>
      <c r="P40" s="13"/>
    </row>
    <row r="41" spans="1:24" x14ac:dyDescent="0.3">
      <c r="K41" s="21"/>
      <c r="L41" s="21"/>
      <c r="N41" s="13"/>
      <c r="O41" s="13"/>
      <c r="P41" s="13"/>
    </row>
    <row r="42" spans="1:24" x14ac:dyDescent="0.3">
      <c r="K42" s="21"/>
      <c r="L42" s="21"/>
      <c r="N42" s="13"/>
      <c r="O42" s="13"/>
      <c r="P42" s="13"/>
    </row>
    <row r="43" spans="1:24" x14ac:dyDescent="0.3">
      <c r="K43" s="21"/>
      <c r="L43" s="21"/>
      <c r="N43" s="13"/>
      <c r="O43" s="13"/>
      <c r="P43" s="13"/>
    </row>
    <row r="44" spans="1:24" x14ac:dyDescent="0.3">
      <c r="K44" s="21"/>
      <c r="L44" s="21"/>
      <c r="N44" s="13"/>
      <c r="O44" s="13"/>
      <c r="P44" s="13"/>
    </row>
    <row r="45" spans="1:24" x14ac:dyDescent="0.3">
      <c r="K45" s="21"/>
      <c r="L45" s="21"/>
      <c r="N45" s="13"/>
      <c r="O45" s="13"/>
      <c r="P45" s="13"/>
    </row>
    <row r="46" spans="1:24" x14ac:dyDescent="0.3">
      <c r="K46" s="21"/>
      <c r="L46" s="21"/>
      <c r="N46" s="13"/>
      <c r="O46" s="13"/>
      <c r="P46" s="13"/>
    </row>
    <row r="48" spans="1:24" ht="14.4" customHeight="1" x14ac:dyDescent="0.3">
      <c r="K48" s="20"/>
      <c r="L48" s="20"/>
      <c r="M48" t="s">
        <v>32</v>
      </c>
      <c r="N48" s="13"/>
      <c r="O48" s="13"/>
      <c r="P48" s="13"/>
      <c r="Q48" s="13"/>
      <c r="R48" s="13"/>
      <c r="S48" s="13"/>
      <c r="T48" s="13"/>
    </row>
    <row r="49" spans="11:20" x14ac:dyDescent="0.3">
      <c r="K49" s="20"/>
      <c r="L49" s="20"/>
      <c r="N49" s="13"/>
      <c r="O49" s="13"/>
      <c r="P49" s="13"/>
      <c r="Q49" s="13"/>
      <c r="R49" s="13"/>
      <c r="S49" s="13"/>
      <c r="T49" s="13"/>
    </row>
    <row r="50" spans="11:20" x14ac:dyDescent="0.3">
      <c r="K50" s="21"/>
      <c r="L50" s="21"/>
      <c r="N50" s="13"/>
      <c r="O50" s="13"/>
      <c r="P50" s="13"/>
      <c r="Q50" s="13"/>
      <c r="R50" s="13"/>
      <c r="S50" s="13"/>
      <c r="T50" s="13"/>
    </row>
    <row r="51" spans="11:20" x14ac:dyDescent="0.3">
      <c r="K51" s="21"/>
      <c r="L51" s="21"/>
    </row>
    <row r="52" spans="11:20" x14ac:dyDescent="0.3">
      <c r="K52" s="21"/>
      <c r="L52" s="21"/>
    </row>
    <row r="53" spans="11:20" x14ac:dyDescent="0.3">
      <c r="K53" s="21"/>
      <c r="L53" s="21"/>
    </row>
    <row r="54" spans="11:20" x14ac:dyDescent="0.3">
      <c r="K54" s="21"/>
      <c r="L54" s="21"/>
    </row>
    <row r="55" spans="11:20" x14ac:dyDescent="0.3">
      <c r="K55" s="21"/>
      <c r="L55" s="21"/>
    </row>
    <row r="56" spans="11:20" x14ac:dyDescent="0.3">
      <c r="K56" s="21"/>
      <c r="L56" s="21"/>
    </row>
  </sheetData>
  <mergeCells count="5">
    <mergeCell ref="A31:A37"/>
    <mergeCell ref="K1:M1"/>
    <mergeCell ref="A20:A28"/>
    <mergeCell ref="A2:A10"/>
    <mergeCell ref="A11:A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17E3-3C5B-46B7-AE91-121E781E6014}">
  <dimension ref="A1:N10"/>
  <sheetViews>
    <sheetView workbookViewId="0">
      <selection activeCell="N1" sqref="K1:N1"/>
    </sheetView>
  </sheetViews>
  <sheetFormatPr baseColWidth="10" defaultRowHeight="14.4" x14ac:dyDescent="0.3"/>
  <cols>
    <col min="2" max="2" width="20" bestFit="1" customWidth="1"/>
    <col min="11" max="11" width="12.33203125" bestFit="1" customWidth="1"/>
  </cols>
  <sheetData>
    <row r="1" spans="1:14" ht="43.2" x14ac:dyDescent="0.3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21</v>
      </c>
      <c r="H1" s="3" t="s">
        <v>22</v>
      </c>
      <c r="I1" s="3" t="s">
        <v>23</v>
      </c>
      <c r="J1" s="3" t="s">
        <v>39</v>
      </c>
      <c r="K1" s="22" t="s">
        <v>13</v>
      </c>
      <c r="L1" s="22"/>
      <c r="M1" s="22"/>
      <c r="N1" s="3" t="s">
        <v>40</v>
      </c>
    </row>
    <row r="2" spans="1:14" ht="14.4" customHeight="1" x14ac:dyDescent="0.3">
      <c r="A2" s="18" t="s">
        <v>18</v>
      </c>
      <c r="B2" s="6" t="s">
        <v>0</v>
      </c>
      <c r="C2" s="7">
        <f>(407760-$L$6)/1024</f>
        <v>144.2099609375</v>
      </c>
      <c r="D2" s="7">
        <f>(75692-$M$6)/1024</f>
        <v>46.6796875</v>
      </c>
      <c r="E2" s="8">
        <v>72145</v>
      </c>
      <c r="F2" s="7">
        <v>88</v>
      </c>
      <c r="G2" s="7">
        <f>C2*100/MAX($C$2:$C$10)</f>
        <v>100</v>
      </c>
      <c r="H2" s="7">
        <f>D2*100/MAX($D$2:$D$10)</f>
        <v>100</v>
      </c>
      <c r="I2" s="7">
        <f>E2*100/MAX($E$2:$E$10)</f>
        <v>99.813226342003318</v>
      </c>
      <c r="K2" t="s">
        <v>24</v>
      </c>
      <c r="L2" t="s">
        <v>14</v>
      </c>
      <c r="M2" t="s">
        <v>15</v>
      </c>
      <c r="N2" t="s">
        <v>12</v>
      </c>
    </row>
    <row r="3" spans="1:14" x14ac:dyDescent="0.3">
      <c r="A3" s="18"/>
      <c r="B3" s="6" t="s">
        <v>3</v>
      </c>
      <c r="C3" s="7">
        <f>(391848-$L$6)/1024</f>
        <v>128.6708984375</v>
      </c>
      <c r="D3" s="7">
        <f>(73232-$M$6)/1024</f>
        <v>44.27734375</v>
      </c>
      <c r="E3" s="8">
        <v>72280</v>
      </c>
      <c r="F3" s="7">
        <v>88</v>
      </c>
      <c r="G3" s="7">
        <f t="shared" ref="G3:G8" si="0">C3*100/MAX($C$2:$C$10)</f>
        <v>89.2246954378314</v>
      </c>
      <c r="H3" s="7">
        <f t="shared" ref="H3:H8" si="1">D3*100/MAX($D$2:$D$10)</f>
        <v>94.853556485355654</v>
      </c>
      <c r="I3" s="7">
        <f t="shared" ref="I3:I8" si="2">E3*100/MAX($E$2:$E$10)</f>
        <v>100</v>
      </c>
      <c r="K3" t="s">
        <v>25</v>
      </c>
      <c r="L3">
        <v>78424</v>
      </c>
      <c r="M3">
        <v>52660</v>
      </c>
      <c r="N3" t="s">
        <v>16</v>
      </c>
    </row>
    <row r="4" spans="1:14" x14ac:dyDescent="0.3">
      <c r="A4" s="18"/>
      <c r="B4" s="6" t="s">
        <v>4</v>
      </c>
      <c r="C4" s="7" t="s">
        <v>20</v>
      </c>
      <c r="D4" s="7"/>
      <c r="E4" s="8"/>
      <c r="F4" s="8"/>
      <c r="G4" s="7"/>
      <c r="H4" s="7"/>
      <c r="I4" s="7"/>
      <c r="K4" t="s">
        <v>26</v>
      </c>
      <c r="L4">
        <v>6712</v>
      </c>
      <c r="M4">
        <v>752</v>
      </c>
      <c r="N4" t="s">
        <v>17</v>
      </c>
    </row>
    <row r="5" spans="1:14" x14ac:dyDescent="0.3">
      <c r="A5" s="18"/>
      <c r="B5" s="6" t="s">
        <v>34</v>
      </c>
      <c r="C5" s="7">
        <f>(290784-$L$6)/1024</f>
        <v>29.9755859375</v>
      </c>
      <c r="D5" s="7">
        <f>(47244-$M$6+J5)/1024</f>
        <v>20.8671875</v>
      </c>
      <c r="E5" s="8">
        <v>49114</v>
      </c>
      <c r="F5" s="7">
        <v>88</v>
      </c>
      <c r="G5" s="7">
        <f t="shared" si="0"/>
        <v>20.786071740558402</v>
      </c>
      <c r="H5" s="7">
        <f t="shared" si="1"/>
        <v>44.702928870292887</v>
      </c>
      <c r="I5" s="7">
        <f t="shared" si="2"/>
        <v>67.949640287769782</v>
      </c>
      <c r="J5">
        <v>2016</v>
      </c>
      <c r="K5" t="s">
        <v>27</v>
      </c>
      <c r="L5">
        <v>662</v>
      </c>
      <c r="M5">
        <v>9</v>
      </c>
      <c r="N5" t="s">
        <v>19</v>
      </c>
    </row>
    <row r="6" spans="1:14" x14ac:dyDescent="0.3">
      <c r="A6" s="18"/>
      <c r="B6" s="6" t="s">
        <v>35</v>
      </c>
      <c r="C6" s="7">
        <f>(288488-$L$6)/1024</f>
        <v>27.7333984375</v>
      </c>
      <c r="D6" s="7">
        <f>(47196-$M$6+J6)/1024</f>
        <v>20.8203125</v>
      </c>
      <c r="E6" s="8">
        <v>34019</v>
      </c>
      <c r="F6" s="7">
        <v>88</v>
      </c>
      <c r="G6" s="7">
        <f t="shared" si="0"/>
        <v>19.231264093830205</v>
      </c>
      <c r="H6" s="7">
        <f t="shared" si="1"/>
        <v>44.602510460251047</v>
      </c>
      <c r="I6" s="7">
        <f t="shared" si="2"/>
        <v>47.0655783065855</v>
      </c>
      <c r="J6">
        <v>2016</v>
      </c>
      <c r="K6" t="s">
        <v>28</v>
      </c>
      <c r="L6">
        <v>260089</v>
      </c>
      <c r="M6">
        <v>27892</v>
      </c>
    </row>
    <row r="7" spans="1:14" x14ac:dyDescent="0.3">
      <c r="A7" s="18"/>
      <c r="B7" s="6" t="s">
        <v>36</v>
      </c>
      <c r="C7" s="7">
        <f>(278920-$L$6)/1024</f>
        <v>18.3896484375</v>
      </c>
      <c r="D7" s="7">
        <f>(37900-$M$6+J7)/1024</f>
        <v>10.7578125</v>
      </c>
      <c r="E7" s="8">
        <v>14483</v>
      </c>
      <c r="F7" s="7">
        <v>88</v>
      </c>
      <c r="G7" s="7">
        <f t="shared" si="0"/>
        <v>12.751995991088299</v>
      </c>
      <c r="H7" s="7">
        <f t="shared" si="1"/>
        <v>23.04602510460251</v>
      </c>
      <c r="I7" s="7">
        <f t="shared" si="2"/>
        <v>20.037354731599336</v>
      </c>
      <c r="J7">
        <v>1008</v>
      </c>
      <c r="K7" t="s">
        <v>29</v>
      </c>
      <c r="L7">
        <v>203993</v>
      </c>
      <c r="M7">
        <v>11624</v>
      </c>
    </row>
    <row r="8" spans="1:14" x14ac:dyDescent="0.3">
      <c r="A8" s="18"/>
      <c r="B8" s="6" t="s">
        <v>37</v>
      </c>
      <c r="C8" s="7">
        <f>(274256-$L$6)/1024</f>
        <v>13.8349609375</v>
      </c>
      <c r="D8" s="7">
        <f>(33244-$M$6+J7)/1024</f>
        <v>6.2109375</v>
      </c>
      <c r="E8" s="8">
        <v>16017</v>
      </c>
      <c r="F8" s="7">
        <v>75</v>
      </c>
      <c r="G8" s="7">
        <f t="shared" si="0"/>
        <v>9.5936236634139398</v>
      </c>
      <c r="H8" s="7">
        <f t="shared" si="1"/>
        <v>13.305439330543933</v>
      </c>
      <c r="I8" s="7">
        <f t="shared" si="2"/>
        <v>22.159656889872718</v>
      </c>
      <c r="J8">
        <v>504</v>
      </c>
    </row>
    <row r="9" spans="1:14" x14ac:dyDescent="0.3">
      <c r="A9" s="18"/>
      <c r="B9" s="6" t="s">
        <v>1</v>
      </c>
      <c r="C9" s="7" t="s">
        <v>11</v>
      </c>
      <c r="D9" s="7"/>
      <c r="E9" s="8"/>
      <c r="F9" s="8"/>
      <c r="G9" s="8"/>
      <c r="H9" s="8"/>
      <c r="I9" s="8"/>
    </row>
    <row r="10" spans="1:14" x14ac:dyDescent="0.3">
      <c r="A10" s="18"/>
      <c r="B10" s="6" t="s">
        <v>2</v>
      </c>
      <c r="C10" s="7" t="s">
        <v>11</v>
      </c>
      <c r="D10" s="7"/>
      <c r="E10" s="8"/>
      <c r="F10" s="8"/>
      <c r="G10" s="8"/>
      <c r="H10" s="8"/>
      <c r="I10" s="8"/>
    </row>
  </sheetData>
  <mergeCells count="2">
    <mergeCell ref="K1:M1"/>
    <mergeCell ref="A2:A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52E5-E7BD-45DD-9814-F360B5500CDD}">
  <dimension ref="A1:N10"/>
  <sheetViews>
    <sheetView workbookViewId="0">
      <selection activeCell="K1" sqref="K1:N1"/>
    </sheetView>
  </sheetViews>
  <sheetFormatPr baseColWidth="10" defaultRowHeight="14.4" x14ac:dyDescent="0.3"/>
  <cols>
    <col min="2" max="2" width="20" bestFit="1" customWidth="1"/>
  </cols>
  <sheetData>
    <row r="1" spans="1:14" ht="43.2" x14ac:dyDescent="0.3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21</v>
      </c>
      <c r="H1" s="3" t="s">
        <v>22</v>
      </c>
      <c r="I1" s="3" t="s">
        <v>23</v>
      </c>
      <c r="J1" s="3" t="s">
        <v>39</v>
      </c>
      <c r="K1" s="22" t="s">
        <v>13</v>
      </c>
      <c r="L1" s="22"/>
      <c r="M1" s="22"/>
      <c r="N1" s="3" t="s">
        <v>40</v>
      </c>
    </row>
    <row r="2" spans="1:14" ht="14.4" customHeight="1" x14ac:dyDescent="0.3">
      <c r="A2" s="17" t="s">
        <v>41</v>
      </c>
      <c r="B2" s="1" t="s">
        <v>0</v>
      </c>
      <c r="C2" s="4">
        <f>(425010-$L$7)/1024</f>
        <v>215.8369140625</v>
      </c>
      <c r="D2" s="4">
        <f>(32940-$M$7)/1024</f>
        <v>20.81640625</v>
      </c>
      <c r="E2" s="2">
        <v>14652</v>
      </c>
      <c r="F2" s="4">
        <v>88</v>
      </c>
      <c r="G2" s="4">
        <f>C2*100/MAX($C$2:$C$10)</f>
        <v>100</v>
      </c>
      <c r="H2" s="4">
        <f>D2*100/MAX($D$2:$D$10)</f>
        <v>100</v>
      </c>
      <c r="I2" s="4">
        <f>E2*100/MAX($E$2:$E$10)</f>
        <v>95.390625</v>
      </c>
      <c r="K2" t="s">
        <v>24</v>
      </c>
      <c r="L2" t="s">
        <v>14</v>
      </c>
      <c r="M2" t="s">
        <v>15</v>
      </c>
      <c r="N2" t="s">
        <v>12</v>
      </c>
    </row>
    <row r="3" spans="1:14" x14ac:dyDescent="0.3">
      <c r="A3" s="17"/>
      <c r="B3" s="1" t="s">
        <v>3</v>
      </c>
      <c r="C3" s="4">
        <f>(356234-$L$7)/1024</f>
        <v>148.6728515625</v>
      </c>
      <c r="D3" s="4">
        <f>(31324-$M$7)/1024</f>
        <v>19.23828125</v>
      </c>
      <c r="E3" s="2">
        <v>15360</v>
      </c>
      <c r="F3" s="4">
        <v>88</v>
      </c>
      <c r="G3" s="4">
        <f t="shared" ref="G3:G8" si="0">C3*100/MAX($C$2:$C$10)</f>
        <v>68.882031698919093</v>
      </c>
      <c r="H3" s="4">
        <f t="shared" ref="H3:H8" si="1">D3*100/MAX($D$2:$D$10)</f>
        <v>92.418840307750045</v>
      </c>
      <c r="I3" s="4">
        <f t="shared" ref="I3:I8" si="2">E3*100/MAX($E$2:$E$10)</f>
        <v>100</v>
      </c>
      <c r="K3" t="s">
        <v>25</v>
      </c>
      <c r="L3">
        <v>78424</v>
      </c>
      <c r="M3">
        <v>52660</v>
      </c>
      <c r="N3" t="s">
        <v>16</v>
      </c>
    </row>
    <row r="4" spans="1:14" x14ac:dyDescent="0.3">
      <c r="A4" s="17"/>
      <c r="B4" s="1" t="s">
        <v>4</v>
      </c>
      <c r="C4" s="4"/>
      <c r="D4" s="4"/>
      <c r="E4" s="2"/>
      <c r="F4" s="5"/>
      <c r="G4" s="4"/>
      <c r="H4" s="4"/>
      <c r="I4" s="4"/>
      <c r="K4" t="s">
        <v>26</v>
      </c>
      <c r="L4">
        <v>6712</v>
      </c>
      <c r="M4">
        <v>752</v>
      </c>
      <c r="N4" t="s">
        <v>17</v>
      </c>
    </row>
    <row r="5" spans="1:14" x14ac:dyDescent="0.3">
      <c r="A5" s="17"/>
      <c r="B5" s="1" t="s">
        <v>34</v>
      </c>
      <c r="C5" s="4">
        <f>(239821-$L$7)/1024</f>
        <v>34.98828125</v>
      </c>
      <c r="D5" s="4">
        <f>(16260-$M$7+J5)/1024</f>
        <v>16.77734375</v>
      </c>
      <c r="E5" s="2">
        <v>3975</v>
      </c>
      <c r="F5" s="4">
        <v>88</v>
      </c>
      <c r="G5" s="4">
        <f t="shared" si="0"/>
        <v>16.210517742979047</v>
      </c>
      <c r="H5" s="4">
        <f t="shared" si="1"/>
        <v>80.596734847063246</v>
      </c>
      <c r="I5" s="4">
        <f t="shared" si="2"/>
        <v>25.87890625</v>
      </c>
      <c r="J5">
        <v>12544</v>
      </c>
      <c r="K5" t="s">
        <v>27</v>
      </c>
      <c r="L5">
        <v>662</v>
      </c>
      <c r="M5">
        <v>9</v>
      </c>
      <c r="N5" t="s">
        <v>19</v>
      </c>
    </row>
    <row r="6" spans="1:14" x14ac:dyDescent="0.3">
      <c r="A6" s="17"/>
      <c r="B6" s="1" t="s">
        <v>35</v>
      </c>
      <c r="C6" s="4">
        <f>(237933-$L$7)/1024</f>
        <v>33.14453125</v>
      </c>
      <c r="D6" s="4">
        <f>(16252-$M$7+J6)/1024</f>
        <v>16.76953125</v>
      </c>
      <c r="E6" s="2">
        <v>5508</v>
      </c>
      <c r="F6" s="4">
        <v>88</v>
      </c>
      <c r="G6" s="4">
        <f t="shared" si="0"/>
        <v>15.356284810670672</v>
      </c>
      <c r="H6" s="4">
        <f t="shared" si="1"/>
        <v>80.559204353537254</v>
      </c>
      <c r="I6" s="4">
        <f t="shared" si="2"/>
        <v>35.859375</v>
      </c>
      <c r="J6">
        <v>12544</v>
      </c>
      <c r="K6" t="s">
        <v>28</v>
      </c>
      <c r="L6">
        <v>260089</v>
      </c>
      <c r="M6">
        <v>27892</v>
      </c>
    </row>
    <row r="7" spans="1:14" x14ac:dyDescent="0.3">
      <c r="A7" s="17"/>
      <c r="B7" s="1" t="s">
        <v>36</v>
      </c>
      <c r="C7" s="4">
        <f>(228361-$L$7)/1024</f>
        <v>23.796875</v>
      </c>
      <c r="D7" s="4">
        <f>(16252-$M$7+J7)/1024</f>
        <v>10.64453125</v>
      </c>
      <c r="E7" s="2">
        <v>5259</v>
      </c>
      <c r="F7" s="4">
        <v>88</v>
      </c>
      <c r="G7" s="4">
        <f t="shared" si="0"/>
        <v>11.025396236488596</v>
      </c>
      <c r="H7" s="4">
        <f t="shared" si="1"/>
        <v>51.135297429161191</v>
      </c>
      <c r="I7" s="4">
        <f t="shared" si="2"/>
        <v>34.23828125</v>
      </c>
      <c r="J7">
        <f>J6/2</f>
        <v>6272</v>
      </c>
      <c r="K7" t="s">
        <v>29</v>
      </c>
      <c r="L7">
        <v>203993</v>
      </c>
      <c r="M7">
        <v>11624</v>
      </c>
    </row>
    <row r="8" spans="1:14" x14ac:dyDescent="0.3">
      <c r="A8" s="17"/>
      <c r="B8" s="1" t="s">
        <v>37</v>
      </c>
      <c r="C8" s="4">
        <f>(223677-$L$7)/1024</f>
        <v>19.22265625</v>
      </c>
      <c r="D8" s="4">
        <f>(16252-$M$7+J8)/1024</f>
        <v>7.58203125</v>
      </c>
      <c r="E8" s="2">
        <v>4723</v>
      </c>
      <c r="F8" s="4">
        <v>75</v>
      </c>
      <c r="G8" s="4">
        <f t="shared" si="0"/>
        <v>8.9061022455286238</v>
      </c>
      <c r="H8" s="4">
        <f t="shared" si="1"/>
        <v>36.423343966973164</v>
      </c>
      <c r="I8" s="4">
        <f t="shared" si="2"/>
        <v>30.748697916666668</v>
      </c>
      <c r="J8">
        <f>J6/4</f>
        <v>3136</v>
      </c>
    </row>
    <row r="9" spans="1:14" x14ac:dyDescent="0.3">
      <c r="A9" s="17"/>
      <c r="B9" s="1" t="s">
        <v>1</v>
      </c>
      <c r="C9" s="4" t="s">
        <v>11</v>
      </c>
      <c r="D9" s="4"/>
      <c r="E9" s="2"/>
      <c r="F9" s="2"/>
      <c r="G9" s="2"/>
      <c r="H9" s="2"/>
      <c r="I9" s="2"/>
    </row>
    <row r="10" spans="1:14" x14ac:dyDescent="0.3">
      <c r="A10" s="17"/>
      <c r="B10" s="1" t="s">
        <v>2</v>
      </c>
      <c r="C10" s="4" t="s">
        <v>11</v>
      </c>
      <c r="D10" s="4"/>
      <c r="E10" s="2"/>
      <c r="F10" s="2"/>
      <c r="G10" s="2"/>
      <c r="H10" s="2"/>
      <c r="I10" s="2"/>
    </row>
  </sheetData>
  <mergeCells count="2">
    <mergeCell ref="K1:M1"/>
    <mergeCell ref="A2:A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F79F-73BC-4F9D-A19C-BDDC190CA4C1}">
  <dimension ref="A1:N10"/>
  <sheetViews>
    <sheetView workbookViewId="0">
      <selection activeCell="N1" sqref="K1:N1"/>
    </sheetView>
  </sheetViews>
  <sheetFormatPr baseColWidth="10" defaultRowHeight="14.4" x14ac:dyDescent="0.3"/>
  <cols>
    <col min="2" max="2" width="20" bestFit="1" customWidth="1"/>
  </cols>
  <sheetData>
    <row r="1" spans="1:14" ht="43.2" x14ac:dyDescent="0.3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21</v>
      </c>
      <c r="H1" s="3" t="s">
        <v>22</v>
      </c>
      <c r="I1" s="3" t="s">
        <v>23</v>
      </c>
      <c r="J1" s="3" t="s">
        <v>39</v>
      </c>
      <c r="K1" s="22" t="s">
        <v>13</v>
      </c>
      <c r="L1" s="22"/>
      <c r="M1" s="22"/>
      <c r="N1" s="3" t="s">
        <v>40</v>
      </c>
    </row>
    <row r="2" spans="1:14" x14ac:dyDescent="0.3">
      <c r="A2" s="17" t="s">
        <v>31</v>
      </c>
      <c r="B2" s="1" t="s">
        <v>0</v>
      </c>
      <c r="C2" s="4">
        <f>(172064-L3)/1024</f>
        <v>91.4453125</v>
      </c>
      <c r="D2" s="4">
        <f>(84536-M3)/1024</f>
        <v>31.12890625</v>
      </c>
      <c r="E2" s="2">
        <v>78633</v>
      </c>
      <c r="F2" s="4">
        <v>88</v>
      </c>
      <c r="G2" s="4">
        <f>C2*100/MAX(C$2:C$8)</f>
        <v>70.475961104253841</v>
      </c>
      <c r="H2" s="4">
        <f t="shared" ref="H2:I8" si="0">D2*100/MAX(D$2:D$8)</f>
        <v>100</v>
      </c>
      <c r="I2" s="4">
        <f t="shared" si="0"/>
        <v>71.482595929201935</v>
      </c>
      <c r="K2" t="s">
        <v>24</v>
      </c>
      <c r="L2" t="s">
        <v>14</v>
      </c>
      <c r="M2" t="s">
        <v>15</v>
      </c>
      <c r="N2" t="s">
        <v>12</v>
      </c>
    </row>
    <row r="3" spans="1:14" x14ac:dyDescent="0.3">
      <c r="A3" s="17"/>
      <c r="B3" s="1" t="s">
        <v>3</v>
      </c>
      <c r="C3" s="4">
        <f>(211292-L3)/1024</f>
        <v>129.75390625</v>
      </c>
      <c r="D3" s="4">
        <f>(82348-M3)/1024</f>
        <v>28.9921875</v>
      </c>
      <c r="E3" s="2">
        <v>66410</v>
      </c>
      <c r="F3" s="4">
        <v>88</v>
      </c>
      <c r="G3" s="4">
        <f t="shared" ref="G3:G8" si="1">C3*100/MAX(C$2:C$8)</f>
        <v>100</v>
      </c>
      <c r="H3" s="4">
        <f t="shared" si="0"/>
        <v>93.135901618772749</v>
      </c>
      <c r="I3" s="4">
        <f t="shared" si="0"/>
        <v>60.371080788705761</v>
      </c>
      <c r="K3" t="s">
        <v>25</v>
      </c>
      <c r="L3">
        <v>78424</v>
      </c>
      <c r="M3">
        <v>52660</v>
      </c>
      <c r="N3" t="s">
        <v>16</v>
      </c>
    </row>
    <row r="4" spans="1:14" x14ac:dyDescent="0.3">
      <c r="A4" s="17"/>
      <c r="B4" s="1" t="s">
        <v>4</v>
      </c>
      <c r="C4" s="14">
        <f>(111676-L3)/1024</f>
        <v>32.47265625</v>
      </c>
      <c r="D4" s="14">
        <f>(68144-M3+J5)/1024</f>
        <v>27.37109375</v>
      </c>
      <c r="E4" s="15">
        <v>110003</v>
      </c>
      <c r="F4" s="4">
        <v>88</v>
      </c>
      <c r="G4" s="4">
        <f t="shared" si="1"/>
        <v>25.026341933347382</v>
      </c>
      <c r="H4" s="4">
        <f t="shared" si="0"/>
        <v>87.928221859706369</v>
      </c>
      <c r="I4" s="4">
        <f t="shared" si="0"/>
        <v>100</v>
      </c>
      <c r="K4" t="s">
        <v>26</v>
      </c>
      <c r="L4">
        <v>6712</v>
      </c>
      <c r="M4">
        <v>752</v>
      </c>
      <c r="N4" t="s">
        <v>17</v>
      </c>
    </row>
    <row r="5" spans="1:14" x14ac:dyDescent="0.3">
      <c r="A5" s="17"/>
      <c r="B5" s="1" t="s">
        <v>34</v>
      </c>
      <c r="C5" s="4">
        <f>(89116-L3)/1024</f>
        <v>10.44140625</v>
      </c>
      <c r="D5" s="4">
        <f>(59140-M3+J5)/1024</f>
        <v>18.578125</v>
      </c>
      <c r="E5" s="2">
        <v>54752</v>
      </c>
      <c r="F5" s="4">
        <v>88</v>
      </c>
      <c r="G5" s="4">
        <f t="shared" si="1"/>
        <v>8.0470843242917791</v>
      </c>
      <c r="H5" s="4">
        <f t="shared" si="0"/>
        <v>59.681264901493286</v>
      </c>
      <c r="I5" s="4">
        <f t="shared" si="0"/>
        <v>49.773188003963526</v>
      </c>
      <c r="J5">
        <v>12544</v>
      </c>
      <c r="K5" t="s">
        <v>27</v>
      </c>
      <c r="L5">
        <v>662</v>
      </c>
      <c r="M5">
        <v>9</v>
      </c>
      <c r="N5" t="s">
        <v>19</v>
      </c>
    </row>
    <row r="6" spans="1:14" x14ac:dyDescent="0.3">
      <c r="A6" s="17"/>
      <c r="B6" s="1" t="s">
        <v>35</v>
      </c>
      <c r="C6" s="4">
        <f>(85732-L3)/1024</f>
        <v>7.13671875</v>
      </c>
      <c r="D6" s="4">
        <f>(55364-M3+J6)/1024</f>
        <v>14.890625</v>
      </c>
      <c r="E6" s="2">
        <v>24228</v>
      </c>
      <c r="F6" s="4">
        <v>88</v>
      </c>
      <c r="G6" s="4">
        <f t="shared" si="1"/>
        <v>5.5001956829334375</v>
      </c>
      <c r="H6" s="4">
        <f t="shared" si="0"/>
        <v>47.835362027857947</v>
      </c>
      <c r="I6" s="4">
        <f t="shared" si="0"/>
        <v>22.024853867621793</v>
      </c>
      <c r="J6">
        <v>12544</v>
      </c>
      <c r="K6" t="s">
        <v>28</v>
      </c>
      <c r="L6">
        <v>260089</v>
      </c>
      <c r="M6">
        <v>27892</v>
      </c>
    </row>
    <row r="7" spans="1:14" x14ac:dyDescent="0.3">
      <c r="A7" s="17"/>
      <c r="B7" s="1" t="s">
        <v>36</v>
      </c>
      <c r="C7" s="4">
        <f>(85476-L3)/1024</f>
        <v>6.88671875</v>
      </c>
      <c r="D7" s="4">
        <f>(55364-M3+J7)/1024</f>
        <v>8.765625</v>
      </c>
      <c r="E7" s="2">
        <v>10680</v>
      </c>
      <c r="F7" s="4">
        <v>88</v>
      </c>
      <c r="G7" s="4">
        <f t="shared" si="1"/>
        <v>5.3075232561640124</v>
      </c>
      <c r="H7" s="4">
        <f t="shared" si="0"/>
        <v>28.159116576734849</v>
      </c>
      <c r="I7" s="4">
        <f t="shared" si="0"/>
        <v>9.7088261229239201</v>
      </c>
      <c r="J7">
        <f>J6/2</f>
        <v>6272</v>
      </c>
      <c r="K7" t="s">
        <v>29</v>
      </c>
      <c r="L7">
        <v>203993</v>
      </c>
      <c r="M7">
        <v>11624</v>
      </c>
    </row>
    <row r="8" spans="1:14" x14ac:dyDescent="0.3">
      <c r="A8" s="17"/>
      <c r="B8" s="1" t="s">
        <v>37</v>
      </c>
      <c r="C8" s="4">
        <f>(85468-L3)/1024</f>
        <v>6.87890625</v>
      </c>
      <c r="D8" s="4">
        <f>(55364-M3+J8)/1024</f>
        <v>5.703125</v>
      </c>
      <c r="E8" s="2">
        <v>7829</v>
      </c>
      <c r="F8" s="4">
        <v>75</v>
      </c>
      <c r="G8" s="4">
        <f t="shared" si="1"/>
        <v>5.3015022428274676</v>
      </c>
      <c r="H8" s="4">
        <f t="shared" si="0"/>
        <v>18.320993851173295</v>
      </c>
      <c r="I8" s="4">
        <f t="shared" si="0"/>
        <v>7.1170786251284053</v>
      </c>
      <c r="J8">
        <f>J6/4</f>
        <v>3136</v>
      </c>
    </row>
    <row r="9" spans="1:14" x14ac:dyDescent="0.3">
      <c r="A9" s="17"/>
      <c r="B9" s="1" t="s">
        <v>1</v>
      </c>
      <c r="C9" s="4" t="s">
        <v>11</v>
      </c>
      <c r="D9" s="4"/>
      <c r="E9" s="2"/>
      <c r="F9" s="2"/>
      <c r="G9" s="2"/>
      <c r="H9" s="2"/>
      <c r="I9" s="2"/>
    </row>
    <row r="10" spans="1:14" x14ac:dyDescent="0.3">
      <c r="A10" s="17"/>
      <c r="B10" s="1" t="s">
        <v>2</v>
      </c>
      <c r="C10" s="4" t="s">
        <v>11</v>
      </c>
      <c r="D10" s="4"/>
      <c r="E10" s="2"/>
      <c r="F10" s="2"/>
      <c r="G10" s="2"/>
      <c r="H10" s="2"/>
      <c r="I10" s="2"/>
    </row>
  </sheetData>
  <mergeCells count="2">
    <mergeCell ref="K1:M1"/>
    <mergeCell ref="A2:A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</vt:lpstr>
      <vt:lpstr>ESP8266</vt:lpstr>
      <vt:lpstr>ESP32</vt:lpstr>
      <vt:lpstr>RaspiPico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Es</dc:creator>
  <cp:lastModifiedBy>cesar</cp:lastModifiedBy>
  <dcterms:created xsi:type="dcterms:W3CDTF">2015-06-05T18:19:34Z</dcterms:created>
  <dcterms:modified xsi:type="dcterms:W3CDTF">2021-11-25T02:50:55Z</dcterms:modified>
</cp:coreProperties>
</file>