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4" firstSheet="0" activeTab="0"/>
  </bookViews>
  <sheets>
    <sheet name="KiCost" sheetId="1" state="visible" r:id="rId2"/>
  </sheets>
  <definedNames>
    <definedName function="false" hidden="false" name="BoardQty" vbProcedure="false">KiCost!$I$1</definedName>
    <definedName function="false" hidden="false" name="digikey_part_data" vbProcedure="false">KiCost!$J$5:$O$30</definedName>
    <definedName function="false" hidden="false" name="global_part_data" vbProcedure="false">KiCost!$A$5:$I$30</definedName>
    <definedName function="false" hidden="false" name="mouser_part_data" vbProcedure="false">KiCost!$P$5:$U$30</definedName>
    <definedName function="false" hidden="false" name="newark_part_data" vbProcedure="false">KiCost!$V$5:$AA$30</definedName>
    <definedName function="false" hidden="false" name="TotalCost" vbProcedure="false">KiCost!$I$2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sz val="8"/>
            <color rgb="FF000000"/>
            <rFont val="Tahoma"/>
            <family val="2"/>
            <charset val="1"/>
          </rPr>
          <t>Schematic identifier for each part.</t>
        </r>
      </text>
    </comment>
    <comment ref="B6" authorId="0">
      <text>
        <r>
          <rPr>
            <sz val="8"/>
            <color rgb="FF000000"/>
            <rFont val="Tahoma"/>
            <family val="2"/>
            <charset val="1"/>
          </rPr>
          <t>Value of each part.</t>
        </r>
      </text>
    </comment>
    <comment ref="C6" authorId="0">
      <text>
        <r>
          <rPr>
            <sz val="8"/>
            <color rgb="FF000000"/>
            <rFont val="Tahoma"/>
            <family val="2"/>
            <charset val="1"/>
          </rPr>
          <t>Description of each part.</t>
        </r>
      </text>
    </comment>
    <comment ref="D6" authorId="0">
      <text>
        <r>
          <rPr>
            <sz val="8"/>
            <color rgb="FF000000"/>
            <rFont val="Tahoma"/>
            <family val="2"/>
            <charset val="1"/>
          </rPr>
          <t>PCB footprint for each part.</t>
        </r>
      </text>
    </comment>
    <comment ref="E6" authorId="0">
      <text>
        <r>
          <rPr>
            <sz val="8"/>
            <color rgb="FF000000"/>
            <rFont val="Tahoma"/>
            <family val="2"/>
            <charset val="1"/>
          </rPr>
          <t>Manufacturer of each part.</t>
        </r>
      </text>
    </comment>
    <comment ref="F6" authorId="0">
      <text>
        <r>
          <rPr>
            <sz val="8"/>
            <color rgb="FF000000"/>
            <rFont val="Tahoma"/>
            <family val="2"/>
            <charset val="1"/>
          </rPr>
          <t>Manufacturer number for each part.</t>
        </r>
      </text>
    </comment>
    <comment ref="G6" authorId="0">
      <text>
        <r>
          <rPr>
            <sz val="8"/>
            <color rgb="FF000000"/>
            <rFont val="Tahoma"/>
            <family val="2"/>
            <charset val="1"/>
          </rPr>
          <t>Total number of each part needed to assemble the board.</t>
        </r>
      </text>
    </comment>
    <comment ref="H6" authorId="0">
      <text>
        <r>
          <rPr>
            <sz val="8"/>
            <color rgb="FF000000"/>
            <rFont val="Tahoma"/>
            <family val="2"/>
            <charset val="1"/>
          </rPr>
          <t>Minimum unit price for each part across all distributors.</t>
        </r>
      </text>
    </comment>
    <comment ref="I6" authorId="0">
      <text>
        <r>
          <rPr>
            <sz val="8"/>
            <color rgb="FF000000"/>
            <rFont val="Tahoma"/>
            <family val="2"/>
            <charset val="1"/>
          </rPr>
          <t>Minimum extended price for each part across all distributors.</t>
        </r>
      </text>
    </comment>
    <comment ref="J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K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L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M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N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O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P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Q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R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S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T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U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V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W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X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Y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Z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AA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</commentList>
</comments>
</file>

<file path=xl/sharedStrings.xml><?xml version="1.0" encoding="utf-8"?>
<sst xmlns="http://schemas.openxmlformats.org/spreadsheetml/2006/main" count="261" uniqueCount="167">
  <si>
    <t>Board Qty:</t>
  </si>
  <si>
    <t>Total Cost:</t>
  </si>
  <si>
    <t>Unit Cost:</t>
  </si>
  <si>
    <t>Global Part Info</t>
  </si>
  <si>
    <t>Digi-Key</t>
  </si>
  <si>
    <t>Mouser</t>
  </si>
  <si>
    <t>Newark</t>
  </si>
  <si>
    <t>Refs</t>
  </si>
  <si>
    <t>Value</t>
  </si>
  <si>
    <t>Desc</t>
  </si>
  <si>
    <t>Footprint</t>
  </si>
  <si>
    <t>Manf</t>
  </si>
  <si>
    <t>Manf#</t>
  </si>
  <si>
    <t>Qty</t>
  </si>
  <si>
    <t>Unit$</t>
  </si>
  <si>
    <t>Ext$</t>
  </si>
  <si>
    <t>Avail</t>
  </si>
  <si>
    <t>Purch</t>
  </si>
  <si>
    <t>Cat#</t>
  </si>
  <si>
    <t>Doc</t>
  </si>
  <si>
    <t>U2</t>
  </si>
  <si>
    <t> 50MHZ</t>
  </si>
  <si>
    <t>50MHz HCMOS XO Standard Oscillator SMD 3.3V 30mA En/Dis</t>
  </si>
  <si>
    <t>eth:Oscillator_7.0x5.0mm</t>
  </si>
  <si>
    <t>Abracon LLC</t>
  </si>
  <si>
    <t>ASV-50.000MHZ-E-T</t>
  </si>
  <si>
    <t>535-10087-1-ND</t>
  </si>
  <si>
    <t>Link</t>
  </si>
  <si>
    <t>P1</t>
  </si>
  <si>
    <t>SI-52003-F</t>
  </si>
  <si>
    <t>RJ45 Magjack Connector TH 10/100 Base-T, AutoMDIX, PoE</t>
  </si>
  <si>
    <t>eth:RJ45_SI-52003-F_PoE_ETH</t>
  </si>
  <si>
    <t>Stewart Connector</t>
  </si>
  <si>
    <t>380-1119-ND</t>
  </si>
  <si>
    <t>530-SI-52003-F</t>
  </si>
  <si>
    <t>L1</t>
  </si>
  <si>
    <t>FBEAD 22</t>
  </si>
  <si>
    <t>FERRITE BEAD 22 OHM 0603 1LN</t>
  </si>
  <si>
    <t>eth:SM0603</t>
  </si>
  <si>
    <t>Taiyo Yuden</t>
  </si>
  <si>
    <t>BK1608HS220-T</t>
  </si>
  <si>
    <t>587-1869-1-ND</t>
  </si>
  <si>
    <t>963-BK1608HS220-T</t>
  </si>
  <si>
    <t>C4,C9,C10,C15</t>
  </si>
  <si>
    <t>100nF</t>
  </si>
  <si>
    <t>CAP CER 0,1UF 16V 10% X7R 0603</t>
  </si>
  <si>
    <t>eth:c_0603</t>
  </si>
  <si>
    <t>Kemet</t>
  </si>
  <si>
    <t>C0603C104K4RACTU</t>
  </si>
  <si>
    <t>399-1096-1-ND</t>
  </si>
  <si>
    <t>80-C0603C104K4R</t>
  </si>
  <si>
    <t>U1</t>
  </si>
  <si>
    <t>LAN8720A-CP</t>
  </si>
  <si>
    <t>4/4 Transceiver Full RMII 24-QFN (4x4)</t>
  </si>
  <si>
    <t>eth:QFN24</t>
  </si>
  <si>
    <t>Microchip Technology</t>
  </si>
  <si>
    <t>LAN8720A-CP-TR</t>
  </si>
  <si>
    <t>LAN8720A-CP-DKR-ND</t>
  </si>
  <si>
    <t>886-LAN8720A-CP-TR</t>
  </si>
  <si>
    <t>XA1</t>
  </si>
  <si>
    <t>Conn_Poncho2P_2x_20x2</t>
  </si>
  <si>
    <t>40P Header BTB Conn Gold 50mils 1.27mmTHole</t>
  </si>
  <si>
    <t>eth:Conn_Poncho_Izquierdo</t>
  </si>
  <si>
    <t>Harwin</t>
  </si>
  <si>
    <t>M50-3502042</t>
  </si>
  <si>
    <t>952-1387-ND</t>
  </si>
  <si>
    <t>855-M50-3502042</t>
  </si>
  <si>
    <t>R10-R12</t>
  </si>
  <si>
    <t>22</t>
  </si>
  <si>
    <t>RES 22 OHM 1/10W 5%</t>
  </si>
  <si>
    <t>eth:SM0603_Resistor</t>
  </si>
  <si>
    <t>Yageo</t>
  </si>
  <si>
    <t>RC0603JR-0722RL</t>
  </si>
  <si>
    <t>311-22GRCT-ND</t>
  </si>
  <si>
    <t>603-RC0603JR-0722RL</t>
  </si>
  <si>
    <t>MH1,MH2</t>
  </si>
  <si>
    <t>MOUNTING-HOLE</t>
  </si>
  <si>
    <t>eth:MountingHole_2.2mm_M2_Pad</t>
  </si>
  <si>
    <t>C11-C14</t>
  </si>
  <si>
    <t>18pF</t>
  </si>
  <si>
    <t>CAP CER 18PF 50V 5% NP0 0603</t>
  </si>
  <si>
    <t>C0603C180J5GACTU</t>
  </si>
  <si>
    <t>399-1052-1-ND</t>
  </si>
  <si>
    <t>80-C0603C180J5G</t>
  </si>
  <si>
    <t>R3-R6</t>
  </si>
  <si>
    <t>49,9 1%</t>
  </si>
  <si>
    <t>RES 49,9 OHM 1/10W 1% 0603 SMD</t>
  </si>
  <si>
    <t>RC0603FR-0749R9L</t>
  </si>
  <si>
    <t>311-49.9HRCT-ND</t>
  </si>
  <si>
    <t>603-RC0603FR-0749R9L</t>
  </si>
  <si>
    <t>R7-R9,R13,R14,R24</t>
  </si>
  <si>
    <t>0</t>
  </si>
  <si>
    <t>RES SMD 0.0OHM JUMPER 1/10W 0603</t>
  </si>
  <si>
    <t>Bourns</t>
  </si>
  <si>
    <t>CR0603-J/-000ELF</t>
  </si>
  <si>
    <t>CR0603-J/-000ELFCT-ND</t>
  </si>
  <si>
    <t>652-CR0603-J/-000ELF</t>
  </si>
  <si>
    <t>R17,R18</t>
  </si>
  <si>
    <t>270</t>
  </si>
  <si>
    <t>RES 270 OHM 1/10W 5% 0603 SMD</t>
  </si>
  <si>
    <t>RC0603JR-07270RL</t>
  </si>
  <si>
    <t>311-270GRCT-ND</t>
  </si>
  <si>
    <t>603-RC0603JR-07270RL</t>
  </si>
  <si>
    <t>C2,C3,C6</t>
  </si>
  <si>
    <t>10nF</t>
  </si>
  <si>
    <t>CAP CER 10000PF 50V 10% X7R 0603</t>
  </si>
  <si>
    <t>C0603C103K5RACTU</t>
  </si>
  <si>
    <t>399-1091-1-ND</t>
  </si>
  <si>
    <t>80-C0603C103K5R</t>
  </si>
  <si>
    <t>R2,R15,R16</t>
  </si>
  <si>
    <t>10k</t>
  </si>
  <si>
    <t>RES 10K OHM 1/10W 5% 0603 SMD</t>
  </si>
  <si>
    <t>RC0603JR-0710KL</t>
  </si>
  <si>
    <t>311-10KGRCT-ND</t>
  </si>
  <si>
    <t>603-RC0603JR-0710KL</t>
  </si>
  <si>
    <t>FID1-FID3</t>
  </si>
  <si>
    <t>FIDUCIAL</t>
  </si>
  <si>
    <t>eth:Fiducial_1mm_Dia_2.54mm_Outer_CopperTop</t>
  </si>
  <si>
    <t>R20,R22,R23</t>
  </si>
  <si>
    <t>33</t>
  </si>
  <si>
    <t>RES 33 OHM 1/10W 5% 0603 SMD</t>
  </si>
  <si>
    <t>CR0603-JW-330GLF</t>
  </si>
  <si>
    <t>CR0603-JW-330GLFCT-ND</t>
  </si>
  <si>
    <t>652-CR0603-JW-330GLF</t>
  </si>
  <si>
    <t>C8</t>
  </si>
  <si>
    <t>1uF</t>
  </si>
  <si>
    <t>CAP CER 1UF 16V 10% X7R 0603</t>
  </si>
  <si>
    <t>C0603C105K4RACTU</t>
  </si>
  <si>
    <t>399-7847-1-ND</t>
  </si>
  <si>
    <t>80-C0603C105K4R</t>
  </si>
  <si>
    <t>P3</t>
  </si>
  <si>
    <t>PoE</t>
  </si>
  <si>
    <t>8 Pin Header  Conn Gold 50 mils  1.27mm THole</t>
  </si>
  <si>
    <t>eth:PIN_ARRAY_4X2</t>
  </si>
  <si>
    <t>C1,C5,C16</t>
  </si>
  <si>
    <t>10uF</t>
  </si>
  <si>
    <t>CAP TANT 10UF 6.3V 10% 1206</t>
  </si>
  <si>
    <t>eth:c_1206_tantalio_1</t>
  </si>
  <si>
    <t>T491A106K006AT7280</t>
  </si>
  <si>
    <t>80-T491A106K0067280</t>
  </si>
  <si>
    <t>JP1</t>
  </si>
  <si>
    <t>JUMPER3</t>
  </si>
  <si>
    <t>Oddities:NetTie-II_SMD</t>
  </si>
  <si>
    <t>R21,R25</t>
  </si>
  <si>
    <t>100k</t>
  </si>
  <si>
    <t>RES SMD 100K OHM 5% 1/10W 0603</t>
  </si>
  <si>
    <t>CR0603-JW-104ELF</t>
  </si>
  <si>
    <t>CR0603-JW-104ELFCT-ND</t>
  </si>
  <si>
    <t>652-CR0603-JW-104ELF</t>
  </si>
  <si>
    <t>C7</t>
  </si>
  <si>
    <t>470pF</t>
  </si>
  <si>
    <t>CAP CER 470PF 50V 10% X7R 0603</t>
  </si>
  <si>
    <t>C0603C471K5RACTU</t>
  </si>
  <si>
    <t>399-1075-1-ND</t>
  </si>
  <si>
    <t>80-C0603C471K5R</t>
  </si>
  <si>
    <t>R1</t>
  </si>
  <si>
    <t>1k5</t>
  </si>
  <si>
    <t>RES 1.5K OHM 1/10W 5% 0603 SMD</t>
  </si>
  <si>
    <t>RC0603JR-071K5L</t>
  </si>
  <si>
    <t>311-1.5KGRCT-ND</t>
  </si>
  <si>
    <t>603-RC0603JR-071K5L</t>
  </si>
  <si>
    <t>R19</t>
  </si>
  <si>
    <t>12.1k 1%</t>
  </si>
  <si>
    <t>RES SMD 12.1K OHM 1% 1/10W 0603</t>
  </si>
  <si>
    <t>RC0603FR-0712K1L</t>
  </si>
  <si>
    <t>311-12.1KHRCT-ND</t>
  </si>
  <si>
    <t>603-RC0603FR-0712K1L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</si>
</sst>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3"/>
      <color rgb="FF008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8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03030"/>
        <bgColor rgb="FF333300"/>
      </patternFill>
    </fill>
    <fill>
      <patternFill patternType="solid">
        <fgColor rgb="FFCC0000"/>
        <bgColor rgb="FFFF0000"/>
      </patternFill>
    </fill>
    <fill>
      <patternFill patternType="solid">
        <fgColor rgb="FF004A85"/>
        <bgColor rgb="FF0066CC"/>
      </patternFill>
    </fill>
    <fill>
      <patternFill patternType="solid">
        <fgColor rgb="FFA2AE06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80FF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0FF80"/>
      <rgbColor rgb="FFFFFF99"/>
      <rgbColor rgb="FF99CCFF"/>
      <rgbColor rgb="FFFF99CC"/>
      <rgbColor rgb="FFCC99FF"/>
      <rgbColor rgb="FFFFCC99"/>
      <rgbColor rgb="FF3366FF"/>
      <rgbColor rgb="FF33CCCC"/>
      <rgbColor rgb="FFA2AE06"/>
      <rgbColor rgb="FFFFCC00"/>
      <rgbColor rgb="FFFF9900"/>
      <rgbColor rgb="FFFF6600"/>
      <rgbColor rgb="FF666699"/>
      <rgbColor rgb="FF969696"/>
      <rgbColor rgb="FF004A85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digikey.com/scripts/DkSearch/dksus.dll?WT.z_header=search_go&amp;lang=en&amp;keywords=535-10087-1-ND%20Abracon%20LLC" TargetMode="External"/><Relationship Id="rId3" Type="http://schemas.openxmlformats.org/officeDocument/2006/relationships/hyperlink" Target="http://www.newark.com/webapp/wcs/stores/servlet/Search?catalogId=15003&amp;langId=-1&amp;storeId=10194&amp;gs=true&amp;st=ASV-50.000MHZ-E-T%20Abracon%20LLC" TargetMode="External"/><Relationship Id="rId4" Type="http://schemas.openxmlformats.org/officeDocument/2006/relationships/hyperlink" Target="http://www.digikey.com/scripts/DkSearch/dksus.dll?WT.z_header=search_go&amp;lang=en&amp;keywords=380-1119-ND%20Stewart%20Connector" TargetMode="External"/><Relationship Id="rId5" Type="http://schemas.openxmlformats.org/officeDocument/2006/relationships/hyperlink" Target="http://www.mouser.com/Search/Refine.aspx?Keyword=SI-52003-F%20Stewart%20Connector" TargetMode="External"/><Relationship Id="rId6" Type="http://schemas.openxmlformats.org/officeDocument/2006/relationships/hyperlink" Target="http://www.digikey.com/scripts/DkSearch/dksus.dll?WT.z_header=search_go&amp;lang=en&amp;keywords=587-1869-1-ND%20Taiyo%20Yuden" TargetMode="External"/><Relationship Id="rId7" Type="http://schemas.openxmlformats.org/officeDocument/2006/relationships/hyperlink" Target="http://www.mouser.com/ProductDetail/Taiyo-Yuden/BK1608HS220-T/?qs=sGAEpiMZZMtdyQheitOmRas3gyT7ksc5rSQRo3S6ryo%3D" TargetMode="External"/><Relationship Id="rId8" Type="http://schemas.openxmlformats.org/officeDocument/2006/relationships/hyperlink" Target="http://www.newark.com/taiyo-yuden/bk1608hs220-t/ferrite-bead-0-05ohm-1-5a-0603/dp/86H5390" TargetMode="External"/><Relationship Id="rId9" Type="http://schemas.openxmlformats.org/officeDocument/2006/relationships/hyperlink" Target="http://www.digikey.com/scripts/DkSearch/dksus.dll?WT.z_header=search_go&amp;lang=en&amp;keywords=399-1096-1-ND%20Kemet" TargetMode="External"/><Relationship Id="rId10" Type="http://schemas.openxmlformats.org/officeDocument/2006/relationships/hyperlink" Target="http://www.mouser.com/ProductDetail/Kemet/C0603C104K4RACTU/?qs=sGAEpiMZZMs0AnBnWHyRQFqPnX0OlvcoGdtRY%252bgH1%2Fs%3D" TargetMode="External"/><Relationship Id="rId11" Type="http://schemas.openxmlformats.org/officeDocument/2006/relationships/hyperlink" Target="http://www.newark.com/kemet/c0603c104k4ractu/ceramic-capacitor-0-1uf-16v-x7r/dp/19C6005" TargetMode="External"/><Relationship Id="rId12" Type="http://schemas.openxmlformats.org/officeDocument/2006/relationships/hyperlink" Target="http://www.digikey.com/scripts/DkSearch/dksus.dll?WT.z_header=search_go&amp;lang=en&amp;keywords=LAN8720A-CP-DKR-ND%20Microchip%20Technology" TargetMode="External"/><Relationship Id="rId13" Type="http://schemas.openxmlformats.org/officeDocument/2006/relationships/hyperlink" Target="http://www.mouser.com/ProductDetail/Microchip-Technology/LAN8720A-CP-TR/?qs=sGAEpiMZZMuXKgZRMPEonQ3F0mRZy5wYHFjgR8Rb8UQ%3D" TargetMode="External"/><Relationship Id="rId14" Type="http://schemas.openxmlformats.org/officeDocument/2006/relationships/hyperlink" Target="http://www.digikey.com/scripts/DkSearch/dksus.dll?WT.z_header=search_go&amp;lang=en&amp;keywords=952-1387-ND%20Harwin" TargetMode="External"/><Relationship Id="rId15" Type="http://schemas.openxmlformats.org/officeDocument/2006/relationships/hyperlink" Target="http://www.mouser.com/Search/Refine.aspx?Keyword=M50-3502042%20Harwin" TargetMode="External"/><Relationship Id="rId16" Type="http://schemas.openxmlformats.org/officeDocument/2006/relationships/hyperlink" Target="http://www.newark.com/webapp/wcs/stores/servlet/Search?catalogId=15003&amp;langId=-1&amp;storeId=10194&amp;gs=true&amp;st=M50-3502042%20Harwin" TargetMode="External"/><Relationship Id="rId17" Type="http://schemas.openxmlformats.org/officeDocument/2006/relationships/hyperlink" Target="http://www.digikey.com/scripts/DkSearch/dksus.dll?WT.z_header=search_go&amp;lang=en&amp;keywords=311-22GRCT-ND%20Yageo" TargetMode="External"/><Relationship Id="rId18" Type="http://schemas.openxmlformats.org/officeDocument/2006/relationships/hyperlink" Target="http://www.mouser.com/Search/Refine.aspx?Keyword=RC0603JR-0722RL%20Yageo" TargetMode="External"/><Relationship Id="rId19" Type="http://schemas.openxmlformats.org/officeDocument/2006/relationships/hyperlink" Target="http://www.newark.com/yageo/rc0603jr-0722rl/res-thick-film-22r-5-0-1w-0603/dp/68R0168" TargetMode="External"/><Relationship Id="rId20" Type="http://schemas.openxmlformats.org/officeDocument/2006/relationships/hyperlink" Target="http://www.digikey.com/scripts/DkSearch/dksus.dll?WT.z_header=search_go&amp;lang=en&amp;keywords=399-1052-1-ND%20Kemet" TargetMode="External"/><Relationship Id="rId21" Type="http://schemas.openxmlformats.org/officeDocument/2006/relationships/hyperlink" Target="http://www.mouser.com/ProductDetail/Kemet/C0603C180J5GACTU/?qs=sGAEpiMZZMs0AnBnWHyRQJIiGvDVk92VyAyEaQH0tQM%3D" TargetMode="External"/><Relationship Id="rId22" Type="http://schemas.openxmlformats.org/officeDocument/2006/relationships/hyperlink" Target="http://www.newark.com/kemet/c0603c180j5gactu/ceramic-capacitor-18pf-50v-c0g/dp/64K2845" TargetMode="External"/><Relationship Id="rId23" Type="http://schemas.openxmlformats.org/officeDocument/2006/relationships/hyperlink" Target="http://www.digikey.com/scripts/DkSearch/dksus.dll?WT.z_header=search_go&amp;lang=en&amp;keywords=311-49.9HRCT-ND%20Yageo" TargetMode="External"/><Relationship Id="rId24" Type="http://schemas.openxmlformats.org/officeDocument/2006/relationships/hyperlink" Target="http://www.mouser.com/Search/Refine.aspx?Keyword=RC0603FR-0749R9L%20Yageo" TargetMode="External"/><Relationship Id="rId25" Type="http://schemas.openxmlformats.org/officeDocument/2006/relationships/hyperlink" Target="http://www.newark.com/yageo/rc0603fr-0749r9l/res-thick-film-49r9-1-0-1w-0603/dp/68R0100" TargetMode="External"/><Relationship Id="rId26" Type="http://schemas.openxmlformats.org/officeDocument/2006/relationships/hyperlink" Target="http://www.digikey.com/scripts/DkSearch/dksus.dll?WT.z_header=search_go&amp;lang=en&amp;keywords=CR0603-J%2F-000ELFCT-ND%20Bourns" TargetMode="External"/><Relationship Id="rId27" Type="http://schemas.openxmlformats.org/officeDocument/2006/relationships/hyperlink" Target="http://www.mouser.com/Search/Refine.aspx?Keyword=CR0603-J%2F-000ELF%20Bourns" TargetMode="External"/><Relationship Id="rId28" Type="http://schemas.openxmlformats.org/officeDocument/2006/relationships/hyperlink" Target="http://www.newark.com/bourns/cr0603-j-000elf/res-thick-film-0r-5-0-1w-0603/dp/02J2264" TargetMode="External"/><Relationship Id="rId29" Type="http://schemas.openxmlformats.org/officeDocument/2006/relationships/hyperlink" Target="http://www.digikey.com/scripts/DkSearch/dksus.dll?WT.z_header=search_go&amp;lang=en&amp;keywords=311-270GRCT-ND%20Yageo" TargetMode="External"/><Relationship Id="rId30" Type="http://schemas.openxmlformats.org/officeDocument/2006/relationships/hyperlink" Target="http://www.mouser.com/Search/Refine.aspx?Keyword=RC0603JR-07270RL%20Yageo" TargetMode="External"/><Relationship Id="rId31" Type="http://schemas.openxmlformats.org/officeDocument/2006/relationships/hyperlink" Target="http://www.newark.com/yageo/rc0603jr-07270rl/res-thick-film-270r-5-0-1w-0603/dp/68R0174" TargetMode="External"/><Relationship Id="rId32" Type="http://schemas.openxmlformats.org/officeDocument/2006/relationships/hyperlink" Target="http://www.digikey.com/scripts/DkSearch/dksus.dll?WT.z_header=search_go&amp;lang=en&amp;keywords=399-1091-1-ND%20Kemet" TargetMode="External"/><Relationship Id="rId33" Type="http://schemas.openxmlformats.org/officeDocument/2006/relationships/hyperlink" Target="http://www.mouser.com/ProductDetail/Kemet/C0603C103K5RACTU/?qs=sGAEpiMZZMs0AnBnWHyRQJxdEn2F2BG1%2FBzHVE3ZwKE%3D" TargetMode="External"/><Relationship Id="rId34" Type="http://schemas.openxmlformats.org/officeDocument/2006/relationships/hyperlink" Target="http://www.newark.com/kemet/c0603c103k5ractu/ceramic-capacitor-0-01uf-50v-x7r/dp/30C5334" TargetMode="External"/><Relationship Id="rId35" Type="http://schemas.openxmlformats.org/officeDocument/2006/relationships/hyperlink" Target="http://www.digikey.com/scripts/DkSearch/dksus.dll?WT.z_header=search_go&amp;lang=en&amp;keywords=311-10KGRCT-ND%20Yageo" TargetMode="External"/><Relationship Id="rId36" Type="http://schemas.openxmlformats.org/officeDocument/2006/relationships/hyperlink" Target="http://www.mouser.com/Search/Refine.aspx?Keyword=RC0603JR-0710KL%20Yageo" TargetMode="External"/><Relationship Id="rId37" Type="http://schemas.openxmlformats.org/officeDocument/2006/relationships/hyperlink" Target="http://www.newark.com/yageo/rc0603jr-0710kl/res-thick-film-10k-5-0-1w-0603/dp/68R0144" TargetMode="External"/><Relationship Id="rId38" Type="http://schemas.openxmlformats.org/officeDocument/2006/relationships/hyperlink" Target="http://www.digikey.com/scripts/DkSearch/dksus.dll?WT.z_header=search_go&amp;lang=en&amp;keywords=CR0603-JW-330GLFCT-ND%20Bourns" TargetMode="External"/><Relationship Id="rId39" Type="http://schemas.openxmlformats.org/officeDocument/2006/relationships/hyperlink" Target="http://www.mouser.com/Search/Refine.aspx?Keyword=CR0603-JW-330GLF%20Bourns" TargetMode="External"/><Relationship Id="rId40" Type="http://schemas.openxmlformats.org/officeDocument/2006/relationships/hyperlink" Target="http://www.newark.com/webapp/wcs/stores/servlet/Search?catalogId=15003&amp;langId=-1&amp;storeId=10194&amp;gs=true&amp;st=CR0603-JW-330GLF%20Bourns" TargetMode="External"/><Relationship Id="rId41" Type="http://schemas.openxmlformats.org/officeDocument/2006/relationships/hyperlink" Target="http://www.digikey.com/scripts/DkSearch/dksus.dll?WT.z_header=search_go&amp;lang=en&amp;keywords=399-7847-1-ND%20Kemet" TargetMode="External"/><Relationship Id="rId42" Type="http://schemas.openxmlformats.org/officeDocument/2006/relationships/hyperlink" Target="http://www.mouser.com/ProductDetail/Kemet/C0603C105K4RACTU/?qs=sGAEpiMZZMs0AnBnWHyRQKLP9quIYhdRNWcGDs%252b6gb0%3D" TargetMode="External"/><Relationship Id="rId43" Type="http://schemas.openxmlformats.org/officeDocument/2006/relationships/hyperlink" Target="http://www.newark.com/kemet/c0603c105k4ractu/ceramic-capacitor-1uf-16v-x7r/dp/93K5997" TargetMode="External"/><Relationship Id="rId44" Type="http://schemas.openxmlformats.org/officeDocument/2006/relationships/hyperlink" Target="http://www.mouser.com/Search/Refine.aspx?Keyword=T491A106K006AT7280%20Kemet" TargetMode="External"/><Relationship Id="rId45" Type="http://schemas.openxmlformats.org/officeDocument/2006/relationships/hyperlink" Target="http://www.newark.com/webapp/wcs/stores/servlet/Search?catalogId=15003&amp;langId=-1&amp;storeId=10194&amp;gs=true&amp;st=T491A106K006AT7280%20Kemet" TargetMode="External"/><Relationship Id="rId46" Type="http://schemas.openxmlformats.org/officeDocument/2006/relationships/hyperlink" Target="http://www.digikey.com/scripts/DkSearch/dksus.dll?WT.z_header=search_go&amp;lang=en&amp;keywords=CR0603-JW-104ELFCT-ND%20Bourns" TargetMode="External"/><Relationship Id="rId47" Type="http://schemas.openxmlformats.org/officeDocument/2006/relationships/hyperlink" Target="http://www.mouser.com/Search/Refine.aspx?Keyword=CR0603-JW-104ELF%20Bourns" TargetMode="External"/><Relationship Id="rId48" Type="http://schemas.openxmlformats.org/officeDocument/2006/relationships/hyperlink" Target="http://www.newark.com/bourns/cr0603-jw-104elf/res-thick-film-100k-5-0-1w-0603/dp/02J2288" TargetMode="External"/><Relationship Id="rId49" Type="http://schemas.openxmlformats.org/officeDocument/2006/relationships/hyperlink" Target="http://www.digikey.com/scripts/DkSearch/dksus.dll?WT.z_header=search_go&amp;lang=en&amp;keywords=399-1075-1-ND%20Kemet" TargetMode="External"/><Relationship Id="rId50" Type="http://schemas.openxmlformats.org/officeDocument/2006/relationships/hyperlink" Target="http://www.mouser.com/ProductDetail/Kemet/C0603C471K5RACTU/?qs=sGAEpiMZZMs0AnBnWHyRQFobcAuJilQS8gEQR%2FVue9w%3D" TargetMode="External"/><Relationship Id="rId51" Type="http://schemas.openxmlformats.org/officeDocument/2006/relationships/hyperlink" Target="http://www.newark.com/kemet/c0603c471k5ractu/ceramic-capacitor-470pf-50v-x7r/dp/30C5318" TargetMode="External"/><Relationship Id="rId52" Type="http://schemas.openxmlformats.org/officeDocument/2006/relationships/hyperlink" Target="http://www.digikey.com/scripts/DkSearch/dksus.dll?WT.z_header=search_go&amp;lang=en&amp;keywords=311-1.5KGRCT-ND%20Yageo" TargetMode="External"/><Relationship Id="rId53" Type="http://schemas.openxmlformats.org/officeDocument/2006/relationships/hyperlink" Target="http://www.mouser.com/Search/Refine.aspx?Keyword=RC0603JR-071K5L%20Yageo" TargetMode="External"/><Relationship Id="rId54" Type="http://schemas.openxmlformats.org/officeDocument/2006/relationships/hyperlink" Target="http://www.newark.com/yageo/rc0603jr-071k5l/res-thick-film-1k5-5-0-1w-0603/dp/68R0139" TargetMode="External"/><Relationship Id="rId55" Type="http://schemas.openxmlformats.org/officeDocument/2006/relationships/hyperlink" Target="http://www.digikey.com/scripts/DkSearch/dksus.dll?WT.z_header=search_go&amp;lang=en&amp;keywords=311-12.1KHRCT-ND%20Yageo" TargetMode="External"/><Relationship Id="rId56" Type="http://schemas.openxmlformats.org/officeDocument/2006/relationships/hyperlink" Target="http://www.mouser.com/Search/Refine.aspx?Keyword=RC0603FR-0712K1L%20Yageo" TargetMode="External"/><Relationship Id="rId57" Type="http://schemas.openxmlformats.org/officeDocument/2006/relationships/hyperlink" Target="http://www.newark.com/yageo/rc0603fr-0712k1l/res-thick-film-12k1-1-0-1w-0603/dp/68R0055" TargetMode="External"/><Relationship Id="rId58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9" ySplit="6" topLeftCell="J7" activePane="bottomRight" state="frozen"/>
      <selection pane="topLeft" activeCell="A1" activeCellId="0" sqref="A1"/>
      <selection pane="topRight" activeCell="J1" activeCellId="0" sqref="J1"/>
      <selection pane="bottomLeft" activeCell="A7" activeCellId="0" sqref="A7"/>
      <selection pane="bottomRight" activeCell="F28" activeCellId="0" sqref="F28"/>
    </sheetView>
  </sheetViews>
  <sheetFormatPr defaultRowHeight="15"/>
  <cols>
    <col collapsed="false" hidden="false" max="1" min="1" style="0" width="18.8979591836735"/>
    <col collapsed="false" hidden="false" max="2" min="2" style="0" width="18.3316326530612"/>
    <col collapsed="false" hidden="false" max="3" min="3" style="0" width="51.8979591836735"/>
    <col collapsed="false" hidden="false" max="4" min="4" style="0" width="24.2551020408163"/>
    <col collapsed="false" hidden="false" max="5" min="5" style="0" width="20.3010204081633"/>
    <col collapsed="false" hidden="false" max="6" min="6" style="0" width="21.1581632653061"/>
    <col collapsed="false" hidden="false" max="8" min="7" style="0" width="9.14285714285714"/>
    <col collapsed="false" hidden="false" max="9" min="9" style="0" width="15.7142857142857"/>
    <col collapsed="false" hidden="false" max="10" min="10" style="0" width="9.14285714285714"/>
    <col collapsed="false" hidden="false" max="12" min="11" style="0" width="9.14285714285714"/>
    <col collapsed="false" hidden="false" max="13" min="13" style="0" width="15.7142857142857"/>
    <col collapsed="false" hidden="false" max="15" min="14" style="0" width="9.14285714285714"/>
    <col collapsed="false" hidden="false" max="16" min="16" style="0" width="9.14285714285714"/>
    <col collapsed="false" hidden="false" max="18" min="17" style="0" width="9.14285714285714"/>
    <col collapsed="false" hidden="false" max="19" min="19" style="0" width="15.7142857142857"/>
    <col collapsed="false" hidden="false" max="21" min="20" style="0" width="9.14285714285714"/>
    <col collapsed="false" hidden="false" max="22" min="22" style="0" width="9.14285714285714"/>
    <col collapsed="false" hidden="false" max="24" min="23" style="0" width="9.14285714285714"/>
    <col collapsed="false" hidden="false" max="25" min="25" style="0" width="15.7142857142857"/>
    <col collapsed="false" hidden="false" max="27" min="26" style="0" width="9.14285714285714"/>
    <col collapsed="false" hidden="false" max="1025" min="28" style="0" width="8.72959183673469"/>
  </cols>
  <sheetData>
    <row r="1" customFormat="false" ht="15" hidden="false" customHeight="false" outlineLevel="0" collapsed="false">
      <c r="H1" s="1" t="s">
        <v>0</v>
      </c>
      <c r="I1" s="1" t="n">
        <v>5</v>
      </c>
    </row>
    <row r="2" customFormat="false" ht="16.15" hidden="false" customHeight="false" outlineLevel="0" collapsed="false">
      <c r="H2" s="2" t="s">
        <v>1</v>
      </c>
      <c r="I2" s="3" t="n">
        <f aca="false">SUM(I7:I30)</f>
        <v>62.365</v>
      </c>
      <c r="M2" s="3" t="n">
        <f aca="false">SUM(M7:M30)</f>
        <v>63.324</v>
      </c>
      <c r="S2" s="3" t="n">
        <f aca="false">SUM(S7:S30)</f>
        <v>58.115</v>
      </c>
      <c r="Y2" s="3" t="n">
        <f aca="false">SUM(Y7:Y30)</f>
        <v>0</v>
      </c>
    </row>
    <row r="3" customFormat="false" ht="15" hidden="false" customHeight="false" outlineLevel="0" collapsed="false">
      <c r="H3" s="2" t="s">
        <v>2</v>
      </c>
      <c r="I3" s="4" t="n">
        <f aca="false">TotalCost/BoardQty</f>
        <v>12.473</v>
      </c>
    </row>
    <row r="5" customFormat="false" ht="15" hidden="false" customHeight="false" outlineLevel="0" collapsed="false">
      <c r="A5" s="5" t="s">
        <v>3</v>
      </c>
      <c r="B5" s="5"/>
      <c r="C5" s="5"/>
      <c r="D5" s="5"/>
      <c r="E5" s="5"/>
      <c r="F5" s="5"/>
      <c r="G5" s="5"/>
      <c r="H5" s="5"/>
      <c r="I5" s="5"/>
      <c r="J5" s="6" t="s">
        <v>4</v>
      </c>
      <c r="K5" s="6"/>
      <c r="L5" s="6"/>
      <c r="M5" s="6"/>
      <c r="N5" s="6"/>
      <c r="O5" s="6"/>
      <c r="P5" s="7" t="s">
        <v>5</v>
      </c>
      <c r="Q5" s="7"/>
      <c r="R5" s="7"/>
      <c r="S5" s="7"/>
      <c r="T5" s="7"/>
      <c r="U5" s="7"/>
      <c r="V5" s="8" t="s">
        <v>6</v>
      </c>
      <c r="W5" s="8"/>
      <c r="X5" s="8"/>
      <c r="Y5" s="8"/>
      <c r="Z5" s="8"/>
      <c r="AA5" s="8"/>
    </row>
    <row r="6" customFormat="false" ht="15" hidden="false" customHeight="false" outlineLevel="0" collapsed="false">
      <c r="A6" s="9" t="s">
        <v>7</v>
      </c>
      <c r="B6" s="9" t="s">
        <v>8</v>
      </c>
      <c r="C6" s="9" t="s">
        <v>9</v>
      </c>
      <c r="D6" s="9" t="s">
        <v>10</v>
      </c>
      <c r="E6" s="9" t="s">
        <v>11</v>
      </c>
      <c r="F6" s="9" t="s">
        <v>12</v>
      </c>
      <c r="G6" s="9" t="s">
        <v>13</v>
      </c>
      <c r="H6" s="9" t="s">
        <v>14</v>
      </c>
      <c r="I6" s="9" t="s">
        <v>15</v>
      </c>
      <c r="J6" s="9" t="s">
        <v>16</v>
      </c>
      <c r="K6" s="9" t="s">
        <v>17</v>
      </c>
      <c r="L6" s="9" t="s">
        <v>14</v>
      </c>
      <c r="M6" s="9" t="s">
        <v>15</v>
      </c>
      <c r="N6" s="9" t="s">
        <v>18</v>
      </c>
      <c r="O6" s="9" t="s">
        <v>19</v>
      </c>
      <c r="P6" s="9" t="s">
        <v>16</v>
      </c>
      <c r="Q6" s="9" t="s">
        <v>17</v>
      </c>
      <c r="R6" s="9" t="s">
        <v>14</v>
      </c>
      <c r="S6" s="9" t="s">
        <v>15</v>
      </c>
      <c r="T6" s="9" t="s">
        <v>18</v>
      </c>
      <c r="U6" s="9" t="s">
        <v>19</v>
      </c>
      <c r="V6" s="9" t="s">
        <v>16</v>
      </c>
      <c r="W6" s="9" t="s">
        <v>17</v>
      </c>
      <c r="X6" s="9" t="s">
        <v>14</v>
      </c>
      <c r="Y6" s="9" t="s">
        <v>15</v>
      </c>
      <c r="Z6" s="9" t="s">
        <v>18</v>
      </c>
      <c r="AA6" s="9" t="s">
        <v>19</v>
      </c>
    </row>
    <row r="7" customFormat="false" ht="15" hidden="false" customHeight="false" outlineLevel="0" collapsed="false">
      <c r="A7" s="0" t="s">
        <v>20</v>
      </c>
      <c r="B7" s="0" t="s">
        <v>21</v>
      </c>
      <c r="C7" s="0" t="s">
        <v>22</v>
      </c>
      <c r="D7" s="0" t="s">
        <v>23</v>
      </c>
      <c r="E7" s="0" t="s">
        <v>24</v>
      </c>
      <c r="F7" s="0" t="s">
        <v>25</v>
      </c>
      <c r="G7" s="0" t="n">
        <f aca="false">BoardQty*1</f>
        <v>5</v>
      </c>
      <c r="H7" s="10" t="n">
        <f aca="true">MINA(INDIRECT(ADDRESS(ROW(),COLUMN(newark_part_data)+2)),INDIRECT(ADDRESS(ROW(),COLUMN(digikey_part_data)+2)),INDIRECT(ADDRESS(ROW(),COLUMN(mouser_part_data)+2)))</f>
        <v>1.06</v>
      </c>
      <c r="I7" s="10" t="n">
        <f aca="false">IFERROR(G7*H7,"")</f>
        <v>5.3</v>
      </c>
      <c r="J7" s="0" t="n">
        <v>0</v>
      </c>
      <c r="L7" s="10" t="n">
        <f aca="false">IFERROR(LOOKUP(IF(K7="",G7,K7),{0,1,10,50,100,500},{0,1.06,0.944,0.8814,0.78,0.7371}),"")</f>
        <v>1.06</v>
      </c>
      <c r="M7" s="10" t="n">
        <f aca="false">IFERROR(IF(K7="",G7,K7)*L7,"")</f>
        <v>5.3</v>
      </c>
      <c r="N7" s="0" t="s">
        <v>26</v>
      </c>
      <c r="O7" s="11" t="s">
        <v>27</v>
      </c>
      <c r="AA7" s="11" t="s">
        <v>27</v>
      </c>
    </row>
    <row r="8" customFormat="false" ht="15" hidden="false" customHeight="false" outlineLevel="0" collapsed="false">
      <c r="A8" s="0" t="s">
        <v>28</v>
      </c>
      <c r="B8" s="0" t="s">
        <v>29</v>
      </c>
      <c r="C8" s="0" t="s">
        <v>30</v>
      </c>
      <c r="D8" s="0" t="s">
        <v>31</v>
      </c>
      <c r="E8" s="0" t="s">
        <v>32</v>
      </c>
      <c r="F8" s="0" t="s">
        <v>29</v>
      </c>
      <c r="G8" s="0" t="n">
        <f aca="false">BoardQty*1</f>
        <v>5</v>
      </c>
      <c r="H8" s="10" t="n">
        <f aca="true">MINA(INDIRECT(ADDRESS(ROW(),COLUMN(newark_part_data)+2)),INDIRECT(ADDRESS(ROW(),COLUMN(digikey_part_data)+2)),INDIRECT(ADDRESS(ROW(),COLUMN(mouser_part_data)+2)))</f>
        <v>5.31</v>
      </c>
      <c r="I8" s="10" t="n">
        <f aca="false">IFERROR(G8*H8,"")</f>
        <v>26.55</v>
      </c>
      <c r="J8" s="0" t="n">
        <v>0</v>
      </c>
      <c r="L8" s="10" t="n">
        <f aca="false">IFERROR(LOOKUP(IF(K8="",G8,K8),{0,1,10,25,50,100,250,500,1000,2500},{0,5.33,5.112,4.686,4.473,4.26,3.72752,3.621,3.0885,2.8755}),"")</f>
        <v>5.33</v>
      </c>
      <c r="M8" s="10" t="n">
        <f aca="false">IFERROR(IF(K8="",G8,K8)*L8,"")</f>
        <v>26.65</v>
      </c>
      <c r="N8" s="0" t="s">
        <v>33</v>
      </c>
      <c r="O8" s="11" t="s">
        <v>27</v>
      </c>
      <c r="P8" s="0" t="n">
        <v>1336</v>
      </c>
      <c r="R8" s="10" t="n">
        <f aca="false">IFERROR(LOOKUP(IF(Q8="",G8,Q8),{0,1,10,25,50,100,250,500,1000,2500},{0,5.31,5.09,4.67,4.46,4.25,3.71,3.61,3.07,2.86}),"")</f>
        <v>5.31</v>
      </c>
      <c r="S8" s="10" t="n">
        <f aca="false">IFERROR(IF(Q8="",G8,Q8)*R8,"")</f>
        <v>26.55</v>
      </c>
      <c r="T8" s="0" t="s">
        <v>34</v>
      </c>
      <c r="U8" s="11" t="s">
        <v>27</v>
      </c>
    </row>
    <row r="9" customFormat="false" ht="15" hidden="false" customHeight="false" outlineLevel="0" collapsed="false">
      <c r="A9" s="0" t="s">
        <v>35</v>
      </c>
      <c r="B9" s="0" t="s">
        <v>36</v>
      </c>
      <c r="C9" s="0" t="s">
        <v>37</v>
      </c>
      <c r="D9" s="0" t="s">
        <v>38</v>
      </c>
      <c r="E9" s="0" t="s">
        <v>39</v>
      </c>
      <c r="F9" s="0" t="s">
        <v>40</v>
      </c>
      <c r="G9" s="0" t="n">
        <f aca="false">BoardQty*1</f>
        <v>5</v>
      </c>
      <c r="H9" s="10" t="n">
        <f aca="true">MINA(INDIRECT(ADDRESS(ROW(),COLUMN(newark_part_data)+2)),INDIRECT(ADDRESS(ROW(),COLUMN(digikey_part_data)+2)),INDIRECT(ADDRESS(ROW(),COLUMN(mouser_part_data)+2)))</f>
        <v>0.099</v>
      </c>
      <c r="I9" s="10" t="n">
        <f aca="false">IFERROR(G9*H9,"")</f>
        <v>0.495</v>
      </c>
      <c r="J9" s="0" t="n">
        <v>0</v>
      </c>
      <c r="L9" s="10" t="n">
        <f aca="false">IFERROR(LOOKUP(IF(K9="",G9,K9),{0,1,10,50,100,250,500,1000},{0,0.1,0.079,0.0648,0.0476,0.0346,0.0317,0.02738}),"")</f>
        <v>0.1</v>
      </c>
      <c r="M9" s="10" t="n">
        <f aca="false">IFERROR(IF(K9="",G9,K9)*L9,"")</f>
        <v>0.5</v>
      </c>
      <c r="N9" s="0" t="s">
        <v>41</v>
      </c>
      <c r="O9" s="11" t="s">
        <v>27</v>
      </c>
      <c r="P9" s="0" t="n">
        <v>9709</v>
      </c>
      <c r="R9" s="10" t="n">
        <f aca="false">IFERROR(LOOKUP(IF(Q9="",G9,Q9),{0,1,10,100,500,1000,2500,4000,8000,24000},{0,0.099,0.063,0.034,0.031,0.026,0.023,0.02,0.017,0.016}),"")</f>
        <v>0.099</v>
      </c>
      <c r="S9" s="10" t="n">
        <f aca="false">IFERROR(IF(Q9="",G9,Q9)*R9,"")</f>
        <v>0.495</v>
      </c>
      <c r="T9" s="0" t="s">
        <v>42</v>
      </c>
      <c r="U9" s="11" t="s">
        <v>27</v>
      </c>
      <c r="AA9" s="11" t="s">
        <v>27</v>
      </c>
    </row>
    <row r="10" customFormat="false" ht="15" hidden="false" customHeight="false" outlineLevel="0" collapsed="false">
      <c r="A10" s="0" t="s">
        <v>43</v>
      </c>
      <c r="B10" s="0" t="s">
        <v>44</v>
      </c>
      <c r="C10" s="0" t="s">
        <v>45</v>
      </c>
      <c r="D10" s="0" t="s">
        <v>46</v>
      </c>
      <c r="E10" s="0" t="s">
        <v>47</v>
      </c>
      <c r="F10" s="0" t="s">
        <v>48</v>
      </c>
      <c r="G10" s="0" t="n">
        <f aca="false">BoardQty*4</f>
        <v>20</v>
      </c>
      <c r="H10" s="10" t="n">
        <f aca="true">MINA(INDIRECT(ADDRESS(ROW(),COLUMN(newark_part_data)+2)),INDIRECT(ADDRESS(ROW(),COLUMN(digikey_part_data)+2)),INDIRECT(ADDRESS(ROW(),COLUMN(mouser_part_data)+2)))</f>
        <v>0.011</v>
      </c>
      <c r="I10" s="10" t="n">
        <f aca="false">IFERROR(G10*H10,"")</f>
        <v>0.22</v>
      </c>
      <c r="J10" s="0" t="n">
        <v>0</v>
      </c>
      <c r="L10" s="10" t="n">
        <f aca="false">IFERROR(LOOKUP(IF(K10="",G10,K10),{0,1,10,50,100,250,500,1000},{0,0.1,0.022,0.0118,0.0099,0.00812,0.00694,0.0054}),"")</f>
        <v>0.022</v>
      </c>
      <c r="M10" s="10" t="n">
        <f aca="false">IFERROR(IF(K10="",G10,K10)*L10,"")</f>
        <v>0.44</v>
      </c>
      <c r="N10" s="0" t="s">
        <v>49</v>
      </c>
      <c r="O10" s="11" t="s">
        <v>27</v>
      </c>
      <c r="P10" s="0" t="n">
        <v>773538</v>
      </c>
      <c r="R10" s="10" t="n">
        <f aca="false">IFERROR(LOOKUP(IF(Q10="",G10,Q10),{0,1,10,100,500,4000,8000},{0,0.099,0.011,0.008,0.005,0.004,0.003}),"")</f>
        <v>0.011</v>
      </c>
      <c r="S10" s="10" t="n">
        <f aca="false">IFERROR(IF(Q10="",G10,Q10)*R10,"")</f>
        <v>0.22</v>
      </c>
      <c r="T10" s="0" t="s">
        <v>50</v>
      </c>
      <c r="U10" s="11" t="s">
        <v>27</v>
      </c>
      <c r="AA10" s="11" t="s">
        <v>27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s">
        <v>53</v>
      </c>
      <c r="D11" s="0" t="s">
        <v>54</v>
      </c>
      <c r="E11" s="0" t="s">
        <v>55</v>
      </c>
      <c r="F11" s="0" t="s">
        <v>56</v>
      </c>
      <c r="G11" s="0" t="n">
        <f aca="false">BoardQty*1</f>
        <v>5</v>
      </c>
      <c r="H11" s="10" t="n">
        <f aca="true">MINA(INDIRECT(ADDRESS(ROW(),COLUMN(newark_part_data)+2)),INDIRECT(ADDRESS(ROW(),COLUMN(digikey_part_data)+2)),INDIRECT(ADDRESS(ROW(),COLUMN(mouser_part_data)+2)))</f>
        <v>1.16</v>
      </c>
      <c r="I11" s="10" t="n">
        <f aca="false">IFERROR(G11*H11,"")</f>
        <v>5.8</v>
      </c>
      <c r="J11" s="0" t="n">
        <v>0</v>
      </c>
      <c r="L11" s="10" t="n">
        <f aca="false">IFERROR(LOOKUP(IF(K11="",G11,K11),{0,1,25,100},{0,1.16,0.97,0.9375}),"")</f>
        <v>1.16</v>
      </c>
      <c r="M11" s="10" t="n">
        <f aca="false">IFERROR(IF(K11="",G11,K11)*L11,"")</f>
        <v>5.8</v>
      </c>
      <c r="N11" s="0" t="s">
        <v>57</v>
      </c>
      <c r="O11" s="11" t="s">
        <v>27</v>
      </c>
      <c r="P11" s="0" t="n">
        <v>18619</v>
      </c>
      <c r="R11" s="10" t="n">
        <f aca="false">IFERROR(LOOKUP(IF(Q11="",G11,Q11),{0,1,10,25,100,5000},{0,1.37,1.14,0.957,0.948,0.948}),"")</f>
        <v>1.37</v>
      </c>
      <c r="S11" s="10" t="n">
        <f aca="false">IFERROR(IF(Q11="",G11,Q11)*R11,"")</f>
        <v>6.85</v>
      </c>
      <c r="T11" s="0" t="s">
        <v>58</v>
      </c>
      <c r="U11" s="11" t="s">
        <v>27</v>
      </c>
    </row>
    <row r="12" customFormat="false" ht="15" hidden="false" customHeight="false" outlineLevel="0" collapsed="false">
      <c r="A12" s="0" t="s">
        <v>59</v>
      </c>
      <c r="B12" s="0" t="s">
        <v>60</v>
      </c>
      <c r="C12" s="0" t="s">
        <v>61</v>
      </c>
      <c r="D12" s="0" t="s">
        <v>62</v>
      </c>
      <c r="E12" s="0" t="s">
        <v>63</v>
      </c>
      <c r="F12" s="0" t="s">
        <v>64</v>
      </c>
      <c r="G12" s="0" t="n">
        <f aca="false">BoardQty*1</f>
        <v>5</v>
      </c>
      <c r="H12" s="10" t="n">
        <f aca="true">MINA(INDIRECT(ADDRESS(ROW(),COLUMN(newark_part_data)+2)),INDIRECT(ADDRESS(ROW(),COLUMN(digikey_part_data)+2)),INDIRECT(ADDRESS(ROW(),COLUMN(mouser_part_data)+2)))</f>
        <v>3.3</v>
      </c>
      <c r="I12" s="10" t="n">
        <f aca="false">IFERROR(G12*H12,"")</f>
        <v>16.5</v>
      </c>
      <c r="J12" s="0" t="n">
        <v>0</v>
      </c>
      <c r="L12" s="10" t="n">
        <f aca="false">IFERROR(LOOKUP(IF(K12="",G12,K12),{0,1,10,100,500,1000,5000,10000},{0,3.82,3.422,2.8182,2.22772,1.91235,1.7446,1.6775}),"")</f>
        <v>3.82</v>
      </c>
      <c r="M12" s="10" t="n">
        <f aca="false">IFERROR(IF(K12="",G12,K12)*L12,"")</f>
        <v>19.1</v>
      </c>
      <c r="N12" s="0" t="s">
        <v>65</v>
      </c>
      <c r="O12" s="11" t="s">
        <v>27</v>
      </c>
      <c r="P12" s="0" t="n">
        <v>224</v>
      </c>
      <c r="R12" s="10" t="n">
        <f aca="false">IFERROR(LOOKUP(IF(Q12="",G12,Q12),{0,1,10,25,100,250,500,1000,2500,5000},{0,3.3,3.17,2.77,2.65,2.31,2.25,1.92,1.79,1.71}),"")</f>
        <v>3.3</v>
      </c>
      <c r="S12" s="10" t="n">
        <f aca="false">IFERROR(IF(Q12="",G12,Q12)*R12,"")</f>
        <v>16.5</v>
      </c>
      <c r="T12" s="0" t="s">
        <v>66</v>
      </c>
      <c r="U12" s="11" t="s">
        <v>27</v>
      </c>
      <c r="AA12" s="11" t="s">
        <v>27</v>
      </c>
    </row>
    <row r="13" customFormat="false" ht="15" hidden="false" customHeight="false" outlineLevel="0" collapsed="false">
      <c r="A13" s="0" t="s">
        <v>67</v>
      </c>
      <c r="B13" s="0" t="s">
        <v>68</v>
      </c>
      <c r="C13" s="0" t="s">
        <v>69</v>
      </c>
      <c r="D13" s="0" t="s">
        <v>70</v>
      </c>
      <c r="E13" s="0" t="s">
        <v>71</v>
      </c>
      <c r="F13" s="0" t="s">
        <v>72</v>
      </c>
      <c r="G13" s="0" t="n">
        <f aca="false">BoardQty*3</f>
        <v>15</v>
      </c>
      <c r="H13" s="10" t="n">
        <f aca="true">MINA(INDIRECT(ADDRESS(ROW(),COLUMN(newark_part_data)+2)),INDIRECT(ADDRESS(ROW(),COLUMN(digikey_part_data)+2)),INDIRECT(ADDRESS(ROW(),COLUMN(mouser_part_data)+2)))</f>
        <v>0.008</v>
      </c>
      <c r="I13" s="10" t="n">
        <f aca="false">IFERROR(G13*H13,"")</f>
        <v>0.12</v>
      </c>
      <c r="J13" s="0" t="n">
        <v>0</v>
      </c>
      <c r="L13" s="10" t="n">
        <f aca="false">IFERROR(LOOKUP(IF(K13="",G13,K13),{0,1,10,25,100,250,500,1000,2500},{0,0.1,0.011,0.008,0.0044,0.00336,0.0027,0.00198,0.00172}),"")</f>
        <v>0.011</v>
      </c>
      <c r="M13" s="10" t="n">
        <f aca="false">IFERROR(IF(K13="",G13,K13)*L13,"")</f>
        <v>0.165</v>
      </c>
      <c r="N13" s="0" t="s">
        <v>73</v>
      </c>
      <c r="O13" s="11" t="s">
        <v>27</v>
      </c>
      <c r="P13" s="0" t="n">
        <v>53758</v>
      </c>
      <c r="R13" s="10" t="n">
        <f aca="false">IFERROR(LOOKUP(IF(Q13="",G13,Q13),{0,1,10,100,1000,5000,50000},{0,0.099,0.008,0.003,0.002,0.002,0.001}),"")</f>
        <v>0.008</v>
      </c>
      <c r="S13" s="10" t="n">
        <f aca="false">IFERROR(IF(Q13="",G13,Q13)*R13,"")</f>
        <v>0.12</v>
      </c>
      <c r="T13" s="0" t="s">
        <v>74</v>
      </c>
      <c r="U13" s="11" t="s">
        <v>27</v>
      </c>
      <c r="AA13" s="11" t="s">
        <v>27</v>
      </c>
    </row>
    <row r="14" customFormat="false" ht="15" hidden="false" customHeight="false" outlineLevel="0" collapsed="false">
      <c r="A14" s="0" t="s">
        <v>75</v>
      </c>
      <c r="B14" s="0" t="s">
        <v>76</v>
      </c>
      <c r="D14" s="0" t="s">
        <v>77</v>
      </c>
      <c r="G14" s="0" t="n">
        <f aca="false">BoardQty*2</f>
        <v>10</v>
      </c>
      <c r="H14" s="10" t="n">
        <f aca="true">MINA(INDIRECT(ADDRESS(ROW(),COLUMN(newark_part_data)+2)),INDIRECT(ADDRESS(ROW(),COLUMN(digikey_part_data)+2)),INDIRECT(ADDRESS(ROW(),COLUMN(mouser_part_data)+2)))</f>
        <v>0</v>
      </c>
      <c r="I14" s="10" t="n">
        <f aca="false">IFERROR(G14*H14,"")</f>
        <v>0</v>
      </c>
    </row>
    <row r="15" customFormat="false" ht="15" hidden="false" customHeight="false" outlineLevel="0" collapsed="false">
      <c r="A15" s="0" t="s">
        <v>78</v>
      </c>
      <c r="B15" s="0" t="s">
        <v>79</v>
      </c>
      <c r="C15" s="0" t="s">
        <v>80</v>
      </c>
      <c r="D15" s="0" t="s">
        <v>46</v>
      </c>
      <c r="E15" s="0" t="s">
        <v>47</v>
      </c>
      <c r="F15" s="0" t="s">
        <v>81</v>
      </c>
      <c r="G15" s="0" t="n">
        <f aca="false">BoardQty*4</f>
        <v>20</v>
      </c>
      <c r="H15" s="10" t="n">
        <f aca="true">MINA(INDIRECT(ADDRESS(ROW(),COLUMN(newark_part_data)+2)),INDIRECT(ADDRESS(ROW(),COLUMN(digikey_part_data)+2)),INDIRECT(ADDRESS(ROW(),COLUMN(mouser_part_data)+2)))</f>
        <v>0.021</v>
      </c>
      <c r="I15" s="10" t="n">
        <f aca="false">IFERROR(G15*H15,"")</f>
        <v>0.42</v>
      </c>
      <c r="J15" s="0" t="n">
        <v>0</v>
      </c>
      <c r="L15" s="10" t="n">
        <f aca="false">IFERROR(LOOKUP(IF(K15="",G15,K15),{0,1,10,50,100,250,500,1000},{0,0.1,0.034,0.0182,0.0154,0.0126,0.01078,0.0084}),"")</f>
        <v>0.034</v>
      </c>
      <c r="M15" s="10" t="n">
        <f aca="false">IFERROR(IF(K15="",G15,K15)*L15,"")</f>
        <v>0.68</v>
      </c>
      <c r="N15" s="0" t="s">
        <v>82</v>
      </c>
      <c r="O15" s="11" t="s">
        <v>27</v>
      </c>
      <c r="P15" s="0" t="n">
        <v>106719</v>
      </c>
      <c r="R15" s="10" t="n">
        <f aca="false">IFERROR(LOOKUP(IF(Q15="",G15,Q15),{0,1,10,100,500,1000,4000,8000},{0,0.099,0.021,0.014,0.012,0.009,0.007,0.005}),"")</f>
        <v>0.021</v>
      </c>
      <c r="S15" s="10" t="n">
        <f aca="false">IFERROR(IF(Q15="",G15,Q15)*R15,"")</f>
        <v>0.42</v>
      </c>
      <c r="T15" s="0" t="s">
        <v>83</v>
      </c>
      <c r="U15" s="11" t="s">
        <v>27</v>
      </c>
      <c r="AA15" s="11" t="s">
        <v>27</v>
      </c>
    </row>
    <row r="16" customFormat="false" ht="15" hidden="false" customHeight="false" outlineLevel="0" collapsed="false">
      <c r="A16" s="0" t="s">
        <v>84</v>
      </c>
      <c r="B16" s="0" t="s">
        <v>85</v>
      </c>
      <c r="C16" s="0" t="s">
        <v>86</v>
      </c>
      <c r="D16" s="0" t="s">
        <v>70</v>
      </c>
      <c r="E16" s="0" t="s">
        <v>71</v>
      </c>
      <c r="F16" s="0" t="s">
        <v>87</v>
      </c>
      <c r="G16" s="0" t="n">
        <f aca="false">BoardQty*4</f>
        <v>20</v>
      </c>
      <c r="H16" s="10" t="n">
        <f aca="true">MINA(INDIRECT(ADDRESS(ROW(),COLUMN(newark_part_data)+2)),INDIRECT(ADDRESS(ROW(),COLUMN(digikey_part_data)+2)),INDIRECT(ADDRESS(ROW(),COLUMN(mouser_part_data)+2)))</f>
        <v>0.01</v>
      </c>
      <c r="I16" s="10" t="n">
        <f aca="false">IFERROR(G16*H16,"")</f>
        <v>0.2</v>
      </c>
      <c r="J16" s="0" t="n">
        <v>0</v>
      </c>
      <c r="L16" s="10" t="n">
        <f aca="false">IFERROR(LOOKUP(IF(K16="",G16,K16),{0,1,10,25,100,250,500,1000,2500},{0,0.1,0.014,0.01,0.0057,0.00436,0.00348,0.00257,0.00223}),"")</f>
        <v>0.014</v>
      </c>
      <c r="M16" s="10" t="n">
        <f aca="false">IFERROR(IF(K16="",G16,K16)*L16,"")</f>
        <v>0.28</v>
      </c>
      <c r="N16" s="0" t="s">
        <v>88</v>
      </c>
      <c r="O16" s="11" t="s">
        <v>27</v>
      </c>
      <c r="P16" s="0" t="n">
        <v>441325</v>
      </c>
      <c r="R16" s="10" t="n">
        <f aca="false">IFERROR(LOOKUP(IF(Q16="",G16,Q16),{0,1,10,100,1000,5000},{0,0.099,0.01,0.003,0.002,0.002}),"")</f>
        <v>0.01</v>
      </c>
      <c r="S16" s="10" t="n">
        <f aca="false">IFERROR(IF(Q16="",G16,Q16)*R16,"")</f>
        <v>0.2</v>
      </c>
      <c r="T16" s="0" t="s">
        <v>89</v>
      </c>
      <c r="U16" s="11" t="s">
        <v>27</v>
      </c>
      <c r="AA16" s="11" t="s">
        <v>27</v>
      </c>
    </row>
    <row r="17" customFormat="false" ht="15" hidden="false" customHeight="false" outlineLevel="0" collapsed="false">
      <c r="A17" s="0" t="s">
        <v>90</v>
      </c>
      <c r="B17" s="0" t="s">
        <v>91</v>
      </c>
      <c r="C17" s="0" t="s">
        <v>92</v>
      </c>
      <c r="D17" s="0" t="s">
        <v>70</v>
      </c>
      <c r="E17" s="0" t="s">
        <v>93</v>
      </c>
      <c r="F17" s="0" t="s">
        <v>94</v>
      </c>
      <c r="G17" s="0" t="n">
        <f aca="false">BoardQty*6</f>
        <v>30</v>
      </c>
      <c r="H17" s="10" t="n">
        <f aca="true">MINA(INDIRECT(ADDRESS(ROW(),COLUMN(newark_part_data)+2)),INDIRECT(ADDRESS(ROW(),COLUMN(digikey_part_data)+2)),INDIRECT(ADDRESS(ROW(),COLUMN(mouser_part_data)+2)))</f>
        <v>0.016</v>
      </c>
      <c r="I17" s="10" t="n">
        <f aca="false">IFERROR(G17*H17,"")</f>
        <v>0.48</v>
      </c>
      <c r="J17" s="0" t="n">
        <v>0</v>
      </c>
      <c r="L17" s="10" t="n">
        <f aca="false">IFERROR(LOOKUP(IF(K17="",G17,K17),{0,1,10,25,50,100,250,500,1000,2500},{0,0.1,0.029,0.0208,0.0158,0.0117,0.00892,0.00712,0.00525,0.00456}),"")</f>
        <v>0.0208</v>
      </c>
      <c r="M17" s="10" t="n">
        <f aca="false">IFERROR(IF(K17="",G17,K17)*L17,"")</f>
        <v>0.624</v>
      </c>
      <c r="N17" s="0" t="s">
        <v>95</v>
      </c>
      <c r="O17" s="11" t="s">
        <v>27</v>
      </c>
      <c r="P17" s="0" t="n">
        <v>28611</v>
      </c>
      <c r="R17" s="10" t="n">
        <f aca="false">IFERROR(LOOKUP(IF(Q17="",G17,Q17),{0,1,10,100,500,1000,5000,10000},{0,0.104,0.016,0.01,0.008,0.005,0.004,0.003}),"")</f>
        <v>0.016</v>
      </c>
      <c r="S17" s="10" t="n">
        <f aca="false">IFERROR(IF(Q17="",G17,Q17)*R17,"")</f>
        <v>0.48</v>
      </c>
      <c r="T17" s="0" t="s">
        <v>96</v>
      </c>
      <c r="U17" s="11" t="s">
        <v>27</v>
      </c>
      <c r="AA17" s="11" t="s">
        <v>27</v>
      </c>
    </row>
    <row r="18" customFormat="false" ht="15" hidden="false" customHeight="false" outlineLevel="0" collapsed="false">
      <c r="A18" s="0" t="s">
        <v>97</v>
      </c>
      <c r="B18" s="0" t="s">
        <v>98</v>
      </c>
      <c r="C18" s="0" t="s">
        <v>99</v>
      </c>
      <c r="D18" s="0" t="s">
        <v>70</v>
      </c>
      <c r="E18" s="0" t="s">
        <v>71</v>
      </c>
      <c r="F18" s="0" t="s">
        <v>100</v>
      </c>
      <c r="G18" s="0" t="n">
        <f aca="false">BoardQty*2</f>
        <v>10</v>
      </c>
      <c r="H18" s="10" t="n">
        <f aca="true">MINA(INDIRECT(ADDRESS(ROW(),COLUMN(newark_part_data)+2)),INDIRECT(ADDRESS(ROW(),COLUMN(digikey_part_data)+2)),INDIRECT(ADDRESS(ROW(),COLUMN(mouser_part_data)+2)))</f>
        <v>0.008</v>
      </c>
      <c r="I18" s="10" t="n">
        <f aca="false">IFERROR(G18*H18,"")</f>
        <v>0.08</v>
      </c>
      <c r="J18" s="0" t="n">
        <v>0</v>
      </c>
      <c r="L18" s="10" t="n">
        <f aca="false">IFERROR(LOOKUP(IF(K18="",G18,K18),{0,1,10,25,100,250,500,1000,2500},{0,0.1,0.011,0.008,0.0044,0.00336,0.0027,0.00198,0.00172}),"")</f>
        <v>0.011</v>
      </c>
      <c r="M18" s="10" t="n">
        <f aca="false">IFERROR(IF(K18="",G18,K18)*L18,"")</f>
        <v>0.11</v>
      </c>
      <c r="N18" s="0" t="s">
        <v>101</v>
      </c>
      <c r="O18" s="11" t="s">
        <v>27</v>
      </c>
      <c r="P18" s="0" t="n">
        <v>128118</v>
      </c>
      <c r="R18" s="10" t="n">
        <f aca="false">IFERROR(LOOKUP(IF(Q18="",G18,Q18),{0,1,10,100,1000,5000,50000},{0,0.099,0.008,0.003,0.002,0.002,0.001}),"")</f>
        <v>0.008</v>
      </c>
      <c r="S18" s="10" t="n">
        <f aca="false">IFERROR(IF(Q18="",G18,Q18)*R18,"")</f>
        <v>0.08</v>
      </c>
      <c r="T18" s="0" t="s">
        <v>102</v>
      </c>
      <c r="U18" s="11" t="s">
        <v>27</v>
      </c>
      <c r="AA18" s="11" t="s">
        <v>27</v>
      </c>
    </row>
    <row r="19" customFormat="false" ht="15" hidden="false" customHeight="false" outlineLevel="0" collapsed="false">
      <c r="A19" s="0" t="s">
        <v>103</v>
      </c>
      <c r="B19" s="0" t="s">
        <v>104</v>
      </c>
      <c r="C19" s="0" t="s">
        <v>105</v>
      </c>
      <c r="D19" s="0" t="s">
        <v>46</v>
      </c>
      <c r="E19" s="0" t="s">
        <v>47</v>
      </c>
      <c r="F19" s="0" t="s">
        <v>106</v>
      </c>
      <c r="G19" s="0" t="n">
        <f aca="false">BoardQty*3</f>
        <v>15</v>
      </c>
      <c r="H19" s="10" t="n">
        <f aca="true">MINA(INDIRECT(ADDRESS(ROW(),COLUMN(newark_part_data)+2)),INDIRECT(ADDRESS(ROW(),COLUMN(digikey_part_data)+2)),INDIRECT(ADDRESS(ROW(),COLUMN(mouser_part_data)+2)))</f>
        <v>0.012</v>
      </c>
      <c r="I19" s="10" t="n">
        <f aca="false">IFERROR(G19*H19,"")</f>
        <v>0.18</v>
      </c>
      <c r="J19" s="0" t="n">
        <v>0</v>
      </c>
      <c r="L19" s="10" t="n">
        <f aca="false">IFERROR(LOOKUP(IF(K19="",G19,K19),{0,1,10,50,100,250,500,1000},{0,0.1,0.019,0.0104,0.0088,0.0072,0.00616,0.0048}),"")</f>
        <v>0.019</v>
      </c>
      <c r="M19" s="10" t="n">
        <f aca="false">IFERROR(IF(K19="",G19,K19)*L19,"")</f>
        <v>0.285</v>
      </c>
      <c r="N19" s="0" t="s">
        <v>107</v>
      </c>
      <c r="O19" s="11" t="s">
        <v>27</v>
      </c>
      <c r="P19" s="0" t="n">
        <v>492244</v>
      </c>
      <c r="R19" s="10" t="n">
        <f aca="false">IFERROR(LOOKUP(IF(Q19="",G19,Q19),{0,1,10,100,500,1000,4000,24000},{0,0.099,0.012,0.008,0.007,0.005,0.004,0.003}),"")</f>
        <v>0.012</v>
      </c>
      <c r="S19" s="10" t="n">
        <f aca="false">IFERROR(IF(Q19="",G19,Q19)*R19,"")</f>
        <v>0.18</v>
      </c>
      <c r="T19" s="0" t="s">
        <v>108</v>
      </c>
      <c r="U19" s="11" t="s">
        <v>27</v>
      </c>
      <c r="AA19" s="11" t="s">
        <v>27</v>
      </c>
    </row>
    <row r="20" customFormat="false" ht="15" hidden="false" customHeight="false" outlineLevel="0" collapsed="false">
      <c r="A20" s="0" t="s">
        <v>109</v>
      </c>
      <c r="B20" s="0" t="s">
        <v>110</v>
      </c>
      <c r="C20" s="0" t="s">
        <v>111</v>
      </c>
      <c r="D20" s="0" t="s">
        <v>70</v>
      </c>
      <c r="E20" s="0" t="s">
        <v>71</v>
      </c>
      <c r="F20" s="0" t="s">
        <v>112</v>
      </c>
      <c r="G20" s="0" t="n">
        <f aca="false">BoardQty*3</f>
        <v>15</v>
      </c>
      <c r="H20" s="10" t="n">
        <f aca="true">MINA(INDIRECT(ADDRESS(ROW(),COLUMN(newark_part_data)+2)),INDIRECT(ADDRESS(ROW(),COLUMN(digikey_part_data)+2)),INDIRECT(ADDRESS(ROW(),COLUMN(mouser_part_data)+2)))</f>
        <v>0.008</v>
      </c>
      <c r="I20" s="10" t="n">
        <f aca="false">IFERROR(G20*H20,"")</f>
        <v>0.12</v>
      </c>
      <c r="J20" s="0" t="n">
        <v>0</v>
      </c>
      <c r="L20" s="10" t="n">
        <f aca="false">IFERROR(LOOKUP(IF(K20="",G20,K20),{0,1,10,25,100,250,500,1000,2500},{0,0.1,0.011,0.008,0.0044,0.00336,0.0027,0.00198,0.00172}),"")</f>
        <v>0.011</v>
      </c>
      <c r="M20" s="10" t="n">
        <f aca="false">IFERROR(IF(K20="",G20,K20)*L20,"")</f>
        <v>0.165</v>
      </c>
      <c r="N20" s="0" t="s">
        <v>113</v>
      </c>
      <c r="O20" s="11" t="s">
        <v>27</v>
      </c>
      <c r="P20" s="0" t="n">
        <v>580450</v>
      </c>
      <c r="R20" s="10" t="n">
        <f aca="false">IFERROR(LOOKUP(IF(Q20="",G20,Q20),{0,1,10,100,1000,5000,50000},{0,0.099,0.008,0.003,0.002,0.002,0.001}),"")</f>
        <v>0.008</v>
      </c>
      <c r="S20" s="10" t="n">
        <f aca="false">IFERROR(IF(Q20="",G20,Q20)*R20,"")</f>
        <v>0.12</v>
      </c>
      <c r="T20" s="0" t="s">
        <v>114</v>
      </c>
      <c r="U20" s="11" t="s">
        <v>27</v>
      </c>
      <c r="AA20" s="11" t="s">
        <v>27</v>
      </c>
    </row>
    <row r="21" customFormat="false" ht="15" hidden="false" customHeight="false" outlineLevel="0" collapsed="false">
      <c r="A21" s="0" t="s">
        <v>115</v>
      </c>
      <c r="B21" s="0" t="s">
        <v>116</v>
      </c>
      <c r="D21" s="0" t="s">
        <v>117</v>
      </c>
      <c r="G21" s="0" t="n">
        <f aca="false">BoardQty*3</f>
        <v>15</v>
      </c>
      <c r="H21" s="10" t="n">
        <f aca="true">MINA(INDIRECT(ADDRESS(ROW(),COLUMN(newark_part_data)+2)),INDIRECT(ADDRESS(ROW(),COLUMN(digikey_part_data)+2)),INDIRECT(ADDRESS(ROW(),COLUMN(mouser_part_data)+2)))</f>
        <v>0</v>
      </c>
      <c r="I21" s="10" t="n">
        <f aca="false">IFERROR(G21*H21,"")</f>
        <v>0</v>
      </c>
    </row>
    <row r="22" customFormat="false" ht="15" hidden="false" customHeight="false" outlineLevel="0" collapsed="false">
      <c r="A22" s="0" t="s">
        <v>118</v>
      </c>
      <c r="B22" s="0" t="s">
        <v>119</v>
      </c>
      <c r="C22" s="0" t="s">
        <v>120</v>
      </c>
      <c r="D22" s="0" t="s">
        <v>70</v>
      </c>
      <c r="E22" s="0" t="s">
        <v>93</v>
      </c>
      <c r="F22" s="0" t="s">
        <v>121</v>
      </c>
      <c r="G22" s="0" t="n">
        <f aca="false">BoardQty*3</f>
        <v>15</v>
      </c>
      <c r="H22" s="10" t="n">
        <f aca="true">MINA(INDIRECT(ADDRESS(ROW(),COLUMN(newark_part_data)+2)),INDIRECT(ADDRESS(ROW(),COLUMN(digikey_part_data)+2)),INDIRECT(ADDRESS(ROW(),COLUMN(mouser_part_data)+2)))</f>
        <v>0.016</v>
      </c>
      <c r="I22" s="10" t="n">
        <f aca="false">IFERROR(G22*H22,"")</f>
        <v>0.24</v>
      </c>
      <c r="J22" s="0" t="n">
        <v>0</v>
      </c>
      <c r="L22" s="10" t="n">
        <f aca="false">IFERROR(LOOKUP(IF(K22="",G22,K22),{0,1,10,25,50,100,250,500,1000,2500},{0,0.1,0.029,0.0208,0.0158,0.0117,0.00892,0.00712,0.00525,0.00456}),"")</f>
        <v>0.029</v>
      </c>
      <c r="M22" s="10" t="n">
        <f aca="false">IFERROR(IF(K22="",G22,K22)*L22,"")</f>
        <v>0.435</v>
      </c>
      <c r="N22" s="0" t="s">
        <v>122</v>
      </c>
      <c r="O22" s="11" t="s">
        <v>27</v>
      </c>
      <c r="P22" s="0" t="n">
        <v>24290</v>
      </c>
      <c r="R22" s="10" t="n">
        <f aca="false">IFERROR(LOOKUP(IF(Q22="",G22,Q22),{0,1,10,100,500,1000,2000,10000},{0,0.104,0.016,0.01,0.008,0.005,0.004,0.003}),"")</f>
        <v>0.016</v>
      </c>
      <c r="S22" s="10" t="n">
        <f aca="false">IFERROR(IF(Q22="",G22,Q22)*R22,"")</f>
        <v>0.24</v>
      </c>
      <c r="T22" s="0" t="s">
        <v>123</v>
      </c>
      <c r="U22" s="11" t="s">
        <v>27</v>
      </c>
      <c r="AA22" s="11" t="s">
        <v>27</v>
      </c>
    </row>
    <row r="23" customFormat="false" ht="15" hidden="false" customHeight="false" outlineLevel="0" collapsed="false">
      <c r="A23" s="0" t="s">
        <v>124</v>
      </c>
      <c r="B23" s="0" t="s">
        <v>125</v>
      </c>
      <c r="C23" s="0" t="s">
        <v>126</v>
      </c>
      <c r="D23" s="0" t="s">
        <v>46</v>
      </c>
      <c r="E23" s="0" t="s">
        <v>47</v>
      </c>
      <c r="F23" s="0" t="s">
        <v>127</v>
      </c>
      <c r="G23" s="0" t="n">
        <f aca="false">BoardQty*1</f>
        <v>5</v>
      </c>
      <c r="H23" s="10" t="n">
        <f aca="true">MINA(INDIRECT(ADDRESS(ROW(),COLUMN(newark_part_data)+2)),INDIRECT(ADDRESS(ROW(),COLUMN(digikey_part_data)+2)),INDIRECT(ADDRESS(ROW(),COLUMN(mouser_part_data)+2)))</f>
        <v>0.197</v>
      </c>
      <c r="I23" s="10" t="n">
        <f aca="false">IFERROR(G23*H23,"")</f>
        <v>0.985</v>
      </c>
      <c r="J23" s="0" t="n">
        <v>0</v>
      </c>
      <c r="L23" s="10" t="n">
        <f aca="false">IFERROR(LOOKUP(IF(K23="",G23,K23),{0,1,10,50,100,250,500,1000},{0,0.2,0.136,0.0826,0.0693,0.05612,0.0495,0.04208}),"")</f>
        <v>0.2</v>
      </c>
      <c r="M23" s="10" t="n">
        <f aca="false">IFERROR(IF(K23="",G23,K23)*L23,"")</f>
        <v>1</v>
      </c>
      <c r="N23" s="0" t="s">
        <v>128</v>
      </c>
      <c r="O23" s="11" t="s">
        <v>27</v>
      </c>
      <c r="P23" s="0" t="n">
        <v>113232</v>
      </c>
      <c r="R23" s="10" t="n">
        <f aca="false">IFERROR(LOOKUP(IF(Q23="",G23,Q23),{0,1,10,100,500,1000,4000},{0,0.197,0.081,0.056,0.048,0.041,0.033}),"")</f>
        <v>0.197</v>
      </c>
      <c r="S23" s="10" t="n">
        <f aca="false">IFERROR(IF(Q23="",G23,Q23)*R23,"")</f>
        <v>0.985</v>
      </c>
      <c r="T23" s="0" t="s">
        <v>129</v>
      </c>
      <c r="U23" s="11" t="s">
        <v>27</v>
      </c>
      <c r="AA23" s="11" t="s">
        <v>27</v>
      </c>
    </row>
    <row r="24" customFormat="false" ht="15" hidden="false" customHeight="false" outlineLevel="0" collapsed="false">
      <c r="A24" s="0" t="s">
        <v>130</v>
      </c>
      <c r="B24" s="0" t="s">
        <v>131</v>
      </c>
      <c r="C24" s="0" t="s">
        <v>132</v>
      </c>
      <c r="D24" s="0" t="s">
        <v>133</v>
      </c>
      <c r="G24" s="0" t="n">
        <f aca="false">BoardQty*1</f>
        <v>5</v>
      </c>
      <c r="H24" s="10" t="n">
        <f aca="true">MINA(INDIRECT(ADDRESS(ROW(),COLUMN(newark_part_data)+2)),INDIRECT(ADDRESS(ROW(),COLUMN(digikey_part_data)+2)),INDIRECT(ADDRESS(ROW(),COLUMN(mouser_part_data)+2)))</f>
        <v>0</v>
      </c>
      <c r="I24" s="10" t="n">
        <f aca="false">IFERROR(G24*H24,"")</f>
        <v>0</v>
      </c>
    </row>
    <row r="25" customFormat="false" ht="15" hidden="false" customHeight="false" outlineLevel="0" collapsed="false">
      <c r="A25" s="0" t="s">
        <v>134</v>
      </c>
      <c r="B25" s="0" t="s">
        <v>135</v>
      </c>
      <c r="C25" s="0" t="s">
        <v>136</v>
      </c>
      <c r="D25" s="0" t="s">
        <v>137</v>
      </c>
      <c r="E25" s="0" t="s">
        <v>47</v>
      </c>
      <c r="F25" s="0" t="s">
        <v>138</v>
      </c>
      <c r="G25" s="0" t="n">
        <f aca="false">BoardQty*3</f>
        <v>15</v>
      </c>
      <c r="H25" s="10" t="n">
        <f aca="true">MINA(INDIRECT(ADDRESS(ROW(),COLUMN(newark_part_data)+2)),INDIRECT(ADDRESS(ROW(),COLUMN(digikey_part_data)+2)),INDIRECT(ADDRESS(ROW(),COLUMN(mouser_part_data)+2)))</f>
        <v>0.202</v>
      </c>
      <c r="I25" s="10" t="n">
        <f aca="false">IFERROR(G25*H25,"")</f>
        <v>3.03</v>
      </c>
      <c r="P25" s="0" t="n">
        <v>15041</v>
      </c>
      <c r="R25" s="10" t="n">
        <f aca="false">IFERROR(LOOKUP(IF(Q25="",G25,Q25),{0,1,10,100,500,1000,5000,9000,18000,45000},{0,0.346,0.202,0.121,0.11,0.087,0.073,0.068,0.064,0.058}),"")</f>
        <v>0.202</v>
      </c>
      <c r="S25" s="10" t="n">
        <f aca="false">IFERROR(IF(Q25="",G25,Q25)*R25,"")</f>
        <v>3.03</v>
      </c>
      <c r="T25" s="0" t="s">
        <v>139</v>
      </c>
      <c r="U25" s="11" t="s">
        <v>27</v>
      </c>
      <c r="AA25" s="11" t="s">
        <v>27</v>
      </c>
    </row>
    <row r="26" customFormat="false" ht="15" hidden="false" customHeight="false" outlineLevel="0" collapsed="false">
      <c r="A26" s="0" t="s">
        <v>140</v>
      </c>
      <c r="B26" s="0" t="s">
        <v>141</v>
      </c>
      <c r="D26" s="0" t="s">
        <v>142</v>
      </c>
      <c r="G26" s="0" t="n">
        <f aca="false">BoardQty*1</f>
        <v>5</v>
      </c>
      <c r="H26" s="10" t="n">
        <f aca="true">MINA(INDIRECT(ADDRESS(ROW(),COLUMN(newark_part_data)+2)),INDIRECT(ADDRESS(ROW(),COLUMN(digikey_part_data)+2)),INDIRECT(ADDRESS(ROW(),COLUMN(mouser_part_data)+2)))</f>
        <v>0</v>
      </c>
      <c r="I26" s="10" t="n">
        <f aca="false">IFERROR(G26*H26,"")</f>
        <v>0</v>
      </c>
    </row>
    <row r="27" customFormat="false" ht="15" hidden="false" customHeight="false" outlineLevel="0" collapsed="false">
      <c r="A27" s="0" t="s">
        <v>143</v>
      </c>
      <c r="B27" s="0" t="s">
        <v>144</v>
      </c>
      <c r="C27" s="0" t="s">
        <v>145</v>
      </c>
      <c r="D27" s="0" t="s">
        <v>70</v>
      </c>
      <c r="E27" s="0" t="s">
        <v>93</v>
      </c>
      <c r="F27" s="0" t="s">
        <v>146</v>
      </c>
      <c r="G27" s="0" t="n">
        <f aca="false">BoardQty*2</f>
        <v>10</v>
      </c>
      <c r="H27" s="10" t="n">
        <f aca="true">MINA(INDIRECT(ADDRESS(ROW(),COLUMN(newark_part_data)+2)),INDIRECT(ADDRESS(ROW(),COLUMN(digikey_part_data)+2)),INDIRECT(ADDRESS(ROW(),COLUMN(mouser_part_data)+2)))</f>
        <v>0.016</v>
      </c>
      <c r="I27" s="10" t="n">
        <f aca="false">IFERROR(G27*H27,"")</f>
        <v>0.16</v>
      </c>
      <c r="J27" s="0" t="n">
        <v>0</v>
      </c>
      <c r="L27" s="10" t="n">
        <f aca="false">IFERROR(LOOKUP(IF(K27="",G27,K27),{0,1,10,25,50,100,250,500,1000,2500},{0,0.1,0.029,0.0208,0.0158,0.0117,0.00892,0.00712,0.00525,0.00456}),"")</f>
        <v>0.029</v>
      </c>
      <c r="M27" s="10" t="n">
        <f aca="false">IFERROR(IF(K27="",G27,K27)*L27,"")</f>
        <v>0.29</v>
      </c>
      <c r="N27" s="0" t="s">
        <v>147</v>
      </c>
      <c r="O27" s="11" t="s">
        <v>27</v>
      </c>
      <c r="P27" s="0" t="n">
        <v>74309</v>
      </c>
      <c r="R27" s="10" t="n">
        <f aca="false">IFERROR(LOOKUP(IF(Q27="",G27,Q27),{0,1,10,100,500,1000,5000,10000},{0,0.104,0.016,0.01,0.008,0.005,0.004,0.003}),"")</f>
        <v>0.016</v>
      </c>
      <c r="S27" s="10" t="n">
        <f aca="false">IFERROR(IF(Q27="",G27,Q27)*R27,"")</f>
        <v>0.16</v>
      </c>
      <c r="T27" s="0" t="s">
        <v>148</v>
      </c>
      <c r="U27" s="11" t="s">
        <v>27</v>
      </c>
      <c r="AA27" s="11" t="s">
        <v>27</v>
      </c>
    </row>
    <row r="28" customFormat="false" ht="15" hidden="false" customHeight="false" outlineLevel="0" collapsed="false">
      <c r="A28" s="0" t="s">
        <v>149</v>
      </c>
      <c r="B28" s="0" t="s">
        <v>150</v>
      </c>
      <c r="C28" s="0" t="s">
        <v>151</v>
      </c>
      <c r="D28" s="0" t="s">
        <v>46</v>
      </c>
      <c r="E28" s="0" t="s">
        <v>47</v>
      </c>
      <c r="F28" s="0" t="s">
        <v>152</v>
      </c>
      <c r="G28" s="0" t="n">
        <f aca="false">BoardQty*1</f>
        <v>5</v>
      </c>
      <c r="H28" s="10" t="n">
        <f aca="true">MINA(INDIRECT(ADDRESS(ROW(),COLUMN(newark_part_data)+2)),INDIRECT(ADDRESS(ROW(),COLUMN(digikey_part_data)+2)),INDIRECT(ADDRESS(ROW(),COLUMN(mouser_part_data)+2)))</f>
        <v>0.099</v>
      </c>
      <c r="I28" s="10" t="n">
        <f aca="false">IFERROR(G28*H28,"")</f>
        <v>0.495</v>
      </c>
      <c r="J28" s="0" t="n">
        <v>0</v>
      </c>
      <c r="L28" s="10" t="n">
        <f aca="false">IFERROR(LOOKUP(IF(K28="",G28,K28),{0,1,10,50,100,250,500,1000},{0,0.1,0.043,0.0234,0.0198,0.0162,0.01386,0.0108}),"")</f>
        <v>0.1</v>
      </c>
      <c r="M28" s="10" t="n">
        <f aca="false">IFERROR(IF(K28="",G28,K28)*L28,"")</f>
        <v>0.5</v>
      </c>
      <c r="N28" s="0" t="s">
        <v>153</v>
      </c>
      <c r="O28" s="11" t="s">
        <v>27</v>
      </c>
      <c r="P28" s="0" t="n">
        <v>39756</v>
      </c>
      <c r="R28" s="10" t="n">
        <f aca="false">IFERROR(LOOKUP(IF(Q28="",G28,Q28),{0,1,10,100,500,1000,4000,8000,24000,48000},{0,0.099,0.037,0.026,0.023,0.017,0.013,0.012,0.011,0.009}),"")</f>
        <v>0.099</v>
      </c>
      <c r="S28" s="10" t="n">
        <f aca="false">IFERROR(IF(Q28="",G28,Q28)*R28,"")</f>
        <v>0.495</v>
      </c>
      <c r="T28" s="0" t="s">
        <v>154</v>
      </c>
      <c r="U28" s="11" t="s">
        <v>27</v>
      </c>
      <c r="AA28" s="11" t="s">
        <v>27</v>
      </c>
    </row>
    <row r="29" customFormat="false" ht="15" hidden="false" customHeight="false" outlineLevel="0" collapsed="false">
      <c r="A29" s="0" t="s">
        <v>155</v>
      </c>
      <c r="B29" s="0" t="s">
        <v>156</v>
      </c>
      <c r="C29" s="0" t="s">
        <v>157</v>
      </c>
      <c r="D29" s="0" t="s">
        <v>70</v>
      </c>
      <c r="E29" s="0" t="s">
        <v>71</v>
      </c>
      <c r="F29" s="0" t="s">
        <v>158</v>
      </c>
      <c r="G29" s="0" t="n">
        <f aca="false">BoardQty*1</f>
        <v>5</v>
      </c>
      <c r="H29" s="10" t="n">
        <f aca="true">MINA(INDIRECT(ADDRESS(ROW(),COLUMN(newark_part_data)+2)),INDIRECT(ADDRESS(ROW(),COLUMN(digikey_part_data)+2)),INDIRECT(ADDRESS(ROW(),COLUMN(mouser_part_data)+2)))</f>
        <v>0.099</v>
      </c>
      <c r="I29" s="10" t="n">
        <f aca="false">IFERROR(G29*H29,"")</f>
        <v>0.495</v>
      </c>
      <c r="J29" s="0" t="n">
        <v>0</v>
      </c>
      <c r="L29" s="10" t="n">
        <f aca="false">IFERROR(LOOKUP(IF(K29="",G29,K29),{0,1,10,25,100,250,500,1000,2500},{0,0.1,0.011,0.008,0.0044,0.00336,0.0027,0.00198,0.00172}),"")</f>
        <v>0.1</v>
      </c>
      <c r="M29" s="10" t="n">
        <f aca="false">IFERROR(IF(K29="",G29,K29)*L29,"")</f>
        <v>0.5</v>
      </c>
      <c r="N29" s="0" t="s">
        <v>159</v>
      </c>
      <c r="O29" s="11" t="s">
        <v>27</v>
      </c>
      <c r="P29" s="0" t="n">
        <v>54734</v>
      </c>
      <c r="R29" s="10" t="n">
        <f aca="false">IFERROR(LOOKUP(IF(Q29="",G29,Q29),{0,1,10,100,1000,5000,50000},{0,0.099,0.008,0.003,0.002,0.002,0.001}),"")</f>
        <v>0.099</v>
      </c>
      <c r="S29" s="10" t="n">
        <f aca="false">IFERROR(IF(Q29="",G29,Q29)*R29,"")</f>
        <v>0.495</v>
      </c>
      <c r="T29" s="0" t="s">
        <v>160</v>
      </c>
      <c r="U29" s="11" t="s">
        <v>27</v>
      </c>
      <c r="AA29" s="11" t="s">
        <v>27</v>
      </c>
    </row>
    <row r="30" customFormat="false" ht="15" hidden="false" customHeight="false" outlineLevel="0" collapsed="false">
      <c r="A30" s="0" t="s">
        <v>161</v>
      </c>
      <c r="B30" s="0" t="s">
        <v>162</v>
      </c>
      <c r="C30" s="0" t="s">
        <v>163</v>
      </c>
      <c r="D30" s="0" t="s">
        <v>70</v>
      </c>
      <c r="E30" s="0" t="s">
        <v>71</v>
      </c>
      <c r="F30" s="0" t="s">
        <v>164</v>
      </c>
      <c r="G30" s="0" t="n">
        <f aca="false">BoardQty*1</f>
        <v>5</v>
      </c>
      <c r="H30" s="10" t="n">
        <f aca="true">MINA(INDIRECT(ADDRESS(ROW(),COLUMN(newark_part_data)+2)),INDIRECT(ADDRESS(ROW(),COLUMN(digikey_part_data)+2)),INDIRECT(ADDRESS(ROW(),COLUMN(mouser_part_data)+2)))</f>
        <v>0.099</v>
      </c>
      <c r="I30" s="10" t="n">
        <f aca="false">IFERROR(G30*H30,"")</f>
        <v>0.495</v>
      </c>
      <c r="J30" s="0" t="n">
        <v>0</v>
      </c>
      <c r="L30" s="10" t="n">
        <f aca="false">IFERROR(LOOKUP(IF(K30="",G30,K30),{0,1,10,25,100,250,500,1000,2500},{0,0.1,0.014,0.01,0.0057,0.00436,0.00348,0.00257,0.00223}),"")</f>
        <v>0.1</v>
      </c>
      <c r="M30" s="10" t="n">
        <f aca="false">IFERROR(IF(K30="",G30,K30)*L30,"")</f>
        <v>0.5</v>
      </c>
      <c r="N30" s="0" t="s">
        <v>165</v>
      </c>
      <c r="O30" s="11" t="s">
        <v>27</v>
      </c>
      <c r="P30" s="0" t="n">
        <v>115896</v>
      </c>
      <c r="R30" s="10" t="n">
        <f aca="false">IFERROR(LOOKUP(IF(Q30="",G30,Q30),{0,1,10,100,1000,5000,10000},{0,0.099,0.01,0.003,0.002,0.002,0.001}),"")</f>
        <v>0.099</v>
      </c>
      <c r="S30" s="10" t="n">
        <f aca="false">IFERROR(IF(Q30="",G30,Q30)*R30,"")</f>
        <v>0.495</v>
      </c>
      <c r="T30" s="0" t="s">
        <v>166</v>
      </c>
      <c r="U30" s="11" t="s">
        <v>27</v>
      </c>
      <c r="AA30" s="11" t="s">
        <v>27</v>
      </c>
    </row>
    <row r="32" customFormat="false" ht="15" hidden="false" customHeight="false" outlineLevel="0" collapsed="false">
      <c r="K32" s="0" t="str">
        <f aca="false">IFERROR(CONCATENATE(TEXT(INDEX($K$7:$K$30,SMALL(IF($N$7:$N$30&lt;&gt;"",IF($K$7:$K$30&lt;&gt;"",ROW($K$7:$K$30)-MIN(ROW($K$7:$K$30))+1,""),""),ROW()-ROW(A$32)+1)),"##0"),","),"")</f>
        <v/>
      </c>
      <c r="L32" s="0" t="str">
        <f aca="false">IFERROR(CONCATENATE((INDEX($N$7:$N$30,SMALL(IF($N$7:$N$30&lt;&gt;"",IF($K$7:$K$30&lt;&gt;"",ROW($K$7:$K$30)-MIN(ROW($K$7:$K$30))+1,""),""),ROW()-ROW(A$32)+1))),","),"")</f>
        <v/>
      </c>
      <c r="M32" s="0" t="str">
        <f aca="false">IFERROR(CONCATENATE((INDEX($A$7:$A$30,SMALL(IF($N$7:$N$30&lt;&gt;"",IF($K$7:$K$30&lt;&gt;"",ROW($K$7:$K$30)-MIN(ROW($K$7:$K$30))+1,""),""),ROW()-ROW(A$32)+1))),),"")</f>
        <v/>
      </c>
      <c r="Q32" s="0" t="str">
        <f aca="false">IFERROR(CONCATENATE((INDEX($T$7:$T$30,SMALL(IF($T$7:$T$30&lt;&gt;"",IF($Q$7:$Q$30&lt;&gt;"",ROW($Q$7:$Q$30)-MIN(ROW($Q$7:$Q$30))+1,""),""),ROW()-ROW(A$32)+1)))," "),"")</f>
        <v/>
      </c>
      <c r="R32" s="0" t="str">
        <f aca="false">IFERROR(CONCATENATE(TEXT(INDEX($Q$7:$Q$30,SMALL(IF($T$7:$T$30&lt;&gt;"",IF($Q$7:$Q$30&lt;&gt;"",ROW($Q$7:$Q$30)-MIN(ROW($Q$7:$Q$30))+1,""),""),ROW()-ROW(A$32)+1)),"##0")," "),"")</f>
        <v/>
      </c>
      <c r="S32" s="0" t="str">
        <f aca="false">IFERROR(CONCATENATE((INDEX($A$7:$A$30,SMALL(IF($T$7:$T$30&lt;&gt;"",IF($Q$7:$Q$30&lt;&gt;"",ROW($Q$7:$Q$30)-MIN(ROW($Q$7:$Q$30))+1,""),""),ROW()-ROW(A$32)+1))),),"")</f>
        <v/>
      </c>
      <c r="W32" s="0" t="str">
        <f aca="false">IFERROR(CONCATENATE((INDEX($Z$7:$Z$30,SMALL(IF($Z$7:$Z$30&lt;&gt;"",IF($W$7:$W$30&lt;&gt;"",ROW($W$7:$W$30)-MIN(ROW($W$7:$W$30))+1,""),""),ROW()-ROW(A$32)+1))),","),"")</f>
        <v/>
      </c>
      <c r="X32" s="0" t="str">
        <f aca="false">IFERROR(CONCATENATE(TEXT(INDEX($W$7:$W$30,SMALL(IF($Z$7:$Z$30&lt;&gt;"",IF($W$7:$W$30&lt;&gt;"",ROW($W$7:$W$30)-MIN(ROW($W$7:$W$30))+1,""),""),ROW()-ROW(A$32)+1)),"##0"),","),"")</f>
        <v/>
      </c>
      <c r="Y32" s="0" t="str">
        <f aca="false">IFERROR(CONCATENATE((INDEX($A$7:$A$30,SMALL(IF($Z$7:$Z$30&lt;&gt;"",IF($W$7:$W$30&lt;&gt;"",ROW($W$7:$W$30)-MIN(ROW($W$7:$W$30))+1,""),""),ROW()-ROW(A$32)+1))),),"")</f>
        <v/>
      </c>
    </row>
    <row r="33" customFormat="false" ht="15" hidden="false" customHeight="false" outlineLevel="0" collapsed="false">
      <c r="K33" s="0" t="str">
        <f aca="false">IFERROR(CONCATENATE(TEXT(INDEX($K$7:$K$30,SMALL(IF($N$7:$N$30&lt;&gt;"",IF($K$7:$K$30&lt;&gt;"",ROW($K$7:$K$30)-MIN(ROW($K$7:$K$30))+1,""),""),ROW()-ROW(A$32)+1)),"##0"),","),"")</f>
        <v/>
      </c>
      <c r="L33" s="0" t="str">
        <f aca="false">IFERROR(CONCATENATE((INDEX($N$7:$N$30,SMALL(IF($N$7:$N$30&lt;&gt;"",IF($K$7:$K$30&lt;&gt;"",ROW($K$7:$K$30)-MIN(ROW($K$7:$K$30))+1,""),""),ROW()-ROW(A$32)+1))),","),"")</f>
        <v/>
      </c>
      <c r="M33" s="0" t="str">
        <f aca="false">IFERROR(CONCATENATE((INDEX($A$7:$A$30,SMALL(IF($N$7:$N$30&lt;&gt;"",IF($K$7:$K$30&lt;&gt;"",ROW($K$7:$K$30)-MIN(ROW($K$7:$K$30))+1,""),""),ROW()-ROW(A$32)+1))),),"")</f>
        <v/>
      </c>
      <c r="Q33" s="0" t="str">
        <f aca="false">IFERROR(CONCATENATE((INDEX($T$7:$T$30,SMALL(IF($T$7:$T$30&lt;&gt;"",IF($Q$7:$Q$30&lt;&gt;"",ROW($Q$7:$Q$30)-MIN(ROW($Q$7:$Q$30))+1,""),""),ROW()-ROW(A$32)+1)))," "),"")</f>
        <v/>
      </c>
      <c r="R33" s="0" t="str">
        <f aca="false">IFERROR(CONCATENATE(TEXT(INDEX($Q$7:$Q$30,SMALL(IF($T$7:$T$30&lt;&gt;"",IF($Q$7:$Q$30&lt;&gt;"",ROW($Q$7:$Q$30)-MIN(ROW($Q$7:$Q$30))+1,""),""),ROW()-ROW(A$32)+1)),"##0")," "),"")</f>
        <v/>
      </c>
      <c r="S33" s="0" t="str">
        <f aca="false">IFERROR(CONCATENATE((INDEX($A$7:$A$30,SMALL(IF($T$7:$T$30&lt;&gt;"",IF($Q$7:$Q$30&lt;&gt;"",ROW($Q$7:$Q$30)-MIN(ROW($Q$7:$Q$30))+1,""),""),ROW()-ROW(A$32)+1))),),"")</f>
        <v/>
      </c>
      <c r="W33" s="0" t="str">
        <f aca="false">IFERROR(CONCATENATE((INDEX($Z$7:$Z$30,SMALL(IF($Z$7:$Z$30&lt;&gt;"",IF($W$7:$W$30&lt;&gt;"",ROW($W$7:$W$30)-MIN(ROW($W$7:$W$30))+1,""),""),ROW()-ROW(A$32)+1))),","),"")</f>
        <v/>
      </c>
      <c r="X33" s="0" t="str">
        <f aca="false">IFERROR(CONCATENATE(TEXT(INDEX($W$7:$W$30,SMALL(IF($Z$7:$Z$30&lt;&gt;"",IF($W$7:$W$30&lt;&gt;"",ROW($W$7:$W$30)-MIN(ROW($W$7:$W$30))+1,""),""),ROW()-ROW(A$32)+1)),"##0"),","),"")</f>
        <v/>
      </c>
      <c r="Y33" s="0" t="str">
        <f aca="false">IFERROR(CONCATENATE((INDEX($A$7:$A$30,SMALL(IF($Z$7:$Z$30&lt;&gt;"",IF($W$7:$W$30&lt;&gt;"",ROW($W$7:$W$30)-MIN(ROW($W$7:$W$30))+1,""),""),ROW()-ROW(A$32)+1))),),"")</f>
        <v/>
      </c>
    </row>
    <row r="34" customFormat="false" ht="15" hidden="false" customHeight="false" outlineLevel="0" collapsed="false">
      <c r="K34" s="0" t="str">
        <f aca="false">IFERROR(CONCATENATE(TEXT(INDEX($K$7:$K$30,SMALL(IF($N$7:$N$30&lt;&gt;"",IF($K$7:$K$30&lt;&gt;"",ROW($K$7:$K$30)-MIN(ROW($K$7:$K$30))+1,""),""),ROW()-ROW(A$32)+1)),"##0"),","),"")</f>
        <v/>
      </c>
      <c r="L34" s="0" t="str">
        <f aca="false">IFERROR(CONCATENATE((INDEX($N$7:$N$30,SMALL(IF($N$7:$N$30&lt;&gt;"",IF($K$7:$K$30&lt;&gt;"",ROW($K$7:$K$30)-MIN(ROW($K$7:$K$30))+1,""),""),ROW()-ROW(A$32)+1))),","),"")</f>
        <v/>
      </c>
      <c r="M34" s="0" t="str">
        <f aca="false">IFERROR(CONCATENATE((INDEX($A$7:$A$30,SMALL(IF($N$7:$N$30&lt;&gt;"",IF($K$7:$K$30&lt;&gt;"",ROW($K$7:$K$30)-MIN(ROW($K$7:$K$30))+1,""),""),ROW()-ROW(A$32)+1))),),"")</f>
        <v/>
      </c>
      <c r="Q34" s="0" t="str">
        <f aca="false">IFERROR(CONCATENATE((INDEX($T$7:$T$30,SMALL(IF($T$7:$T$30&lt;&gt;"",IF($Q$7:$Q$30&lt;&gt;"",ROW($Q$7:$Q$30)-MIN(ROW($Q$7:$Q$30))+1,""),""),ROW()-ROW(A$32)+1)))," "),"")</f>
        <v/>
      </c>
      <c r="R34" s="0" t="str">
        <f aca="false">IFERROR(CONCATENATE(TEXT(INDEX($Q$7:$Q$30,SMALL(IF($T$7:$T$30&lt;&gt;"",IF($Q$7:$Q$30&lt;&gt;"",ROW($Q$7:$Q$30)-MIN(ROW($Q$7:$Q$30))+1,""),""),ROW()-ROW(A$32)+1)),"##0")," "),"")</f>
        <v/>
      </c>
      <c r="S34" s="0" t="str">
        <f aca="false">IFERROR(CONCATENATE((INDEX($A$7:$A$30,SMALL(IF($T$7:$T$30&lt;&gt;"",IF($Q$7:$Q$30&lt;&gt;"",ROW($Q$7:$Q$30)-MIN(ROW($Q$7:$Q$30))+1,""),""),ROW()-ROW(A$32)+1))),),"")</f>
        <v/>
      </c>
      <c r="W34" s="0" t="str">
        <f aca="false">IFERROR(CONCATENATE((INDEX($Z$7:$Z$30,SMALL(IF($Z$7:$Z$30&lt;&gt;"",IF($W$7:$W$30&lt;&gt;"",ROW($W$7:$W$30)-MIN(ROW($W$7:$W$30))+1,""),""),ROW()-ROW(A$32)+1))),","),"")</f>
        <v/>
      </c>
      <c r="X34" s="0" t="str">
        <f aca="false">IFERROR(CONCATENATE(TEXT(INDEX($W$7:$W$30,SMALL(IF($Z$7:$Z$30&lt;&gt;"",IF($W$7:$W$30&lt;&gt;"",ROW($W$7:$W$30)-MIN(ROW($W$7:$W$30))+1,""),""),ROW()-ROW(A$32)+1)),"##0"),","),"")</f>
        <v/>
      </c>
      <c r="Y34" s="0" t="str">
        <f aca="false">IFERROR(CONCATENATE((INDEX($A$7:$A$30,SMALL(IF($Z$7:$Z$30&lt;&gt;"",IF($W$7:$W$30&lt;&gt;"",ROW($W$7:$W$30)-MIN(ROW($W$7:$W$30))+1,""),""),ROW()-ROW(A$32)+1))),),"")</f>
        <v/>
      </c>
    </row>
    <row r="35" customFormat="false" ht="15" hidden="false" customHeight="false" outlineLevel="0" collapsed="false">
      <c r="K35" s="0" t="str">
        <f aca="false">IFERROR(CONCATENATE(TEXT(INDEX($K$7:$K$30,SMALL(IF($N$7:$N$30&lt;&gt;"",IF($K$7:$K$30&lt;&gt;"",ROW($K$7:$K$30)-MIN(ROW($K$7:$K$30))+1,""),""),ROW()-ROW(A$32)+1)),"##0"),","),"")</f>
        <v/>
      </c>
      <c r="L35" s="0" t="str">
        <f aca="false">IFERROR(CONCATENATE((INDEX($N$7:$N$30,SMALL(IF($N$7:$N$30&lt;&gt;"",IF($K$7:$K$30&lt;&gt;"",ROW($K$7:$K$30)-MIN(ROW($K$7:$K$30))+1,""),""),ROW()-ROW(A$32)+1))),","),"")</f>
        <v/>
      </c>
      <c r="M35" s="0" t="str">
        <f aca="false">IFERROR(CONCATENATE((INDEX($A$7:$A$30,SMALL(IF($N$7:$N$30&lt;&gt;"",IF($K$7:$K$30&lt;&gt;"",ROW($K$7:$K$30)-MIN(ROW($K$7:$K$30))+1,""),""),ROW()-ROW(A$32)+1))),),"")</f>
        <v/>
      </c>
      <c r="Q35" s="0" t="str">
        <f aca="false">IFERROR(CONCATENATE((INDEX($T$7:$T$30,SMALL(IF($T$7:$T$30&lt;&gt;"",IF($Q$7:$Q$30&lt;&gt;"",ROW($Q$7:$Q$30)-MIN(ROW($Q$7:$Q$30))+1,""),""),ROW()-ROW(A$32)+1)))," "),"")</f>
        <v/>
      </c>
      <c r="R35" s="0" t="str">
        <f aca="false">IFERROR(CONCATENATE(TEXT(INDEX($Q$7:$Q$30,SMALL(IF($T$7:$T$30&lt;&gt;"",IF($Q$7:$Q$30&lt;&gt;"",ROW($Q$7:$Q$30)-MIN(ROW($Q$7:$Q$30))+1,""),""),ROW()-ROW(A$32)+1)),"##0")," "),"")</f>
        <v/>
      </c>
      <c r="S35" s="0" t="str">
        <f aca="false">IFERROR(CONCATENATE((INDEX($A$7:$A$30,SMALL(IF($T$7:$T$30&lt;&gt;"",IF($Q$7:$Q$30&lt;&gt;"",ROW($Q$7:$Q$30)-MIN(ROW($Q$7:$Q$30))+1,""),""),ROW()-ROW(A$32)+1))),),"")</f>
        <v/>
      </c>
      <c r="W35" s="0" t="str">
        <f aca="false">IFERROR(CONCATENATE((INDEX($Z$7:$Z$30,SMALL(IF($Z$7:$Z$30&lt;&gt;"",IF($W$7:$W$30&lt;&gt;"",ROW($W$7:$W$30)-MIN(ROW($W$7:$W$30))+1,""),""),ROW()-ROW(A$32)+1))),","),"")</f>
        <v/>
      </c>
      <c r="X35" s="0" t="str">
        <f aca="false">IFERROR(CONCATENATE(TEXT(INDEX($W$7:$W$30,SMALL(IF($Z$7:$Z$30&lt;&gt;"",IF($W$7:$W$30&lt;&gt;"",ROW($W$7:$W$30)-MIN(ROW($W$7:$W$30))+1,""),""),ROW()-ROW(A$32)+1)),"##0"),","),"")</f>
        <v/>
      </c>
      <c r="Y35" s="0" t="str">
        <f aca="false">IFERROR(CONCATENATE((INDEX($A$7:$A$30,SMALL(IF($Z$7:$Z$30&lt;&gt;"",IF($W$7:$W$30&lt;&gt;"",ROW($W$7:$W$30)-MIN(ROW($W$7:$W$30))+1,""),""),ROW()-ROW(A$32)+1))),),"")</f>
        <v/>
      </c>
    </row>
    <row r="36" customFormat="false" ht="15" hidden="false" customHeight="false" outlineLevel="0" collapsed="false">
      <c r="K36" s="0" t="str">
        <f aca="false">IFERROR(CONCATENATE(TEXT(INDEX($K$7:$K$30,SMALL(IF($N$7:$N$30&lt;&gt;"",IF($K$7:$K$30&lt;&gt;"",ROW($K$7:$K$30)-MIN(ROW($K$7:$K$30))+1,""),""),ROW()-ROW(A$32)+1)),"##0"),","),"")</f>
        <v/>
      </c>
      <c r="L36" s="0" t="str">
        <f aca="false">IFERROR(CONCATENATE((INDEX($N$7:$N$30,SMALL(IF($N$7:$N$30&lt;&gt;"",IF($K$7:$K$30&lt;&gt;"",ROW($K$7:$K$30)-MIN(ROW($K$7:$K$30))+1,""),""),ROW()-ROW(A$32)+1))),","),"")</f>
        <v/>
      </c>
      <c r="M36" s="0" t="str">
        <f aca="false">IFERROR(CONCATENATE((INDEX($A$7:$A$30,SMALL(IF($N$7:$N$30&lt;&gt;"",IF($K$7:$K$30&lt;&gt;"",ROW($K$7:$K$30)-MIN(ROW($K$7:$K$30))+1,""),""),ROW()-ROW(A$32)+1))),),"")</f>
        <v/>
      </c>
      <c r="Q36" s="0" t="str">
        <f aca="false">IFERROR(CONCATENATE((INDEX($T$7:$T$30,SMALL(IF($T$7:$T$30&lt;&gt;"",IF($Q$7:$Q$30&lt;&gt;"",ROW($Q$7:$Q$30)-MIN(ROW($Q$7:$Q$30))+1,""),""),ROW()-ROW(A$32)+1)))," "),"")</f>
        <v/>
      </c>
      <c r="R36" s="0" t="str">
        <f aca="false">IFERROR(CONCATENATE(TEXT(INDEX($Q$7:$Q$30,SMALL(IF($T$7:$T$30&lt;&gt;"",IF($Q$7:$Q$30&lt;&gt;"",ROW($Q$7:$Q$30)-MIN(ROW($Q$7:$Q$30))+1,""),""),ROW()-ROW(A$32)+1)),"##0")," "),"")</f>
        <v/>
      </c>
      <c r="S36" s="0" t="str">
        <f aca="false">IFERROR(CONCATENATE((INDEX($A$7:$A$30,SMALL(IF($T$7:$T$30&lt;&gt;"",IF($Q$7:$Q$30&lt;&gt;"",ROW($Q$7:$Q$30)-MIN(ROW($Q$7:$Q$30))+1,""),""),ROW()-ROW(A$32)+1))),),"")</f>
        <v/>
      </c>
      <c r="W36" s="0" t="str">
        <f aca="false">IFERROR(CONCATENATE((INDEX($Z$7:$Z$30,SMALL(IF($Z$7:$Z$30&lt;&gt;"",IF($W$7:$W$30&lt;&gt;"",ROW($W$7:$W$30)-MIN(ROW($W$7:$W$30))+1,""),""),ROW()-ROW(A$32)+1))),","),"")</f>
        <v/>
      </c>
      <c r="X36" s="0" t="str">
        <f aca="false">IFERROR(CONCATENATE(TEXT(INDEX($W$7:$W$30,SMALL(IF($Z$7:$Z$30&lt;&gt;"",IF($W$7:$W$30&lt;&gt;"",ROW($W$7:$W$30)-MIN(ROW($W$7:$W$30))+1,""),""),ROW()-ROW(A$32)+1)),"##0"),","),"")</f>
        <v/>
      </c>
      <c r="Y36" s="0" t="str">
        <f aca="false">IFERROR(CONCATENATE((INDEX($A$7:$A$30,SMALL(IF($Z$7:$Z$30&lt;&gt;"",IF($W$7:$W$30&lt;&gt;"",ROW($W$7:$W$30)-MIN(ROW($W$7:$W$30))+1,""),""),ROW()-ROW(A$32)+1))),),"")</f>
        <v/>
      </c>
    </row>
    <row r="37" customFormat="false" ht="15" hidden="false" customHeight="false" outlineLevel="0" collapsed="false">
      <c r="K37" s="0" t="str">
        <f aca="false">IFERROR(CONCATENATE(TEXT(INDEX($K$7:$K$30,SMALL(IF($N$7:$N$30&lt;&gt;"",IF($K$7:$K$30&lt;&gt;"",ROW($K$7:$K$30)-MIN(ROW($K$7:$K$30))+1,""),""),ROW()-ROW(A$32)+1)),"##0"),","),"")</f>
        <v/>
      </c>
      <c r="L37" s="0" t="str">
        <f aca="false">IFERROR(CONCATENATE((INDEX($N$7:$N$30,SMALL(IF($N$7:$N$30&lt;&gt;"",IF($K$7:$K$30&lt;&gt;"",ROW($K$7:$K$30)-MIN(ROW($K$7:$K$30))+1,""),""),ROW()-ROW(A$32)+1))),","),"")</f>
        <v/>
      </c>
      <c r="M37" s="0" t="str">
        <f aca="false">IFERROR(CONCATENATE((INDEX($A$7:$A$30,SMALL(IF($N$7:$N$30&lt;&gt;"",IF($K$7:$K$30&lt;&gt;"",ROW($K$7:$K$30)-MIN(ROW($K$7:$K$30))+1,""),""),ROW()-ROW(A$32)+1))),),"")</f>
        <v/>
      </c>
      <c r="Q37" s="0" t="str">
        <f aca="false">IFERROR(CONCATENATE((INDEX($T$7:$T$30,SMALL(IF($T$7:$T$30&lt;&gt;"",IF($Q$7:$Q$30&lt;&gt;"",ROW($Q$7:$Q$30)-MIN(ROW($Q$7:$Q$30))+1,""),""),ROW()-ROW(A$32)+1)))," "),"")</f>
        <v/>
      </c>
      <c r="R37" s="0" t="str">
        <f aca="false">IFERROR(CONCATENATE(TEXT(INDEX($Q$7:$Q$30,SMALL(IF($T$7:$T$30&lt;&gt;"",IF($Q$7:$Q$30&lt;&gt;"",ROW($Q$7:$Q$30)-MIN(ROW($Q$7:$Q$30))+1,""),""),ROW()-ROW(A$32)+1)),"##0")," "),"")</f>
        <v/>
      </c>
      <c r="S37" s="0" t="str">
        <f aca="false">IFERROR(CONCATENATE((INDEX($A$7:$A$30,SMALL(IF($T$7:$T$30&lt;&gt;"",IF($Q$7:$Q$30&lt;&gt;"",ROW($Q$7:$Q$30)-MIN(ROW($Q$7:$Q$30))+1,""),""),ROW()-ROW(A$32)+1))),),"")</f>
        <v/>
      </c>
      <c r="W37" s="0" t="str">
        <f aca="false">IFERROR(CONCATENATE((INDEX($Z$7:$Z$30,SMALL(IF($Z$7:$Z$30&lt;&gt;"",IF($W$7:$W$30&lt;&gt;"",ROW($W$7:$W$30)-MIN(ROW($W$7:$W$30))+1,""),""),ROW()-ROW(A$32)+1))),","),"")</f>
        <v/>
      </c>
      <c r="X37" s="0" t="str">
        <f aca="false">IFERROR(CONCATENATE(TEXT(INDEX($W$7:$W$30,SMALL(IF($Z$7:$Z$30&lt;&gt;"",IF($W$7:$W$30&lt;&gt;"",ROW($W$7:$W$30)-MIN(ROW($W$7:$W$30))+1,""),""),ROW()-ROW(A$32)+1)),"##0"),","),"")</f>
        <v/>
      </c>
      <c r="Y37" s="0" t="str">
        <f aca="false">IFERROR(CONCATENATE((INDEX($A$7:$A$30,SMALL(IF($Z$7:$Z$30&lt;&gt;"",IF($W$7:$W$30&lt;&gt;"",ROW($W$7:$W$30)-MIN(ROW($W$7:$W$30))+1,""),""),ROW()-ROW(A$32)+1))),),"")</f>
        <v/>
      </c>
    </row>
    <row r="38" customFormat="false" ht="15" hidden="false" customHeight="false" outlineLevel="0" collapsed="false">
      <c r="K38" s="0" t="str">
        <f aca="false">IFERROR(CONCATENATE(TEXT(INDEX($K$7:$K$30,SMALL(IF($N$7:$N$30&lt;&gt;"",IF($K$7:$K$30&lt;&gt;"",ROW($K$7:$K$30)-MIN(ROW($K$7:$K$30))+1,""),""),ROW()-ROW(A$32)+1)),"##0"),","),"")</f>
        <v/>
      </c>
      <c r="L38" s="0" t="str">
        <f aca="false">IFERROR(CONCATENATE((INDEX($N$7:$N$30,SMALL(IF($N$7:$N$30&lt;&gt;"",IF($K$7:$K$30&lt;&gt;"",ROW($K$7:$K$30)-MIN(ROW($K$7:$K$30))+1,""),""),ROW()-ROW(A$32)+1))),","),"")</f>
        <v/>
      </c>
      <c r="M38" s="0" t="str">
        <f aca="false">IFERROR(CONCATENATE((INDEX($A$7:$A$30,SMALL(IF($N$7:$N$30&lt;&gt;"",IF($K$7:$K$30&lt;&gt;"",ROW($K$7:$K$30)-MIN(ROW($K$7:$K$30))+1,""),""),ROW()-ROW(A$32)+1))),),"")</f>
        <v/>
      </c>
      <c r="Q38" s="0" t="str">
        <f aca="false">IFERROR(CONCATENATE((INDEX($T$7:$T$30,SMALL(IF($T$7:$T$30&lt;&gt;"",IF($Q$7:$Q$30&lt;&gt;"",ROW($Q$7:$Q$30)-MIN(ROW($Q$7:$Q$30))+1,""),""),ROW()-ROW(A$32)+1)))," "),"")</f>
        <v/>
      </c>
      <c r="R38" s="0" t="str">
        <f aca="false">IFERROR(CONCATENATE(TEXT(INDEX($Q$7:$Q$30,SMALL(IF($T$7:$T$30&lt;&gt;"",IF($Q$7:$Q$30&lt;&gt;"",ROW($Q$7:$Q$30)-MIN(ROW($Q$7:$Q$30))+1,""),""),ROW()-ROW(A$32)+1)),"##0")," "),"")</f>
        <v/>
      </c>
      <c r="S38" s="0" t="str">
        <f aca="false">IFERROR(CONCATENATE((INDEX($A$7:$A$30,SMALL(IF($T$7:$T$30&lt;&gt;"",IF($Q$7:$Q$30&lt;&gt;"",ROW($Q$7:$Q$30)-MIN(ROW($Q$7:$Q$30))+1,""),""),ROW()-ROW(A$32)+1))),),"")</f>
        <v/>
      </c>
      <c r="W38" s="0" t="str">
        <f aca="false">IFERROR(CONCATENATE((INDEX($Z$7:$Z$30,SMALL(IF($Z$7:$Z$30&lt;&gt;"",IF($W$7:$W$30&lt;&gt;"",ROW($W$7:$W$30)-MIN(ROW($W$7:$W$30))+1,""),""),ROW()-ROW(A$32)+1))),","),"")</f>
        <v/>
      </c>
      <c r="X38" s="0" t="str">
        <f aca="false">IFERROR(CONCATENATE(TEXT(INDEX($W$7:$W$30,SMALL(IF($Z$7:$Z$30&lt;&gt;"",IF($W$7:$W$30&lt;&gt;"",ROW($W$7:$W$30)-MIN(ROW($W$7:$W$30))+1,""),""),ROW()-ROW(A$32)+1)),"##0"),","),"")</f>
        <v/>
      </c>
      <c r="Y38" s="0" t="str">
        <f aca="false">IFERROR(CONCATENATE((INDEX($A$7:$A$30,SMALL(IF($Z$7:$Z$30&lt;&gt;"",IF($W$7:$W$30&lt;&gt;"",ROW($W$7:$W$30)-MIN(ROW($W$7:$W$30))+1,""),""),ROW()-ROW(A$32)+1))),),"")</f>
        <v/>
      </c>
    </row>
    <row r="39" customFormat="false" ht="15" hidden="false" customHeight="false" outlineLevel="0" collapsed="false">
      <c r="K39" s="0" t="str">
        <f aca="false">IFERROR(CONCATENATE(TEXT(INDEX($K$7:$K$30,SMALL(IF($N$7:$N$30&lt;&gt;"",IF($K$7:$K$30&lt;&gt;"",ROW($K$7:$K$30)-MIN(ROW($K$7:$K$30))+1,""),""),ROW()-ROW(A$32)+1)),"##0"),","),"")</f>
        <v/>
      </c>
      <c r="L39" s="0" t="str">
        <f aca="false">IFERROR(CONCATENATE((INDEX($N$7:$N$30,SMALL(IF($N$7:$N$30&lt;&gt;"",IF($K$7:$K$30&lt;&gt;"",ROW($K$7:$K$30)-MIN(ROW($K$7:$K$30))+1,""),""),ROW()-ROW(A$32)+1))),","),"")</f>
        <v/>
      </c>
      <c r="M39" s="0" t="str">
        <f aca="false">IFERROR(CONCATENATE((INDEX($A$7:$A$30,SMALL(IF($N$7:$N$30&lt;&gt;"",IF($K$7:$K$30&lt;&gt;"",ROW($K$7:$K$30)-MIN(ROW($K$7:$K$30))+1,""),""),ROW()-ROW(A$32)+1))),),"")</f>
        <v/>
      </c>
      <c r="Q39" s="0" t="str">
        <f aca="false">IFERROR(CONCATENATE((INDEX($T$7:$T$30,SMALL(IF($T$7:$T$30&lt;&gt;"",IF($Q$7:$Q$30&lt;&gt;"",ROW($Q$7:$Q$30)-MIN(ROW($Q$7:$Q$30))+1,""),""),ROW()-ROW(A$32)+1)))," "),"")</f>
        <v/>
      </c>
      <c r="R39" s="0" t="str">
        <f aca="false">IFERROR(CONCATENATE(TEXT(INDEX($Q$7:$Q$30,SMALL(IF($T$7:$T$30&lt;&gt;"",IF($Q$7:$Q$30&lt;&gt;"",ROW($Q$7:$Q$30)-MIN(ROW($Q$7:$Q$30))+1,""),""),ROW()-ROW(A$32)+1)),"##0")," "),"")</f>
        <v/>
      </c>
      <c r="S39" s="0" t="str">
        <f aca="false">IFERROR(CONCATENATE((INDEX($A$7:$A$30,SMALL(IF($T$7:$T$30&lt;&gt;"",IF($Q$7:$Q$30&lt;&gt;"",ROW($Q$7:$Q$30)-MIN(ROW($Q$7:$Q$30))+1,""),""),ROW()-ROW(A$32)+1))),),"")</f>
        <v/>
      </c>
      <c r="W39" s="0" t="str">
        <f aca="false">IFERROR(CONCATENATE((INDEX($Z$7:$Z$30,SMALL(IF($Z$7:$Z$30&lt;&gt;"",IF($W$7:$W$30&lt;&gt;"",ROW($W$7:$W$30)-MIN(ROW($W$7:$W$30))+1,""),""),ROW()-ROW(A$32)+1))),","),"")</f>
        <v/>
      </c>
      <c r="X39" s="0" t="str">
        <f aca="false">IFERROR(CONCATENATE(TEXT(INDEX($W$7:$W$30,SMALL(IF($Z$7:$Z$30&lt;&gt;"",IF($W$7:$W$30&lt;&gt;"",ROW($W$7:$W$30)-MIN(ROW($W$7:$W$30))+1,""),""),ROW()-ROW(A$32)+1)),"##0"),","),"")</f>
        <v/>
      </c>
      <c r="Y39" s="0" t="str">
        <f aca="false">IFERROR(CONCATENATE((INDEX($A$7:$A$30,SMALL(IF($Z$7:$Z$30&lt;&gt;"",IF($W$7:$W$30&lt;&gt;"",ROW($W$7:$W$30)-MIN(ROW($W$7:$W$30))+1,""),""),ROW()-ROW(A$32)+1))),),"")</f>
        <v/>
      </c>
    </row>
    <row r="40" customFormat="false" ht="15" hidden="false" customHeight="false" outlineLevel="0" collapsed="false">
      <c r="K40" s="0" t="str">
        <f aca="false">IFERROR(CONCATENATE(TEXT(INDEX($K$7:$K$30,SMALL(IF($N$7:$N$30&lt;&gt;"",IF($K$7:$K$30&lt;&gt;"",ROW($K$7:$K$30)-MIN(ROW($K$7:$K$30))+1,""),""),ROW()-ROW(A$32)+1)),"##0"),","),"")</f>
        <v/>
      </c>
      <c r="L40" s="0" t="str">
        <f aca="false">IFERROR(CONCATENATE((INDEX($N$7:$N$30,SMALL(IF($N$7:$N$30&lt;&gt;"",IF($K$7:$K$30&lt;&gt;"",ROW($K$7:$K$30)-MIN(ROW($K$7:$K$30))+1,""),""),ROW()-ROW(A$32)+1))),","),"")</f>
        <v/>
      </c>
      <c r="M40" s="0" t="str">
        <f aca="false">IFERROR(CONCATENATE((INDEX($A$7:$A$30,SMALL(IF($N$7:$N$30&lt;&gt;"",IF($K$7:$K$30&lt;&gt;"",ROW($K$7:$K$30)-MIN(ROW($K$7:$K$30))+1,""),""),ROW()-ROW(A$32)+1))),),"")</f>
        <v/>
      </c>
      <c r="Q40" s="0" t="str">
        <f aca="false">IFERROR(CONCATENATE((INDEX($T$7:$T$30,SMALL(IF($T$7:$T$30&lt;&gt;"",IF($Q$7:$Q$30&lt;&gt;"",ROW($Q$7:$Q$30)-MIN(ROW($Q$7:$Q$30))+1,""),""),ROW()-ROW(A$32)+1)))," "),"")</f>
        <v/>
      </c>
      <c r="R40" s="0" t="str">
        <f aca="false">IFERROR(CONCATENATE(TEXT(INDEX($Q$7:$Q$30,SMALL(IF($T$7:$T$30&lt;&gt;"",IF($Q$7:$Q$30&lt;&gt;"",ROW($Q$7:$Q$30)-MIN(ROW($Q$7:$Q$30))+1,""),""),ROW()-ROW(A$32)+1)),"##0")," "),"")</f>
        <v/>
      </c>
      <c r="S40" s="0" t="str">
        <f aca="false">IFERROR(CONCATENATE((INDEX($A$7:$A$30,SMALL(IF($T$7:$T$30&lt;&gt;"",IF($Q$7:$Q$30&lt;&gt;"",ROW($Q$7:$Q$30)-MIN(ROW($Q$7:$Q$30))+1,""),""),ROW()-ROW(A$32)+1))),),"")</f>
        <v/>
      </c>
      <c r="W40" s="0" t="str">
        <f aca="false">IFERROR(CONCATENATE((INDEX($Z$7:$Z$30,SMALL(IF($Z$7:$Z$30&lt;&gt;"",IF($W$7:$W$30&lt;&gt;"",ROW($W$7:$W$30)-MIN(ROW($W$7:$W$30))+1,""),""),ROW()-ROW(A$32)+1))),","),"")</f>
        <v/>
      </c>
      <c r="X40" s="0" t="str">
        <f aca="false">IFERROR(CONCATENATE(TEXT(INDEX($W$7:$W$30,SMALL(IF($Z$7:$Z$30&lt;&gt;"",IF($W$7:$W$30&lt;&gt;"",ROW($W$7:$W$30)-MIN(ROW($W$7:$W$30))+1,""),""),ROW()-ROW(A$32)+1)),"##0"),","),"")</f>
        <v/>
      </c>
      <c r="Y40" s="0" t="str">
        <f aca="false">IFERROR(CONCATENATE((INDEX($A$7:$A$30,SMALL(IF($Z$7:$Z$30&lt;&gt;"",IF($W$7:$W$30&lt;&gt;"",ROW($W$7:$W$30)-MIN(ROW($W$7:$W$30))+1,""),""),ROW()-ROW(A$32)+1))),),"")</f>
        <v/>
      </c>
    </row>
    <row r="41" customFormat="false" ht="15" hidden="false" customHeight="false" outlineLevel="0" collapsed="false">
      <c r="K41" s="0" t="str">
        <f aca="false">IFERROR(CONCATENATE(TEXT(INDEX($K$7:$K$30,SMALL(IF($N$7:$N$30&lt;&gt;"",IF($K$7:$K$30&lt;&gt;"",ROW($K$7:$K$30)-MIN(ROW($K$7:$K$30))+1,""),""),ROW()-ROW(A$32)+1)),"##0"),","),"")</f>
        <v/>
      </c>
      <c r="L41" s="0" t="str">
        <f aca="false">IFERROR(CONCATENATE((INDEX($N$7:$N$30,SMALL(IF($N$7:$N$30&lt;&gt;"",IF($K$7:$K$30&lt;&gt;"",ROW($K$7:$K$30)-MIN(ROW($K$7:$K$30))+1,""),""),ROW()-ROW(A$32)+1))),","),"")</f>
        <v/>
      </c>
      <c r="M41" s="0" t="str">
        <f aca="false">IFERROR(CONCATENATE((INDEX($A$7:$A$30,SMALL(IF($N$7:$N$30&lt;&gt;"",IF($K$7:$K$30&lt;&gt;"",ROW($K$7:$K$30)-MIN(ROW($K$7:$K$30))+1,""),""),ROW()-ROW(A$32)+1))),),"")</f>
        <v/>
      </c>
      <c r="Q41" s="0" t="str">
        <f aca="false">IFERROR(CONCATENATE((INDEX($T$7:$T$30,SMALL(IF($T$7:$T$30&lt;&gt;"",IF($Q$7:$Q$30&lt;&gt;"",ROW($Q$7:$Q$30)-MIN(ROW($Q$7:$Q$30))+1,""),""),ROW()-ROW(A$32)+1)))," "),"")</f>
        <v/>
      </c>
      <c r="R41" s="0" t="str">
        <f aca="false">IFERROR(CONCATENATE(TEXT(INDEX($Q$7:$Q$30,SMALL(IF($T$7:$T$30&lt;&gt;"",IF($Q$7:$Q$30&lt;&gt;"",ROW($Q$7:$Q$30)-MIN(ROW($Q$7:$Q$30))+1,""),""),ROW()-ROW(A$32)+1)),"##0")," "),"")</f>
        <v/>
      </c>
      <c r="S41" s="0" t="str">
        <f aca="false">IFERROR(CONCATENATE((INDEX($A$7:$A$30,SMALL(IF($T$7:$T$30&lt;&gt;"",IF($Q$7:$Q$30&lt;&gt;"",ROW($Q$7:$Q$30)-MIN(ROW($Q$7:$Q$30))+1,""),""),ROW()-ROW(A$32)+1))),),"")</f>
        <v/>
      </c>
      <c r="W41" s="0" t="str">
        <f aca="false">IFERROR(CONCATENATE((INDEX($Z$7:$Z$30,SMALL(IF($Z$7:$Z$30&lt;&gt;"",IF($W$7:$W$30&lt;&gt;"",ROW($W$7:$W$30)-MIN(ROW($W$7:$W$30))+1,""),""),ROW()-ROW(A$32)+1))),","),"")</f>
        <v/>
      </c>
      <c r="X41" s="0" t="str">
        <f aca="false">IFERROR(CONCATENATE(TEXT(INDEX($W$7:$W$30,SMALL(IF($Z$7:$Z$30&lt;&gt;"",IF($W$7:$W$30&lt;&gt;"",ROW($W$7:$W$30)-MIN(ROW($W$7:$W$30))+1,""),""),ROW()-ROW(A$32)+1)),"##0"),","),"")</f>
        <v/>
      </c>
      <c r="Y41" s="0" t="str">
        <f aca="false">IFERROR(CONCATENATE((INDEX($A$7:$A$30,SMALL(IF($Z$7:$Z$30&lt;&gt;"",IF($W$7:$W$30&lt;&gt;"",ROW($W$7:$W$30)-MIN(ROW($W$7:$W$30))+1,""),""),ROW()-ROW(A$32)+1))),),"")</f>
        <v/>
      </c>
    </row>
    <row r="42" customFormat="false" ht="15" hidden="false" customHeight="false" outlineLevel="0" collapsed="false">
      <c r="K42" s="0" t="str">
        <f aca="false">IFERROR(CONCATENATE(TEXT(INDEX($K$7:$K$30,SMALL(IF($N$7:$N$30&lt;&gt;"",IF($K$7:$K$30&lt;&gt;"",ROW($K$7:$K$30)-MIN(ROW($K$7:$K$30))+1,""),""),ROW()-ROW(A$32)+1)),"##0"),","),"")</f>
        <v/>
      </c>
      <c r="L42" s="0" t="str">
        <f aca="false">IFERROR(CONCATENATE((INDEX($N$7:$N$30,SMALL(IF($N$7:$N$30&lt;&gt;"",IF($K$7:$K$30&lt;&gt;"",ROW($K$7:$K$30)-MIN(ROW($K$7:$K$30))+1,""),""),ROW()-ROW(A$32)+1))),","),"")</f>
        <v/>
      </c>
      <c r="M42" s="0" t="str">
        <f aca="false">IFERROR(CONCATENATE((INDEX($A$7:$A$30,SMALL(IF($N$7:$N$30&lt;&gt;"",IF($K$7:$K$30&lt;&gt;"",ROW($K$7:$K$30)-MIN(ROW($K$7:$K$30))+1,""),""),ROW()-ROW(A$32)+1))),),"")</f>
        <v/>
      </c>
      <c r="Q42" s="0" t="str">
        <f aca="false">IFERROR(CONCATENATE((INDEX($T$7:$T$30,SMALL(IF($T$7:$T$30&lt;&gt;"",IF($Q$7:$Q$30&lt;&gt;"",ROW($Q$7:$Q$30)-MIN(ROW($Q$7:$Q$30))+1,""),""),ROW()-ROW(A$32)+1)))," "),"")</f>
        <v/>
      </c>
      <c r="R42" s="0" t="str">
        <f aca="false">IFERROR(CONCATENATE(TEXT(INDEX($Q$7:$Q$30,SMALL(IF($T$7:$T$30&lt;&gt;"",IF($Q$7:$Q$30&lt;&gt;"",ROW($Q$7:$Q$30)-MIN(ROW($Q$7:$Q$30))+1,""),""),ROW()-ROW(A$32)+1)),"##0")," "),"")</f>
        <v/>
      </c>
      <c r="S42" s="0" t="str">
        <f aca="false">IFERROR(CONCATENATE((INDEX($A$7:$A$30,SMALL(IF($T$7:$T$30&lt;&gt;"",IF($Q$7:$Q$30&lt;&gt;"",ROW($Q$7:$Q$30)-MIN(ROW($Q$7:$Q$30))+1,""),""),ROW()-ROW(A$32)+1))),),"")</f>
        <v/>
      </c>
      <c r="W42" s="0" t="str">
        <f aca="false">IFERROR(CONCATENATE((INDEX($Z$7:$Z$30,SMALL(IF($Z$7:$Z$30&lt;&gt;"",IF($W$7:$W$30&lt;&gt;"",ROW($W$7:$W$30)-MIN(ROW($W$7:$W$30))+1,""),""),ROW()-ROW(A$32)+1))),","),"")</f>
        <v/>
      </c>
      <c r="X42" s="0" t="str">
        <f aca="false">IFERROR(CONCATENATE(TEXT(INDEX($W$7:$W$30,SMALL(IF($Z$7:$Z$30&lt;&gt;"",IF($W$7:$W$30&lt;&gt;"",ROW($W$7:$W$30)-MIN(ROW($W$7:$W$30))+1,""),""),ROW()-ROW(A$32)+1)),"##0"),","),"")</f>
        <v/>
      </c>
      <c r="Y42" s="0" t="str">
        <f aca="false">IFERROR(CONCATENATE((INDEX($A$7:$A$30,SMALL(IF($Z$7:$Z$30&lt;&gt;"",IF($W$7:$W$30&lt;&gt;"",ROW($W$7:$W$30)-MIN(ROW($W$7:$W$30))+1,""),""),ROW()-ROW(A$32)+1))),),"")</f>
        <v/>
      </c>
    </row>
    <row r="43" customFormat="false" ht="15" hidden="false" customHeight="false" outlineLevel="0" collapsed="false">
      <c r="K43" s="0" t="str">
        <f aca="false">IFERROR(CONCATENATE(TEXT(INDEX($K$7:$K$30,SMALL(IF($N$7:$N$30&lt;&gt;"",IF($K$7:$K$30&lt;&gt;"",ROW($K$7:$K$30)-MIN(ROW($K$7:$K$30))+1,""),""),ROW()-ROW(A$32)+1)),"##0"),","),"")</f>
        <v/>
      </c>
      <c r="L43" s="0" t="str">
        <f aca="false">IFERROR(CONCATENATE((INDEX($N$7:$N$30,SMALL(IF($N$7:$N$30&lt;&gt;"",IF($K$7:$K$30&lt;&gt;"",ROW($K$7:$K$30)-MIN(ROW($K$7:$K$30))+1,""),""),ROW()-ROW(A$32)+1))),","),"")</f>
        <v/>
      </c>
      <c r="M43" s="0" t="str">
        <f aca="false">IFERROR(CONCATENATE((INDEX($A$7:$A$30,SMALL(IF($N$7:$N$30&lt;&gt;"",IF($K$7:$K$30&lt;&gt;"",ROW($K$7:$K$30)-MIN(ROW($K$7:$K$30))+1,""),""),ROW()-ROW(A$32)+1))),),"")</f>
        <v/>
      </c>
      <c r="Q43" s="0" t="str">
        <f aca="false">IFERROR(CONCATENATE((INDEX($T$7:$T$30,SMALL(IF($T$7:$T$30&lt;&gt;"",IF($Q$7:$Q$30&lt;&gt;"",ROW($Q$7:$Q$30)-MIN(ROW($Q$7:$Q$30))+1,""),""),ROW()-ROW(A$32)+1)))," "),"")</f>
        <v/>
      </c>
      <c r="R43" s="0" t="str">
        <f aca="false">IFERROR(CONCATENATE(TEXT(INDEX($Q$7:$Q$30,SMALL(IF($T$7:$T$30&lt;&gt;"",IF($Q$7:$Q$30&lt;&gt;"",ROW($Q$7:$Q$30)-MIN(ROW($Q$7:$Q$30))+1,""),""),ROW()-ROW(A$32)+1)),"##0")," "),"")</f>
        <v/>
      </c>
      <c r="S43" s="0" t="str">
        <f aca="false">IFERROR(CONCATENATE((INDEX($A$7:$A$30,SMALL(IF($T$7:$T$30&lt;&gt;"",IF($Q$7:$Q$30&lt;&gt;"",ROW($Q$7:$Q$30)-MIN(ROW($Q$7:$Q$30))+1,""),""),ROW()-ROW(A$32)+1))),),"")</f>
        <v/>
      </c>
      <c r="W43" s="0" t="str">
        <f aca="false">IFERROR(CONCATENATE((INDEX($Z$7:$Z$30,SMALL(IF($Z$7:$Z$30&lt;&gt;"",IF($W$7:$W$30&lt;&gt;"",ROW($W$7:$W$30)-MIN(ROW($W$7:$W$30))+1,""),""),ROW()-ROW(A$32)+1))),","),"")</f>
        <v/>
      </c>
      <c r="X43" s="0" t="str">
        <f aca="false">IFERROR(CONCATENATE(TEXT(INDEX($W$7:$W$30,SMALL(IF($Z$7:$Z$30&lt;&gt;"",IF($W$7:$W$30&lt;&gt;"",ROW($W$7:$W$30)-MIN(ROW($W$7:$W$30))+1,""),""),ROW()-ROW(A$32)+1)),"##0"),","),"")</f>
        <v/>
      </c>
      <c r="Y43" s="0" t="str">
        <f aca="false">IFERROR(CONCATENATE((INDEX($A$7:$A$30,SMALL(IF($Z$7:$Z$30&lt;&gt;"",IF($W$7:$W$30&lt;&gt;"",ROW($W$7:$W$30)-MIN(ROW($W$7:$W$30))+1,""),""),ROW()-ROW(A$32)+1))),),"")</f>
        <v/>
      </c>
    </row>
    <row r="44" customFormat="false" ht="15" hidden="false" customHeight="false" outlineLevel="0" collapsed="false">
      <c r="K44" s="0" t="str">
        <f aca="false">IFERROR(CONCATENATE(TEXT(INDEX($K$7:$K$30,SMALL(IF($N$7:$N$30&lt;&gt;"",IF($K$7:$K$30&lt;&gt;"",ROW($K$7:$K$30)-MIN(ROW($K$7:$K$30))+1,""),""),ROW()-ROW(A$32)+1)),"##0"),","),"")</f>
        <v/>
      </c>
      <c r="L44" s="0" t="str">
        <f aca="false">IFERROR(CONCATENATE((INDEX($N$7:$N$30,SMALL(IF($N$7:$N$30&lt;&gt;"",IF($K$7:$K$30&lt;&gt;"",ROW($K$7:$K$30)-MIN(ROW($K$7:$K$30))+1,""),""),ROW()-ROW(A$32)+1))),","),"")</f>
        <v/>
      </c>
      <c r="M44" s="0" t="str">
        <f aca="false">IFERROR(CONCATENATE((INDEX($A$7:$A$30,SMALL(IF($N$7:$N$30&lt;&gt;"",IF($K$7:$K$30&lt;&gt;"",ROW($K$7:$K$30)-MIN(ROW($K$7:$K$30))+1,""),""),ROW()-ROW(A$32)+1))),),"")</f>
        <v/>
      </c>
      <c r="Q44" s="0" t="str">
        <f aca="false">IFERROR(CONCATENATE((INDEX($T$7:$T$30,SMALL(IF($T$7:$T$30&lt;&gt;"",IF($Q$7:$Q$30&lt;&gt;"",ROW($Q$7:$Q$30)-MIN(ROW($Q$7:$Q$30))+1,""),""),ROW()-ROW(A$32)+1)))," "),"")</f>
        <v/>
      </c>
      <c r="R44" s="0" t="str">
        <f aca="false">IFERROR(CONCATENATE(TEXT(INDEX($Q$7:$Q$30,SMALL(IF($T$7:$T$30&lt;&gt;"",IF($Q$7:$Q$30&lt;&gt;"",ROW($Q$7:$Q$30)-MIN(ROW($Q$7:$Q$30))+1,""),""),ROW()-ROW(A$32)+1)),"##0")," "),"")</f>
        <v/>
      </c>
      <c r="S44" s="0" t="str">
        <f aca="false">IFERROR(CONCATENATE((INDEX($A$7:$A$30,SMALL(IF($T$7:$T$30&lt;&gt;"",IF($Q$7:$Q$30&lt;&gt;"",ROW($Q$7:$Q$30)-MIN(ROW($Q$7:$Q$30))+1,""),""),ROW()-ROW(A$32)+1))),),"")</f>
        <v/>
      </c>
      <c r="W44" s="0" t="str">
        <f aca="false">IFERROR(CONCATENATE((INDEX($Z$7:$Z$30,SMALL(IF($Z$7:$Z$30&lt;&gt;"",IF($W$7:$W$30&lt;&gt;"",ROW($W$7:$W$30)-MIN(ROW($W$7:$W$30))+1,""),""),ROW()-ROW(A$32)+1))),","),"")</f>
        <v/>
      </c>
      <c r="X44" s="0" t="str">
        <f aca="false">IFERROR(CONCATENATE(TEXT(INDEX($W$7:$W$30,SMALL(IF($Z$7:$Z$30&lt;&gt;"",IF($W$7:$W$30&lt;&gt;"",ROW($W$7:$W$30)-MIN(ROW($W$7:$W$30))+1,""),""),ROW()-ROW(A$32)+1)),"##0"),","),"")</f>
        <v/>
      </c>
      <c r="Y44" s="0" t="str">
        <f aca="false">IFERROR(CONCATENATE((INDEX($A$7:$A$30,SMALL(IF($Z$7:$Z$30&lt;&gt;"",IF($W$7:$W$30&lt;&gt;"",ROW($W$7:$W$30)-MIN(ROW($W$7:$W$30))+1,""),""),ROW()-ROW(A$32)+1))),),"")</f>
        <v/>
      </c>
    </row>
    <row r="45" customFormat="false" ht="15" hidden="false" customHeight="false" outlineLevel="0" collapsed="false">
      <c r="K45" s="0" t="str">
        <f aca="false">IFERROR(CONCATENATE(TEXT(INDEX($K$7:$K$30,SMALL(IF($N$7:$N$30&lt;&gt;"",IF($K$7:$K$30&lt;&gt;"",ROW($K$7:$K$30)-MIN(ROW($K$7:$K$30))+1,""),""),ROW()-ROW(A$32)+1)),"##0"),","),"")</f>
        <v/>
      </c>
      <c r="L45" s="0" t="str">
        <f aca="false">IFERROR(CONCATENATE((INDEX($N$7:$N$30,SMALL(IF($N$7:$N$30&lt;&gt;"",IF($K$7:$K$30&lt;&gt;"",ROW($K$7:$K$30)-MIN(ROW($K$7:$K$30))+1,""),""),ROW()-ROW(A$32)+1))),","),"")</f>
        <v/>
      </c>
      <c r="M45" s="0" t="str">
        <f aca="false">IFERROR(CONCATENATE((INDEX($A$7:$A$30,SMALL(IF($N$7:$N$30&lt;&gt;"",IF($K$7:$K$30&lt;&gt;"",ROW($K$7:$K$30)-MIN(ROW($K$7:$K$30))+1,""),""),ROW()-ROW(A$32)+1))),),"")</f>
        <v/>
      </c>
      <c r="Q45" s="0" t="str">
        <f aca="false">IFERROR(CONCATENATE((INDEX($T$7:$T$30,SMALL(IF($T$7:$T$30&lt;&gt;"",IF($Q$7:$Q$30&lt;&gt;"",ROW($Q$7:$Q$30)-MIN(ROW($Q$7:$Q$30))+1,""),""),ROW()-ROW(A$32)+1)))," "),"")</f>
        <v/>
      </c>
      <c r="R45" s="0" t="str">
        <f aca="false">IFERROR(CONCATENATE(TEXT(INDEX($Q$7:$Q$30,SMALL(IF($T$7:$T$30&lt;&gt;"",IF($Q$7:$Q$30&lt;&gt;"",ROW($Q$7:$Q$30)-MIN(ROW($Q$7:$Q$30))+1,""),""),ROW()-ROW(A$32)+1)),"##0")," "),"")</f>
        <v/>
      </c>
      <c r="S45" s="0" t="str">
        <f aca="false">IFERROR(CONCATENATE((INDEX($A$7:$A$30,SMALL(IF($T$7:$T$30&lt;&gt;"",IF($Q$7:$Q$30&lt;&gt;"",ROW($Q$7:$Q$30)-MIN(ROW($Q$7:$Q$30))+1,""),""),ROW()-ROW(A$32)+1))),),"")</f>
        <v/>
      </c>
      <c r="W45" s="0" t="str">
        <f aca="false">IFERROR(CONCATENATE((INDEX($Z$7:$Z$30,SMALL(IF($Z$7:$Z$30&lt;&gt;"",IF($W$7:$W$30&lt;&gt;"",ROW($W$7:$W$30)-MIN(ROW($W$7:$W$30))+1,""),""),ROW()-ROW(A$32)+1))),","),"")</f>
        <v/>
      </c>
      <c r="X45" s="0" t="str">
        <f aca="false">IFERROR(CONCATENATE(TEXT(INDEX($W$7:$W$30,SMALL(IF($Z$7:$Z$30&lt;&gt;"",IF($W$7:$W$30&lt;&gt;"",ROW($W$7:$W$30)-MIN(ROW($W$7:$W$30))+1,""),""),ROW()-ROW(A$32)+1)),"##0"),","),"")</f>
        <v/>
      </c>
      <c r="Y45" s="0" t="str">
        <f aca="false">IFERROR(CONCATENATE((INDEX($A$7:$A$30,SMALL(IF($Z$7:$Z$30&lt;&gt;"",IF($W$7:$W$30&lt;&gt;"",ROW($W$7:$W$30)-MIN(ROW($W$7:$W$30))+1,""),""),ROW()-ROW(A$32)+1))),),"")</f>
        <v/>
      </c>
    </row>
    <row r="46" customFormat="false" ht="15" hidden="false" customHeight="false" outlineLevel="0" collapsed="false">
      <c r="K46" s="0" t="str">
        <f aca="false">IFERROR(CONCATENATE(TEXT(INDEX($K$7:$K$30,SMALL(IF($N$7:$N$30&lt;&gt;"",IF($K$7:$K$30&lt;&gt;"",ROW($K$7:$K$30)-MIN(ROW($K$7:$K$30))+1,""),""),ROW()-ROW(A$32)+1)),"##0"),","),"")</f>
        <v/>
      </c>
      <c r="L46" s="0" t="str">
        <f aca="false">IFERROR(CONCATENATE((INDEX($N$7:$N$30,SMALL(IF($N$7:$N$30&lt;&gt;"",IF($K$7:$K$30&lt;&gt;"",ROW($K$7:$K$30)-MIN(ROW($K$7:$K$30))+1,""),""),ROW()-ROW(A$32)+1))),","),"")</f>
        <v/>
      </c>
      <c r="M46" s="0" t="str">
        <f aca="false">IFERROR(CONCATENATE((INDEX($A$7:$A$30,SMALL(IF($N$7:$N$30&lt;&gt;"",IF($K$7:$K$30&lt;&gt;"",ROW($K$7:$K$30)-MIN(ROW($K$7:$K$30))+1,""),""),ROW()-ROW(A$32)+1))),),"")</f>
        <v/>
      </c>
      <c r="Q46" s="0" t="str">
        <f aca="false">IFERROR(CONCATENATE((INDEX($T$7:$T$30,SMALL(IF($T$7:$T$30&lt;&gt;"",IF($Q$7:$Q$30&lt;&gt;"",ROW($Q$7:$Q$30)-MIN(ROW($Q$7:$Q$30))+1,""),""),ROW()-ROW(A$32)+1)))," "),"")</f>
        <v/>
      </c>
      <c r="R46" s="0" t="str">
        <f aca="false">IFERROR(CONCATENATE(TEXT(INDEX($Q$7:$Q$30,SMALL(IF($T$7:$T$30&lt;&gt;"",IF($Q$7:$Q$30&lt;&gt;"",ROW($Q$7:$Q$30)-MIN(ROW($Q$7:$Q$30))+1,""),""),ROW()-ROW(A$32)+1)),"##0")," "),"")</f>
        <v/>
      </c>
      <c r="S46" s="0" t="str">
        <f aca="false">IFERROR(CONCATENATE((INDEX($A$7:$A$30,SMALL(IF($T$7:$T$30&lt;&gt;"",IF($Q$7:$Q$30&lt;&gt;"",ROW($Q$7:$Q$30)-MIN(ROW($Q$7:$Q$30))+1,""),""),ROW()-ROW(A$32)+1))),),"")</f>
        <v/>
      </c>
      <c r="W46" s="0" t="str">
        <f aca="false">IFERROR(CONCATENATE((INDEX($Z$7:$Z$30,SMALL(IF($Z$7:$Z$30&lt;&gt;"",IF($W$7:$W$30&lt;&gt;"",ROW($W$7:$W$30)-MIN(ROW($W$7:$W$30))+1,""),""),ROW()-ROW(A$32)+1))),","),"")</f>
        <v/>
      </c>
      <c r="X46" s="0" t="str">
        <f aca="false">IFERROR(CONCATENATE(TEXT(INDEX($W$7:$W$30,SMALL(IF($Z$7:$Z$30&lt;&gt;"",IF($W$7:$W$30&lt;&gt;"",ROW($W$7:$W$30)-MIN(ROW($W$7:$W$30))+1,""),""),ROW()-ROW(A$32)+1)),"##0"),","),"")</f>
        <v/>
      </c>
      <c r="Y46" s="0" t="str">
        <f aca="false">IFERROR(CONCATENATE((INDEX($A$7:$A$30,SMALL(IF($Z$7:$Z$30&lt;&gt;"",IF($W$7:$W$30&lt;&gt;"",ROW($W$7:$W$30)-MIN(ROW($W$7:$W$30))+1,""),""),ROW()-ROW(A$32)+1))),),"")</f>
        <v/>
      </c>
    </row>
    <row r="47" customFormat="false" ht="15" hidden="false" customHeight="false" outlineLevel="0" collapsed="false">
      <c r="K47" s="0" t="str">
        <f aca="false">IFERROR(CONCATENATE(TEXT(INDEX($K$7:$K$30,SMALL(IF($N$7:$N$30&lt;&gt;"",IF($K$7:$K$30&lt;&gt;"",ROW($K$7:$K$30)-MIN(ROW($K$7:$K$30))+1,""),""),ROW()-ROW(A$32)+1)),"##0"),","),"")</f>
        <v/>
      </c>
      <c r="L47" s="0" t="str">
        <f aca="false">IFERROR(CONCATENATE((INDEX($N$7:$N$30,SMALL(IF($N$7:$N$30&lt;&gt;"",IF($K$7:$K$30&lt;&gt;"",ROW($K$7:$K$30)-MIN(ROW($K$7:$K$30))+1,""),""),ROW()-ROW(A$32)+1))),","),"")</f>
        <v/>
      </c>
      <c r="M47" s="0" t="str">
        <f aca="false">IFERROR(CONCATENATE((INDEX($A$7:$A$30,SMALL(IF($N$7:$N$30&lt;&gt;"",IF($K$7:$K$30&lt;&gt;"",ROW($K$7:$K$30)-MIN(ROW($K$7:$K$30))+1,""),""),ROW()-ROW(A$32)+1))),),"")</f>
        <v/>
      </c>
      <c r="Q47" s="0" t="str">
        <f aca="false">IFERROR(CONCATENATE((INDEX($T$7:$T$30,SMALL(IF($T$7:$T$30&lt;&gt;"",IF($Q$7:$Q$30&lt;&gt;"",ROW($Q$7:$Q$30)-MIN(ROW($Q$7:$Q$30))+1,""),""),ROW()-ROW(A$32)+1)))," "),"")</f>
        <v/>
      </c>
      <c r="R47" s="0" t="str">
        <f aca="false">IFERROR(CONCATENATE(TEXT(INDEX($Q$7:$Q$30,SMALL(IF($T$7:$T$30&lt;&gt;"",IF($Q$7:$Q$30&lt;&gt;"",ROW($Q$7:$Q$30)-MIN(ROW($Q$7:$Q$30))+1,""),""),ROW()-ROW(A$32)+1)),"##0")," "),"")</f>
        <v/>
      </c>
      <c r="S47" s="0" t="str">
        <f aca="false">IFERROR(CONCATENATE((INDEX($A$7:$A$30,SMALL(IF($T$7:$T$30&lt;&gt;"",IF($Q$7:$Q$30&lt;&gt;"",ROW($Q$7:$Q$30)-MIN(ROW($Q$7:$Q$30))+1,""),""),ROW()-ROW(A$32)+1))),),"")</f>
        <v/>
      </c>
      <c r="W47" s="0" t="str">
        <f aca="false">IFERROR(CONCATENATE((INDEX($Z$7:$Z$30,SMALL(IF($Z$7:$Z$30&lt;&gt;"",IF($W$7:$W$30&lt;&gt;"",ROW($W$7:$W$30)-MIN(ROW($W$7:$W$30))+1,""),""),ROW()-ROW(A$32)+1))),","),"")</f>
        <v/>
      </c>
      <c r="X47" s="0" t="str">
        <f aca="false">IFERROR(CONCATENATE(TEXT(INDEX($W$7:$W$30,SMALL(IF($Z$7:$Z$30&lt;&gt;"",IF($W$7:$W$30&lt;&gt;"",ROW($W$7:$W$30)-MIN(ROW($W$7:$W$30))+1,""),""),ROW()-ROW(A$32)+1)),"##0"),","),"")</f>
        <v/>
      </c>
      <c r="Y47" s="0" t="str">
        <f aca="false">IFERROR(CONCATENATE((INDEX($A$7:$A$30,SMALL(IF($Z$7:$Z$30&lt;&gt;"",IF($W$7:$W$30&lt;&gt;"",ROW($W$7:$W$30)-MIN(ROW($W$7:$W$30))+1,""),""),ROW()-ROW(A$32)+1))),),"")</f>
        <v/>
      </c>
    </row>
    <row r="48" customFormat="false" ht="15" hidden="false" customHeight="false" outlineLevel="0" collapsed="false">
      <c r="K48" s="0" t="str">
        <f aca="false">IFERROR(CONCATENATE(TEXT(INDEX($K$7:$K$30,SMALL(IF($N$7:$N$30&lt;&gt;"",IF($K$7:$K$30&lt;&gt;"",ROW($K$7:$K$30)-MIN(ROW($K$7:$K$30))+1,""),""),ROW()-ROW(A$32)+1)),"##0"),","),"")</f>
        <v/>
      </c>
      <c r="L48" s="0" t="str">
        <f aca="false">IFERROR(CONCATENATE((INDEX($N$7:$N$30,SMALL(IF($N$7:$N$30&lt;&gt;"",IF($K$7:$K$30&lt;&gt;"",ROW($K$7:$K$30)-MIN(ROW($K$7:$K$30))+1,""),""),ROW()-ROW(A$32)+1))),","),"")</f>
        <v/>
      </c>
      <c r="M48" s="0" t="str">
        <f aca="false">IFERROR(CONCATENATE((INDEX($A$7:$A$30,SMALL(IF($N$7:$N$30&lt;&gt;"",IF($K$7:$K$30&lt;&gt;"",ROW($K$7:$K$30)-MIN(ROW($K$7:$K$30))+1,""),""),ROW()-ROW(A$32)+1))),),"")</f>
        <v/>
      </c>
      <c r="Q48" s="0" t="str">
        <f aca="false">IFERROR(CONCATENATE((INDEX($T$7:$T$30,SMALL(IF($T$7:$T$30&lt;&gt;"",IF($Q$7:$Q$30&lt;&gt;"",ROW($Q$7:$Q$30)-MIN(ROW($Q$7:$Q$30))+1,""),""),ROW()-ROW(A$32)+1)))," "),"")</f>
        <v/>
      </c>
      <c r="R48" s="0" t="str">
        <f aca="false">IFERROR(CONCATENATE(TEXT(INDEX($Q$7:$Q$30,SMALL(IF($T$7:$T$30&lt;&gt;"",IF($Q$7:$Q$30&lt;&gt;"",ROW($Q$7:$Q$30)-MIN(ROW($Q$7:$Q$30))+1,""),""),ROW()-ROW(A$32)+1)),"##0")," "),"")</f>
        <v/>
      </c>
      <c r="S48" s="0" t="str">
        <f aca="false">IFERROR(CONCATENATE((INDEX($A$7:$A$30,SMALL(IF($T$7:$T$30&lt;&gt;"",IF($Q$7:$Q$30&lt;&gt;"",ROW($Q$7:$Q$30)-MIN(ROW($Q$7:$Q$30))+1,""),""),ROW()-ROW(A$32)+1))),),"")</f>
        <v/>
      </c>
      <c r="W48" s="0" t="str">
        <f aca="false">IFERROR(CONCATENATE((INDEX($Z$7:$Z$30,SMALL(IF($Z$7:$Z$30&lt;&gt;"",IF($W$7:$W$30&lt;&gt;"",ROW($W$7:$W$30)-MIN(ROW($W$7:$W$30))+1,""),""),ROW()-ROW(A$32)+1))),","),"")</f>
        <v/>
      </c>
      <c r="X48" s="0" t="str">
        <f aca="false">IFERROR(CONCATENATE(TEXT(INDEX($W$7:$W$30,SMALL(IF($Z$7:$Z$30&lt;&gt;"",IF($W$7:$W$30&lt;&gt;"",ROW($W$7:$W$30)-MIN(ROW($W$7:$W$30))+1,""),""),ROW()-ROW(A$32)+1)),"##0"),","),"")</f>
        <v/>
      </c>
      <c r="Y48" s="0" t="str">
        <f aca="false">IFERROR(CONCATENATE((INDEX($A$7:$A$30,SMALL(IF($Z$7:$Z$30&lt;&gt;"",IF($W$7:$W$30&lt;&gt;"",ROW($W$7:$W$30)-MIN(ROW($W$7:$W$30))+1,""),""),ROW()-ROW(A$32)+1))),),"")</f>
        <v/>
      </c>
    </row>
    <row r="49" customFormat="false" ht="15" hidden="false" customHeight="false" outlineLevel="0" collapsed="false">
      <c r="K49" s="0" t="str">
        <f aca="false">IFERROR(CONCATENATE(TEXT(INDEX($K$7:$K$30,SMALL(IF($N$7:$N$30&lt;&gt;"",IF($K$7:$K$30&lt;&gt;"",ROW($K$7:$K$30)-MIN(ROW($K$7:$K$30))+1,""),""),ROW()-ROW(A$32)+1)),"##0"),","),"")</f>
        <v/>
      </c>
      <c r="L49" s="0" t="str">
        <f aca="false">IFERROR(CONCATENATE((INDEX($N$7:$N$30,SMALL(IF($N$7:$N$30&lt;&gt;"",IF($K$7:$K$30&lt;&gt;"",ROW($K$7:$K$30)-MIN(ROW($K$7:$K$30))+1,""),""),ROW()-ROW(A$32)+1))),","),"")</f>
        <v/>
      </c>
      <c r="M49" s="0" t="str">
        <f aca="false">IFERROR(CONCATENATE((INDEX($A$7:$A$30,SMALL(IF($N$7:$N$30&lt;&gt;"",IF($K$7:$K$30&lt;&gt;"",ROW($K$7:$K$30)-MIN(ROW($K$7:$K$30))+1,""),""),ROW()-ROW(A$32)+1))),),"")</f>
        <v/>
      </c>
      <c r="Q49" s="0" t="str">
        <f aca="false">IFERROR(CONCATENATE((INDEX($T$7:$T$30,SMALL(IF($T$7:$T$30&lt;&gt;"",IF($Q$7:$Q$30&lt;&gt;"",ROW($Q$7:$Q$30)-MIN(ROW($Q$7:$Q$30))+1,""),""),ROW()-ROW(A$32)+1)))," "),"")</f>
        <v/>
      </c>
      <c r="R49" s="0" t="str">
        <f aca="false">IFERROR(CONCATENATE(TEXT(INDEX($Q$7:$Q$30,SMALL(IF($T$7:$T$30&lt;&gt;"",IF($Q$7:$Q$30&lt;&gt;"",ROW($Q$7:$Q$30)-MIN(ROW($Q$7:$Q$30))+1,""),""),ROW()-ROW(A$32)+1)),"##0")," "),"")</f>
        <v/>
      </c>
      <c r="S49" s="0" t="str">
        <f aca="false">IFERROR(CONCATENATE((INDEX($A$7:$A$30,SMALL(IF($T$7:$T$30&lt;&gt;"",IF($Q$7:$Q$30&lt;&gt;"",ROW($Q$7:$Q$30)-MIN(ROW($Q$7:$Q$30))+1,""),""),ROW()-ROW(A$32)+1))),),"")</f>
        <v/>
      </c>
      <c r="W49" s="0" t="str">
        <f aca="false">IFERROR(CONCATENATE((INDEX($Z$7:$Z$30,SMALL(IF($Z$7:$Z$30&lt;&gt;"",IF($W$7:$W$30&lt;&gt;"",ROW($W$7:$W$30)-MIN(ROW($W$7:$W$30))+1,""),""),ROW()-ROW(A$32)+1))),","),"")</f>
        <v/>
      </c>
      <c r="X49" s="0" t="str">
        <f aca="false">IFERROR(CONCATENATE(TEXT(INDEX($W$7:$W$30,SMALL(IF($Z$7:$Z$30&lt;&gt;"",IF($W$7:$W$30&lt;&gt;"",ROW($W$7:$W$30)-MIN(ROW($W$7:$W$30))+1,""),""),ROW()-ROW(A$32)+1)),"##0"),","),"")</f>
        <v/>
      </c>
      <c r="Y49" s="0" t="str">
        <f aca="false">IFERROR(CONCATENATE((INDEX($A$7:$A$30,SMALL(IF($Z$7:$Z$30&lt;&gt;"",IF($W$7:$W$30&lt;&gt;"",ROW($W$7:$W$30)-MIN(ROW($W$7:$W$30))+1,""),""),ROW()-ROW(A$32)+1))),),"")</f>
        <v/>
      </c>
    </row>
    <row r="50" customFormat="false" ht="15" hidden="false" customHeight="false" outlineLevel="0" collapsed="false">
      <c r="K50" s="0" t="str">
        <f aca="false">IFERROR(CONCATENATE(TEXT(INDEX($K$7:$K$30,SMALL(IF($N$7:$N$30&lt;&gt;"",IF($K$7:$K$30&lt;&gt;"",ROW($K$7:$K$30)-MIN(ROW($K$7:$K$30))+1,""),""),ROW()-ROW(A$32)+1)),"##0"),","),"")</f>
        <v/>
      </c>
      <c r="L50" s="0" t="str">
        <f aca="false">IFERROR(CONCATENATE((INDEX($N$7:$N$30,SMALL(IF($N$7:$N$30&lt;&gt;"",IF($K$7:$K$30&lt;&gt;"",ROW($K$7:$K$30)-MIN(ROW($K$7:$K$30))+1,""),""),ROW()-ROW(A$32)+1))),","),"")</f>
        <v/>
      </c>
      <c r="M50" s="0" t="str">
        <f aca="false">IFERROR(CONCATENATE((INDEX($A$7:$A$30,SMALL(IF($N$7:$N$30&lt;&gt;"",IF($K$7:$K$30&lt;&gt;"",ROW($K$7:$K$30)-MIN(ROW($K$7:$K$30))+1,""),""),ROW()-ROW(A$32)+1))),),"")</f>
        <v/>
      </c>
      <c r="Q50" s="0" t="str">
        <f aca="false">IFERROR(CONCATENATE((INDEX($T$7:$T$30,SMALL(IF($T$7:$T$30&lt;&gt;"",IF($Q$7:$Q$30&lt;&gt;"",ROW($Q$7:$Q$30)-MIN(ROW($Q$7:$Q$30))+1,""),""),ROW()-ROW(A$32)+1)))," "),"")</f>
        <v/>
      </c>
      <c r="R50" s="0" t="str">
        <f aca="false">IFERROR(CONCATENATE(TEXT(INDEX($Q$7:$Q$30,SMALL(IF($T$7:$T$30&lt;&gt;"",IF($Q$7:$Q$30&lt;&gt;"",ROW($Q$7:$Q$30)-MIN(ROW($Q$7:$Q$30))+1,""),""),ROW()-ROW(A$32)+1)),"##0")," "),"")</f>
        <v/>
      </c>
      <c r="S50" s="0" t="str">
        <f aca="false">IFERROR(CONCATENATE((INDEX($A$7:$A$30,SMALL(IF($T$7:$T$30&lt;&gt;"",IF($Q$7:$Q$30&lt;&gt;"",ROW($Q$7:$Q$30)-MIN(ROW($Q$7:$Q$30))+1,""),""),ROW()-ROW(A$32)+1))),),"")</f>
        <v/>
      </c>
      <c r="W50" s="0" t="str">
        <f aca="false">IFERROR(CONCATENATE((INDEX($Z$7:$Z$30,SMALL(IF($Z$7:$Z$30&lt;&gt;"",IF($W$7:$W$30&lt;&gt;"",ROW($W$7:$W$30)-MIN(ROW($W$7:$W$30))+1,""),""),ROW()-ROW(A$32)+1))),","),"")</f>
        <v/>
      </c>
      <c r="X50" s="0" t="str">
        <f aca="false">IFERROR(CONCATENATE(TEXT(INDEX($W$7:$W$30,SMALL(IF($Z$7:$Z$30&lt;&gt;"",IF($W$7:$W$30&lt;&gt;"",ROW($W$7:$W$30)-MIN(ROW($W$7:$W$30))+1,""),""),ROW()-ROW(A$32)+1)),"##0"),","),"")</f>
        <v/>
      </c>
      <c r="Y50" s="0" t="str">
        <f aca="false">IFERROR(CONCATENATE((INDEX($A$7:$A$30,SMALL(IF($Z$7:$Z$30&lt;&gt;"",IF($W$7:$W$30&lt;&gt;"",ROW($W$7:$W$30)-MIN(ROW($W$7:$W$30))+1,""),""),ROW()-ROW(A$32)+1))),),"")</f>
        <v/>
      </c>
    </row>
    <row r="51" customFormat="false" ht="15" hidden="false" customHeight="false" outlineLevel="0" collapsed="false">
      <c r="K51" s="0" t="str">
        <f aca="false">IFERROR(CONCATENATE(TEXT(INDEX($K$7:$K$30,SMALL(IF($N$7:$N$30&lt;&gt;"",IF($K$7:$K$30&lt;&gt;"",ROW($K$7:$K$30)-MIN(ROW($K$7:$K$30))+1,""),""),ROW()-ROW(A$32)+1)),"##0"),","),"")</f>
        <v/>
      </c>
      <c r="L51" s="0" t="str">
        <f aca="false">IFERROR(CONCATENATE((INDEX($N$7:$N$30,SMALL(IF($N$7:$N$30&lt;&gt;"",IF($K$7:$K$30&lt;&gt;"",ROW($K$7:$K$30)-MIN(ROW($K$7:$K$30))+1,""),""),ROW()-ROW(A$32)+1))),","),"")</f>
        <v/>
      </c>
      <c r="M51" s="0" t="str">
        <f aca="false">IFERROR(CONCATENATE((INDEX($A$7:$A$30,SMALL(IF($N$7:$N$30&lt;&gt;"",IF($K$7:$K$30&lt;&gt;"",ROW($K$7:$K$30)-MIN(ROW($K$7:$K$30))+1,""),""),ROW()-ROW(A$32)+1))),),"")</f>
        <v/>
      </c>
      <c r="Q51" s="0" t="str">
        <f aca="false">IFERROR(CONCATENATE((INDEX($T$7:$T$30,SMALL(IF($T$7:$T$30&lt;&gt;"",IF($Q$7:$Q$30&lt;&gt;"",ROW($Q$7:$Q$30)-MIN(ROW($Q$7:$Q$30))+1,""),""),ROW()-ROW(A$32)+1)))," "),"")</f>
        <v/>
      </c>
      <c r="R51" s="0" t="str">
        <f aca="false">IFERROR(CONCATENATE(TEXT(INDEX($Q$7:$Q$30,SMALL(IF($T$7:$T$30&lt;&gt;"",IF($Q$7:$Q$30&lt;&gt;"",ROW($Q$7:$Q$30)-MIN(ROW($Q$7:$Q$30))+1,""),""),ROW()-ROW(A$32)+1)),"##0")," "),"")</f>
        <v/>
      </c>
      <c r="S51" s="0" t="str">
        <f aca="false">IFERROR(CONCATENATE((INDEX($A$7:$A$30,SMALL(IF($T$7:$T$30&lt;&gt;"",IF($Q$7:$Q$30&lt;&gt;"",ROW($Q$7:$Q$30)-MIN(ROW($Q$7:$Q$30))+1,""),""),ROW()-ROW(A$32)+1))),),"")</f>
        <v/>
      </c>
      <c r="W51" s="0" t="str">
        <f aca="false">IFERROR(CONCATENATE((INDEX($Z$7:$Z$30,SMALL(IF($Z$7:$Z$30&lt;&gt;"",IF($W$7:$W$30&lt;&gt;"",ROW($W$7:$W$30)-MIN(ROW($W$7:$W$30))+1,""),""),ROW()-ROW(A$32)+1))),","),"")</f>
        <v/>
      </c>
      <c r="X51" s="0" t="str">
        <f aca="false">IFERROR(CONCATENATE(TEXT(INDEX($W$7:$W$30,SMALL(IF($Z$7:$Z$30&lt;&gt;"",IF($W$7:$W$30&lt;&gt;"",ROW($W$7:$W$30)-MIN(ROW($W$7:$W$30))+1,""),""),ROW()-ROW(A$32)+1)),"##0"),","),"")</f>
        <v/>
      </c>
      <c r="Y51" s="0" t="str">
        <f aca="false">IFERROR(CONCATENATE((INDEX($A$7:$A$30,SMALL(IF($Z$7:$Z$30&lt;&gt;"",IF($W$7:$W$30&lt;&gt;"",ROW($W$7:$W$30)-MIN(ROW($W$7:$W$30))+1,""),""),ROW()-ROW(A$32)+1))),),"")</f>
        <v/>
      </c>
    </row>
    <row r="52" customFormat="false" ht="15" hidden="false" customHeight="false" outlineLevel="0" collapsed="false">
      <c r="K52" s="0" t="str">
        <f aca="false">IFERROR(CONCATENATE(TEXT(INDEX($K$7:$K$30,SMALL(IF($N$7:$N$30&lt;&gt;"",IF($K$7:$K$30&lt;&gt;"",ROW($K$7:$K$30)-MIN(ROW($K$7:$K$30))+1,""),""),ROW()-ROW(A$32)+1)),"##0"),","),"")</f>
        <v/>
      </c>
      <c r="L52" s="0" t="str">
        <f aca="false">IFERROR(CONCATENATE((INDEX($N$7:$N$30,SMALL(IF($N$7:$N$30&lt;&gt;"",IF($K$7:$K$30&lt;&gt;"",ROW($K$7:$K$30)-MIN(ROW($K$7:$K$30))+1,""),""),ROW()-ROW(A$32)+1))),","),"")</f>
        <v/>
      </c>
      <c r="M52" s="0" t="str">
        <f aca="false">IFERROR(CONCATENATE((INDEX($A$7:$A$30,SMALL(IF($N$7:$N$30&lt;&gt;"",IF($K$7:$K$30&lt;&gt;"",ROW($K$7:$K$30)-MIN(ROW($K$7:$K$30))+1,""),""),ROW()-ROW(A$32)+1))),),"")</f>
        <v/>
      </c>
      <c r="Q52" s="0" t="str">
        <f aca="false">IFERROR(CONCATENATE((INDEX($T$7:$T$30,SMALL(IF($T$7:$T$30&lt;&gt;"",IF($Q$7:$Q$30&lt;&gt;"",ROW($Q$7:$Q$30)-MIN(ROW($Q$7:$Q$30))+1,""),""),ROW()-ROW(A$32)+1)))," "),"")</f>
        <v/>
      </c>
      <c r="R52" s="0" t="str">
        <f aca="false">IFERROR(CONCATENATE(TEXT(INDEX($Q$7:$Q$30,SMALL(IF($T$7:$T$30&lt;&gt;"",IF($Q$7:$Q$30&lt;&gt;"",ROW($Q$7:$Q$30)-MIN(ROW($Q$7:$Q$30))+1,""),""),ROW()-ROW(A$32)+1)),"##0")," "),"")</f>
        <v/>
      </c>
      <c r="S52" s="0" t="str">
        <f aca="false">IFERROR(CONCATENATE((INDEX($A$7:$A$30,SMALL(IF($T$7:$T$30&lt;&gt;"",IF($Q$7:$Q$30&lt;&gt;"",ROW($Q$7:$Q$30)-MIN(ROW($Q$7:$Q$30))+1,""),""),ROW()-ROW(A$32)+1))),),"")</f>
        <v/>
      </c>
      <c r="W52" s="0" t="str">
        <f aca="false">IFERROR(CONCATENATE((INDEX($Z$7:$Z$30,SMALL(IF($Z$7:$Z$30&lt;&gt;"",IF($W$7:$W$30&lt;&gt;"",ROW($W$7:$W$30)-MIN(ROW($W$7:$W$30))+1,""),""),ROW()-ROW(A$32)+1))),","),"")</f>
        <v/>
      </c>
      <c r="X52" s="0" t="str">
        <f aca="false">IFERROR(CONCATENATE(TEXT(INDEX($W$7:$W$30,SMALL(IF($Z$7:$Z$30&lt;&gt;"",IF($W$7:$W$30&lt;&gt;"",ROW($W$7:$W$30)-MIN(ROW($W$7:$W$30))+1,""),""),ROW()-ROW(A$32)+1)),"##0"),","),"")</f>
        <v/>
      </c>
      <c r="Y52" s="0" t="str">
        <f aca="false">IFERROR(CONCATENATE((INDEX($A$7:$A$30,SMALL(IF($Z$7:$Z$30&lt;&gt;"",IF($W$7:$W$30&lt;&gt;"",ROW($W$7:$W$30)-MIN(ROW($W$7:$W$30))+1,""),""),ROW()-ROW(A$32)+1))),),"")</f>
        <v/>
      </c>
    </row>
    <row r="53" customFormat="false" ht="15" hidden="false" customHeight="false" outlineLevel="0" collapsed="false">
      <c r="K53" s="0" t="str">
        <f aca="false">IFERROR(CONCATENATE(TEXT(INDEX($K$7:$K$30,SMALL(IF($N$7:$N$30&lt;&gt;"",IF($K$7:$K$30&lt;&gt;"",ROW($K$7:$K$30)-MIN(ROW($K$7:$K$30))+1,""),""),ROW()-ROW(A$32)+1)),"##0"),","),"")</f>
        <v/>
      </c>
      <c r="L53" s="0" t="str">
        <f aca="false">IFERROR(CONCATENATE((INDEX($N$7:$N$30,SMALL(IF($N$7:$N$30&lt;&gt;"",IF($K$7:$K$30&lt;&gt;"",ROW($K$7:$K$30)-MIN(ROW($K$7:$K$30))+1,""),""),ROW()-ROW(A$32)+1))),","),"")</f>
        <v/>
      </c>
      <c r="M53" s="0" t="str">
        <f aca="false">IFERROR(CONCATENATE((INDEX($A$7:$A$30,SMALL(IF($N$7:$N$30&lt;&gt;"",IF($K$7:$K$30&lt;&gt;"",ROW($K$7:$K$30)-MIN(ROW($K$7:$K$30))+1,""),""),ROW()-ROW(A$32)+1))),),"")</f>
        <v/>
      </c>
      <c r="Q53" s="0" t="str">
        <f aca="false">IFERROR(CONCATENATE((INDEX($T$7:$T$30,SMALL(IF($T$7:$T$30&lt;&gt;"",IF($Q$7:$Q$30&lt;&gt;"",ROW($Q$7:$Q$30)-MIN(ROW($Q$7:$Q$30))+1,""),""),ROW()-ROW(A$32)+1)))," "),"")</f>
        <v/>
      </c>
      <c r="R53" s="0" t="str">
        <f aca="false">IFERROR(CONCATENATE(TEXT(INDEX($Q$7:$Q$30,SMALL(IF($T$7:$T$30&lt;&gt;"",IF($Q$7:$Q$30&lt;&gt;"",ROW($Q$7:$Q$30)-MIN(ROW($Q$7:$Q$30))+1,""),""),ROW()-ROW(A$32)+1)),"##0")," "),"")</f>
        <v/>
      </c>
      <c r="S53" s="0" t="str">
        <f aca="false">IFERROR(CONCATENATE((INDEX($A$7:$A$30,SMALL(IF($T$7:$T$30&lt;&gt;"",IF($Q$7:$Q$30&lt;&gt;"",ROW($Q$7:$Q$30)-MIN(ROW($Q$7:$Q$30))+1,""),""),ROW()-ROW(A$32)+1))),),"")</f>
        <v/>
      </c>
      <c r="W53" s="0" t="str">
        <f aca="false">IFERROR(CONCATENATE((INDEX($Z$7:$Z$30,SMALL(IF($Z$7:$Z$30&lt;&gt;"",IF($W$7:$W$30&lt;&gt;"",ROW($W$7:$W$30)-MIN(ROW($W$7:$W$30))+1,""),""),ROW()-ROW(A$32)+1))),","),"")</f>
        <v/>
      </c>
      <c r="X53" s="0" t="str">
        <f aca="false">IFERROR(CONCATENATE(TEXT(INDEX($W$7:$W$30,SMALL(IF($Z$7:$Z$30&lt;&gt;"",IF($W$7:$W$30&lt;&gt;"",ROW($W$7:$W$30)-MIN(ROW($W$7:$W$30))+1,""),""),ROW()-ROW(A$32)+1)),"##0"),","),"")</f>
        <v/>
      </c>
      <c r="Y53" s="0" t="str">
        <f aca="false">IFERROR(CONCATENATE((INDEX($A$7:$A$30,SMALL(IF($Z$7:$Z$30&lt;&gt;"",IF($W$7:$W$30&lt;&gt;"",ROW($W$7:$W$30)-MIN(ROW($W$7:$W$30))+1,""),""),ROW()-ROW(A$32)+1))),),"")</f>
        <v/>
      </c>
    </row>
    <row r="54" customFormat="false" ht="15" hidden="false" customHeight="false" outlineLevel="0" collapsed="false">
      <c r="K54" s="0" t="str">
        <f aca="false">IFERROR(CONCATENATE(TEXT(INDEX($K$7:$K$30,SMALL(IF($N$7:$N$30&lt;&gt;"",IF($K$7:$K$30&lt;&gt;"",ROW($K$7:$K$30)-MIN(ROW($K$7:$K$30))+1,""),""),ROW()-ROW(A$32)+1)),"##0"),","),"")</f>
        <v/>
      </c>
      <c r="L54" s="0" t="str">
        <f aca="false">IFERROR(CONCATENATE((INDEX($N$7:$N$30,SMALL(IF($N$7:$N$30&lt;&gt;"",IF($K$7:$K$30&lt;&gt;"",ROW($K$7:$K$30)-MIN(ROW($K$7:$K$30))+1,""),""),ROW()-ROW(A$32)+1))),","),"")</f>
        <v/>
      </c>
      <c r="M54" s="0" t="str">
        <f aca="false">IFERROR(CONCATENATE((INDEX($A$7:$A$30,SMALL(IF($N$7:$N$30&lt;&gt;"",IF($K$7:$K$30&lt;&gt;"",ROW($K$7:$K$30)-MIN(ROW($K$7:$K$30))+1,""),""),ROW()-ROW(A$32)+1))),),"")</f>
        <v/>
      </c>
      <c r="Q54" s="0" t="str">
        <f aca="false">IFERROR(CONCATENATE((INDEX($T$7:$T$30,SMALL(IF($T$7:$T$30&lt;&gt;"",IF($Q$7:$Q$30&lt;&gt;"",ROW($Q$7:$Q$30)-MIN(ROW($Q$7:$Q$30))+1,""),""),ROW()-ROW(A$32)+1)))," "),"")</f>
        <v/>
      </c>
      <c r="R54" s="0" t="str">
        <f aca="false">IFERROR(CONCATENATE(TEXT(INDEX($Q$7:$Q$30,SMALL(IF($T$7:$T$30&lt;&gt;"",IF($Q$7:$Q$30&lt;&gt;"",ROW($Q$7:$Q$30)-MIN(ROW($Q$7:$Q$30))+1,""),""),ROW()-ROW(A$32)+1)),"##0")," "),"")</f>
        <v/>
      </c>
      <c r="S54" s="0" t="str">
        <f aca="false">IFERROR(CONCATENATE((INDEX($A$7:$A$30,SMALL(IF($T$7:$T$30&lt;&gt;"",IF($Q$7:$Q$30&lt;&gt;"",ROW($Q$7:$Q$30)-MIN(ROW($Q$7:$Q$30))+1,""),""),ROW()-ROW(A$32)+1))),),"")</f>
        <v/>
      </c>
      <c r="W54" s="0" t="str">
        <f aca="false">IFERROR(CONCATENATE((INDEX($Z$7:$Z$30,SMALL(IF($Z$7:$Z$30&lt;&gt;"",IF($W$7:$W$30&lt;&gt;"",ROW($W$7:$W$30)-MIN(ROW($W$7:$W$30))+1,""),""),ROW()-ROW(A$32)+1))),","),"")</f>
        <v/>
      </c>
      <c r="X54" s="0" t="str">
        <f aca="false">IFERROR(CONCATENATE(TEXT(INDEX($W$7:$W$30,SMALL(IF($Z$7:$Z$30&lt;&gt;"",IF($W$7:$W$30&lt;&gt;"",ROW($W$7:$W$30)-MIN(ROW($W$7:$W$30))+1,""),""),ROW()-ROW(A$32)+1)),"##0"),","),"")</f>
        <v/>
      </c>
      <c r="Y54" s="0" t="str">
        <f aca="false">IFERROR(CONCATENATE((INDEX($A$7:$A$30,SMALL(IF($Z$7:$Z$30&lt;&gt;"",IF($W$7:$W$30&lt;&gt;"",ROW($W$7:$W$30)-MIN(ROW($W$7:$W$30))+1,""),""),ROW()-ROW(A$32)+1))),),"")</f>
        <v/>
      </c>
    </row>
    <row r="55" customFormat="false" ht="15" hidden="false" customHeight="false" outlineLevel="0" collapsed="false">
      <c r="K55" s="0" t="str">
        <f aca="false">IFERROR(CONCATENATE(TEXT(INDEX($K$7:$K$30,SMALL(IF($N$7:$N$30&lt;&gt;"",IF($K$7:$K$30&lt;&gt;"",ROW($K$7:$K$30)-MIN(ROW($K$7:$K$30))+1,""),""),ROW()-ROW(A$32)+1)),"##0"),","),"")</f>
        <v/>
      </c>
      <c r="L55" s="0" t="str">
        <f aca="false">IFERROR(CONCATENATE((INDEX($N$7:$N$30,SMALL(IF($N$7:$N$30&lt;&gt;"",IF($K$7:$K$30&lt;&gt;"",ROW($K$7:$K$30)-MIN(ROW($K$7:$K$30))+1,""),""),ROW()-ROW(A$32)+1))),","),"")</f>
        <v/>
      </c>
      <c r="M55" s="0" t="str">
        <f aca="false">IFERROR(CONCATENATE((INDEX($A$7:$A$30,SMALL(IF($N$7:$N$30&lt;&gt;"",IF($K$7:$K$30&lt;&gt;"",ROW($K$7:$K$30)-MIN(ROW($K$7:$K$30))+1,""),""),ROW()-ROW(A$32)+1))),),"")</f>
        <v/>
      </c>
      <c r="Q55" s="0" t="str">
        <f aca="false">IFERROR(CONCATENATE((INDEX($T$7:$T$30,SMALL(IF($T$7:$T$30&lt;&gt;"",IF($Q$7:$Q$30&lt;&gt;"",ROW($Q$7:$Q$30)-MIN(ROW($Q$7:$Q$30))+1,""),""),ROW()-ROW(A$32)+1)))," "),"")</f>
        <v/>
      </c>
      <c r="R55" s="0" t="str">
        <f aca="false">IFERROR(CONCATENATE(TEXT(INDEX($Q$7:$Q$30,SMALL(IF($T$7:$T$30&lt;&gt;"",IF($Q$7:$Q$30&lt;&gt;"",ROW($Q$7:$Q$30)-MIN(ROW($Q$7:$Q$30))+1,""),""),ROW()-ROW(A$32)+1)),"##0")," "),"")</f>
        <v/>
      </c>
      <c r="S55" s="0" t="str">
        <f aca="false">IFERROR(CONCATENATE((INDEX($A$7:$A$30,SMALL(IF($T$7:$T$30&lt;&gt;"",IF($Q$7:$Q$30&lt;&gt;"",ROW($Q$7:$Q$30)-MIN(ROW($Q$7:$Q$30))+1,""),""),ROW()-ROW(A$32)+1))),),"")</f>
        <v/>
      </c>
      <c r="W55" s="0" t="str">
        <f aca="false">IFERROR(CONCATENATE((INDEX($Z$7:$Z$30,SMALL(IF($Z$7:$Z$30&lt;&gt;"",IF($W$7:$W$30&lt;&gt;"",ROW($W$7:$W$30)-MIN(ROW($W$7:$W$30))+1,""),""),ROW()-ROW(A$32)+1))),","),"")</f>
        <v/>
      </c>
      <c r="X55" s="0" t="str">
        <f aca="false">IFERROR(CONCATENATE(TEXT(INDEX($W$7:$W$30,SMALL(IF($Z$7:$Z$30&lt;&gt;"",IF($W$7:$W$30&lt;&gt;"",ROW($W$7:$W$30)-MIN(ROW($W$7:$W$30))+1,""),""),ROW()-ROW(A$32)+1)),"##0"),","),"")</f>
        <v/>
      </c>
      <c r="Y55" s="0" t="str">
        <f aca="false">IFERROR(CONCATENATE((INDEX($A$7:$A$30,SMALL(IF($Z$7:$Z$30&lt;&gt;"",IF($W$7:$W$30&lt;&gt;"",ROW($W$7:$W$30)-MIN(ROW($W$7:$W$30))+1,""),""),ROW()-ROW(A$32)+1))),),"")</f>
        <v/>
      </c>
    </row>
  </sheetData>
  <mergeCells count="4">
    <mergeCell ref="A5:I5"/>
    <mergeCell ref="J5:O5"/>
    <mergeCell ref="P5:U5"/>
    <mergeCell ref="V5:AA5"/>
  </mergeCells>
  <conditionalFormatting sqref="L10">
    <cfRule type="cellIs" priority="2" operator="lessThanOrEqual" aboveAverage="0" equalAverage="0" bottom="0" percent="0" rank="0" text="" dxfId="0">
      <formula>H10</formula>
    </cfRule>
  </conditionalFormatting>
  <conditionalFormatting sqref="L11">
    <cfRule type="cellIs" priority="3" operator="lessThanOrEqual" aboveAverage="0" equalAverage="0" bottom="0" percent="0" rank="0" text="" dxfId="0">
      <formula>H11</formula>
    </cfRule>
  </conditionalFormatting>
  <conditionalFormatting sqref="L12">
    <cfRule type="cellIs" priority="4" operator="lessThanOrEqual" aboveAverage="0" equalAverage="0" bottom="0" percent="0" rank="0" text="" dxfId="0">
      <formula>H12</formula>
    </cfRule>
  </conditionalFormatting>
  <conditionalFormatting sqref="L13">
    <cfRule type="cellIs" priority="5" operator="lessThanOrEqual" aboveAverage="0" equalAverage="0" bottom="0" percent="0" rank="0" text="" dxfId="0">
      <formula>H13</formula>
    </cfRule>
  </conditionalFormatting>
  <conditionalFormatting sqref="L15">
    <cfRule type="cellIs" priority="6" operator="lessThanOrEqual" aboveAverage="0" equalAverage="0" bottom="0" percent="0" rank="0" text="" dxfId="0">
      <formula>H15</formula>
    </cfRule>
  </conditionalFormatting>
  <conditionalFormatting sqref="L16">
    <cfRule type="cellIs" priority="7" operator="lessThanOrEqual" aboveAverage="0" equalAverage="0" bottom="0" percent="0" rank="0" text="" dxfId="0">
      <formula>H16</formula>
    </cfRule>
  </conditionalFormatting>
  <conditionalFormatting sqref="L17">
    <cfRule type="cellIs" priority="8" operator="lessThanOrEqual" aboveAverage="0" equalAverage="0" bottom="0" percent="0" rank="0" text="" dxfId="0">
      <formula>H17</formula>
    </cfRule>
  </conditionalFormatting>
  <conditionalFormatting sqref="L18">
    <cfRule type="cellIs" priority="9" operator="lessThanOrEqual" aboveAverage="0" equalAverage="0" bottom="0" percent="0" rank="0" text="" dxfId="0">
      <formula>H18</formula>
    </cfRule>
  </conditionalFormatting>
  <conditionalFormatting sqref="L19">
    <cfRule type="cellIs" priority="10" operator="lessThanOrEqual" aboveAverage="0" equalAverage="0" bottom="0" percent="0" rank="0" text="" dxfId="0">
      <formula>H19</formula>
    </cfRule>
  </conditionalFormatting>
  <conditionalFormatting sqref="L20">
    <cfRule type="cellIs" priority="11" operator="lessThanOrEqual" aboveAverage="0" equalAverage="0" bottom="0" percent="0" rank="0" text="" dxfId="0">
      <formula>H20</formula>
    </cfRule>
  </conditionalFormatting>
  <conditionalFormatting sqref="L22">
    <cfRule type="cellIs" priority="12" operator="lessThanOrEqual" aboveAverage="0" equalAverage="0" bottom="0" percent="0" rank="0" text="" dxfId="0">
      <formula>H22</formula>
    </cfRule>
  </conditionalFormatting>
  <conditionalFormatting sqref="L23">
    <cfRule type="cellIs" priority="13" operator="lessThanOrEqual" aboveAverage="0" equalAverage="0" bottom="0" percent="0" rank="0" text="" dxfId="0">
      <formula>H23</formula>
    </cfRule>
  </conditionalFormatting>
  <conditionalFormatting sqref="L27">
    <cfRule type="cellIs" priority="14" operator="lessThanOrEqual" aboveAverage="0" equalAverage="0" bottom="0" percent="0" rank="0" text="" dxfId="0">
      <formula>H27</formula>
    </cfRule>
  </conditionalFormatting>
  <conditionalFormatting sqref="L28">
    <cfRule type="cellIs" priority="15" operator="lessThanOrEqual" aboveAverage="0" equalAverage="0" bottom="0" percent="0" rank="0" text="" dxfId="0">
      <formula>H28</formula>
    </cfRule>
  </conditionalFormatting>
  <conditionalFormatting sqref="L29">
    <cfRule type="cellIs" priority="16" operator="lessThanOrEqual" aboveAverage="0" equalAverage="0" bottom="0" percent="0" rank="0" text="" dxfId="0">
      <formula>H29</formula>
    </cfRule>
  </conditionalFormatting>
  <conditionalFormatting sqref="L30">
    <cfRule type="cellIs" priority="17" operator="lessThanOrEqual" aboveAverage="0" equalAverage="0" bottom="0" percent="0" rank="0" text="" dxfId="0">
      <formula>H30</formula>
    </cfRule>
  </conditionalFormatting>
  <conditionalFormatting sqref="L7">
    <cfRule type="cellIs" priority="18" operator="lessThanOrEqual" aboveAverage="0" equalAverage="0" bottom="0" percent="0" rank="0" text="" dxfId="0">
      <formula>H7</formula>
    </cfRule>
  </conditionalFormatting>
  <conditionalFormatting sqref="L8">
    <cfRule type="cellIs" priority="19" operator="lessThanOrEqual" aboveAverage="0" equalAverage="0" bottom="0" percent="0" rank="0" text="" dxfId="0">
      <formula>H8</formula>
    </cfRule>
  </conditionalFormatting>
  <conditionalFormatting sqref="L9">
    <cfRule type="cellIs" priority="20" operator="lessThanOrEqual" aboveAverage="0" equalAverage="0" bottom="0" percent="0" rank="0" text="" dxfId="0">
      <formula>H9</formula>
    </cfRule>
  </conditionalFormatting>
  <conditionalFormatting sqref="M10">
    <cfRule type="cellIs" priority="21" operator="lessThanOrEqual" aboveAverage="0" equalAverage="0" bottom="0" percent="0" rank="0" text="" dxfId="0">
      <formula>I10</formula>
    </cfRule>
  </conditionalFormatting>
  <conditionalFormatting sqref="M11">
    <cfRule type="cellIs" priority="22" operator="lessThanOrEqual" aboveAverage="0" equalAverage="0" bottom="0" percent="0" rank="0" text="" dxfId="0">
      <formula>I11</formula>
    </cfRule>
  </conditionalFormatting>
  <conditionalFormatting sqref="M12">
    <cfRule type="cellIs" priority="23" operator="lessThanOrEqual" aboveAverage="0" equalAverage="0" bottom="0" percent="0" rank="0" text="" dxfId="0">
      <formula>I12</formula>
    </cfRule>
  </conditionalFormatting>
  <conditionalFormatting sqref="M13">
    <cfRule type="cellIs" priority="24" operator="lessThanOrEqual" aboveAverage="0" equalAverage="0" bottom="0" percent="0" rank="0" text="" dxfId="0">
      <formula>I13</formula>
    </cfRule>
  </conditionalFormatting>
  <conditionalFormatting sqref="M15">
    <cfRule type="cellIs" priority="25" operator="lessThanOrEqual" aboveAverage="0" equalAverage="0" bottom="0" percent="0" rank="0" text="" dxfId="0">
      <formula>I15</formula>
    </cfRule>
  </conditionalFormatting>
  <conditionalFormatting sqref="M16">
    <cfRule type="cellIs" priority="26" operator="lessThanOrEqual" aboveAverage="0" equalAverage="0" bottom="0" percent="0" rank="0" text="" dxfId="0">
      <formula>I16</formula>
    </cfRule>
  </conditionalFormatting>
  <conditionalFormatting sqref="M17">
    <cfRule type="cellIs" priority="27" operator="lessThanOrEqual" aboveAverage="0" equalAverage="0" bottom="0" percent="0" rank="0" text="" dxfId="0">
      <formula>I17</formula>
    </cfRule>
  </conditionalFormatting>
  <conditionalFormatting sqref="M18">
    <cfRule type="cellIs" priority="28" operator="lessThanOrEqual" aboveAverage="0" equalAverage="0" bottom="0" percent="0" rank="0" text="" dxfId="0">
      <formula>I18</formula>
    </cfRule>
  </conditionalFormatting>
  <conditionalFormatting sqref="M19">
    <cfRule type="cellIs" priority="29" operator="lessThanOrEqual" aboveAverage="0" equalAverage="0" bottom="0" percent="0" rank="0" text="" dxfId="0">
      <formula>I19</formula>
    </cfRule>
  </conditionalFormatting>
  <conditionalFormatting sqref="M20">
    <cfRule type="cellIs" priority="30" operator="lessThanOrEqual" aboveAverage="0" equalAverage="0" bottom="0" percent="0" rank="0" text="" dxfId="0">
      <formula>I20</formula>
    </cfRule>
  </conditionalFormatting>
  <conditionalFormatting sqref="M22">
    <cfRule type="cellIs" priority="31" operator="lessThanOrEqual" aboveAverage="0" equalAverage="0" bottom="0" percent="0" rank="0" text="" dxfId="0">
      <formula>I22</formula>
    </cfRule>
  </conditionalFormatting>
  <conditionalFormatting sqref="M23">
    <cfRule type="cellIs" priority="32" operator="lessThanOrEqual" aboveAverage="0" equalAverage="0" bottom="0" percent="0" rank="0" text="" dxfId="0">
      <formula>I23</formula>
    </cfRule>
  </conditionalFormatting>
  <conditionalFormatting sqref="M27">
    <cfRule type="cellIs" priority="33" operator="lessThanOrEqual" aboveAverage="0" equalAverage="0" bottom="0" percent="0" rank="0" text="" dxfId="0">
      <formula>I27</formula>
    </cfRule>
  </conditionalFormatting>
  <conditionalFormatting sqref="M28">
    <cfRule type="cellIs" priority="34" operator="lessThanOrEqual" aboveAverage="0" equalAverage="0" bottom="0" percent="0" rank="0" text="" dxfId="0">
      <formula>I28</formula>
    </cfRule>
  </conditionalFormatting>
  <conditionalFormatting sqref="M29">
    <cfRule type="cellIs" priority="35" operator="lessThanOrEqual" aboveAverage="0" equalAverage="0" bottom="0" percent="0" rank="0" text="" dxfId="0">
      <formula>I29</formula>
    </cfRule>
  </conditionalFormatting>
  <conditionalFormatting sqref="M30">
    <cfRule type="cellIs" priority="36" operator="lessThanOrEqual" aboveAverage="0" equalAverage="0" bottom="0" percent="0" rank="0" text="" dxfId="0">
      <formula>I30</formula>
    </cfRule>
  </conditionalFormatting>
  <conditionalFormatting sqref="M7">
    <cfRule type="cellIs" priority="37" operator="lessThanOrEqual" aboveAverage="0" equalAverage="0" bottom="0" percent="0" rank="0" text="" dxfId="0">
      <formula>I7</formula>
    </cfRule>
  </conditionalFormatting>
  <conditionalFormatting sqref="M8">
    <cfRule type="cellIs" priority="38" operator="lessThanOrEqual" aboveAverage="0" equalAverage="0" bottom="0" percent="0" rank="0" text="" dxfId="0">
      <formula>I8</formula>
    </cfRule>
  </conditionalFormatting>
  <conditionalFormatting sqref="M9">
    <cfRule type="cellIs" priority="39" operator="lessThanOrEqual" aboveAverage="0" equalAverage="0" bottom="0" percent="0" rank="0" text="" dxfId="0">
      <formula>I9</formula>
    </cfRule>
  </conditionalFormatting>
  <conditionalFormatting sqref="R10">
    <cfRule type="cellIs" priority="40" operator="lessThanOrEqual" aboveAverage="0" equalAverage="0" bottom="0" percent="0" rank="0" text="" dxfId="0">
      <formula>H10</formula>
    </cfRule>
  </conditionalFormatting>
  <conditionalFormatting sqref="R11">
    <cfRule type="cellIs" priority="41" operator="lessThanOrEqual" aboveAverage="0" equalAverage="0" bottom="0" percent="0" rank="0" text="" dxfId="0">
      <formula>H11</formula>
    </cfRule>
  </conditionalFormatting>
  <conditionalFormatting sqref="R12">
    <cfRule type="cellIs" priority="42" operator="lessThanOrEqual" aboveAverage="0" equalAverage="0" bottom="0" percent="0" rank="0" text="" dxfId="0">
      <formula>H12</formula>
    </cfRule>
  </conditionalFormatting>
  <conditionalFormatting sqref="R13">
    <cfRule type="cellIs" priority="43" operator="lessThanOrEqual" aboveAverage="0" equalAverage="0" bottom="0" percent="0" rank="0" text="" dxfId="0">
      <formula>H13</formula>
    </cfRule>
  </conditionalFormatting>
  <conditionalFormatting sqref="R15">
    <cfRule type="cellIs" priority="44" operator="lessThanOrEqual" aboveAverage="0" equalAverage="0" bottom="0" percent="0" rank="0" text="" dxfId="0">
      <formula>H15</formula>
    </cfRule>
  </conditionalFormatting>
  <conditionalFormatting sqref="R16">
    <cfRule type="cellIs" priority="45" operator="lessThanOrEqual" aboveAverage="0" equalAverage="0" bottom="0" percent="0" rank="0" text="" dxfId="0">
      <formula>H16</formula>
    </cfRule>
  </conditionalFormatting>
  <conditionalFormatting sqref="R17">
    <cfRule type="cellIs" priority="46" operator="lessThanOrEqual" aboveAverage="0" equalAverage="0" bottom="0" percent="0" rank="0" text="" dxfId="0">
      <formula>H17</formula>
    </cfRule>
  </conditionalFormatting>
  <conditionalFormatting sqref="R18">
    <cfRule type="cellIs" priority="47" operator="lessThanOrEqual" aboveAverage="0" equalAverage="0" bottom="0" percent="0" rank="0" text="" dxfId="0">
      <formula>H18</formula>
    </cfRule>
  </conditionalFormatting>
  <conditionalFormatting sqref="R19">
    <cfRule type="cellIs" priority="48" operator="lessThanOrEqual" aboveAverage="0" equalAverage="0" bottom="0" percent="0" rank="0" text="" dxfId="0">
      <formula>H19</formula>
    </cfRule>
  </conditionalFormatting>
  <conditionalFormatting sqref="R20">
    <cfRule type="cellIs" priority="49" operator="lessThanOrEqual" aboveAverage="0" equalAverage="0" bottom="0" percent="0" rank="0" text="" dxfId="0">
      <formula>H20</formula>
    </cfRule>
  </conditionalFormatting>
  <conditionalFormatting sqref="R22">
    <cfRule type="cellIs" priority="50" operator="lessThanOrEqual" aboveAverage="0" equalAverage="0" bottom="0" percent="0" rank="0" text="" dxfId="0">
      <formula>H22</formula>
    </cfRule>
  </conditionalFormatting>
  <conditionalFormatting sqref="R23">
    <cfRule type="cellIs" priority="51" operator="lessThanOrEqual" aboveAverage="0" equalAverage="0" bottom="0" percent="0" rank="0" text="" dxfId="0">
      <formula>H23</formula>
    </cfRule>
  </conditionalFormatting>
  <conditionalFormatting sqref="R25">
    <cfRule type="cellIs" priority="52" operator="lessThanOrEqual" aboveAverage="0" equalAverage="0" bottom="0" percent="0" rank="0" text="" dxfId="0">
      <formula>H25</formula>
    </cfRule>
  </conditionalFormatting>
  <conditionalFormatting sqref="R27">
    <cfRule type="cellIs" priority="53" operator="lessThanOrEqual" aboveAverage="0" equalAverage="0" bottom="0" percent="0" rank="0" text="" dxfId="0">
      <formula>H27</formula>
    </cfRule>
  </conditionalFormatting>
  <conditionalFormatting sqref="R28">
    <cfRule type="cellIs" priority="54" operator="lessThanOrEqual" aboveAverage="0" equalAverage="0" bottom="0" percent="0" rank="0" text="" dxfId="0">
      <formula>H28</formula>
    </cfRule>
  </conditionalFormatting>
  <conditionalFormatting sqref="R29">
    <cfRule type="cellIs" priority="55" operator="lessThanOrEqual" aboveAverage="0" equalAverage="0" bottom="0" percent="0" rank="0" text="" dxfId="0">
      <formula>H29</formula>
    </cfRule>
  </conditionalFormatting>
  <conditionalFormatting sqref="R30">
    <cfRule type="cellIs" priority="56" operator="lessThanOrEqual" aboveAverage="0" equalAverage="0" bottom="0" percent="0" rank="0" text="" dxfId="0">
      <formula>H30</formula>
    </cfRule>
  </conditionalFormatting>
  <conditionalFormatting sqref="R8">
    <cfRule type="cellIs" priority="57" operator="lessThanOrEqual" aboveAverage="0" equalAverage="0" bottom="0" percent="0" rank="0" text="" dxfId="0">
      <formula>H8</formula>
    </cfRule>
  </conditionalFormatting>
  <conditionalFormatting sqref="R9">
    <cfRule type="cellIs" priority="58" operator="lessThanOrEqual" aboveAverage="0" equalAverage="0" bottom="0" percent="0" rank="0" text="" dxfId="0">
      <formula>H9</formula>
    </cfRule>
  </conditionalFormatting>
  <conditionalFormatting sqref="S10">
    <cfRule type="cellIs" priority="59" operator="lessThanOrEqual" aboveAverage="0" equalAverage="0" bottom="0" percent="0" rank="0" text="" dxfId="0">
      <formula>I10</formula>
    </cfRule>
  </conditionalFormatting>
  <conditionalFormatting sqref="S11">
    <cfRule type="cellIs" priority="60" operator="lessThanOrEqual" aboveAverage="0" equalAverage="0" bottom="0" percent="0" rank="0" text="" dxfId="0">
      <formula>I11</formula>
    </cfRule>
  </conditionalFormatting>
  <conditionalFormatting sqref="S12">
    <cfRule type="cellIs" priority="61" operator="lessThanOrEqual" aboveAverage="0" equalAverage="0" bottom="0" percent="0" rank="0" text="" dxfId="0">
      <formula>I12</formula>
    </cfRule>
  </conditionalFormatting>
  <conditionalFormatting sqref="S13">
    <cfRule type="cellIs" priority="62" operator="lessThanOrEqual" aboveAverage="0" equalAverage="0" bottom="0" percent="0" rank="0" text="" dxfId="0">
      <formula>I13</formula>
    </cfRule>
  </conditionalFormatting>
  <conditionalFormatting sqref="S15">
    <cfRule type="cellIs" priority="63" operator="lessThanOrEqual" aboveAverage="0" equalAverage="0" bottom="0" percent="0" rank="0" text="" dxfId="0">
      <formula>I15</formula>
    </cfRule>
  </conditionalFormatting>
  <conditionalFormatting sqref="S16">
    <cfRule type="cellIs" priority="64" operator="lessThanOrEqual" aboveAverage="0" equalAverage="0" bottom="0" percent="0" rank="0" text="" dxfId="0">
      <formula>I16</formula>
    </cfRule>
  </conditionalFormatting>
  <conditionalFormatting sqref="S17">
    <cfRule type="cellIs" priority="65" operator="lessThanOrEqual" aboveAverage="0" equalAverage="0" bottom="0" percent="0" rank="0" text="" dxfId="0">
      <formula>I17</formula>
    </cfRule>
  </conditionalFormatting>
  <conditionalFormatting sqref="S18">
    <cfRule type="cellIs" priority="66" operator="lessThanOrEqual" aboveAverage="0" equalAverage="0" bottom="0" percent="0" rank="0" text="" dxfId="0">
      <formula>I18</formula>
    </cfRule>
  </conditionalFormatting>
  <conditionalFormatting sqref="S19">
    <cfRule type="cellIs" priority="67" operator="lessThanOrEqual" aboveAverage="0" equalAverage="0" bottom="0" percent="0" rank="0" text="" dxfId="0">
      <formula>I19</formula>
    </cfRule>
  </conditionalFormatting>
  <conditionalFormatting sqref="S20">
    <cfRule type="cellIs" priority="68" operator="lessThanOrEqual" aboveAverage="0" equalAverage="0" bottom="0" percent="0" rank="0" text="" dxfId="0">
      <formula>I20</formula>
    </cfRule>
  </conditionalFormatting>
  <conditionalFormatting sqref="S22">
    <cfRule type="cellIs" priority="69" operator="lessThanOrEqual" aboveAverage="0" equalAverage="0" bottom="0" percent="0" rank="0" text="" dxfId="0">
      <formula>I22</formula>
    </cfRule>
  </conditionalFormatting>
  <conditionalFormatting sqref="S23">
    <cfRule type="cellIs" priority="70" operator="lessThanOrEqual" aboveAverage="0" equalAverage="0" bottom="0" percent="0" rank="0" text="" dxfId="0">
      <formula>I23</formula>
    </cfRule>
  </conditionalFormatting>
  <conditionalFormatting sqref="S25">
    <cfRule type="cellIs" priority="71" operator="lessThanOrEqual" aboveAverage="0" equalAverage="0" bottom="0" percent="0" rank="0" text="" dxfId="0">
      <formula>I25</formula>
    </cfRule>
  </conditionalFormatting>
  <conditionalFormatting sqref="S27">
    <cfRule type="cellIs" priority="72" operator="lessThanOrEqual" aboveAverage="0" equalAverage="0" bottom="0" percent="0" rank="0" text="" dxfId="0">
      <formula>I27</formula>
    </cfRule>
  </conditionalFormatting>
  <conditionalFormatting sqref="S28">
    <cfRule type="cellIs" priority="73" operator="lessThanOrEqual" aboveAverage="0" equalAverage="0" bottom="0" percent="0" rank="0" text="" dxfId="0">
      <formula>I28</formula>
    </cfRule>
  </conditionalFormatting>
  <conditionalFormatting sqref="S29">
    <cfRule type="cellIs" priority="74" operator="lessThanOrEqual" aboveAverage="0" equalAverage="0" bottom="0" percent="0" rank="0" text="" dxfId="0">
      <formula>I29</formula>
    </cfRule>
  </conditionalFormatting>
  <conditionalFormatting sqref="S30">
    <cfRule type="cellIs" priority="75" operator="lessThanOrEqual" aboveAverage="0" equalAverage="0" bottom="0" percent="0" rank="0" text="" dxfId="0">
      <formula>I30</formula>
    </cfRule>
  </conditionalFormatting>
  <conditionalFormatting sqref="S8">
    <cfRule type="cellIs" priority="76" operator="lessThanOrEqual" aboveAverage="0" equalAverage="0" bottom="0" percent="0" rank="0" text="" dxfId="0">
      <formula>I8</formula>
    </cfRule>
  </conditionalFormatting>
  <conditionalFormatting sqref="S9">
    <cfRule type="cellIs" priority="77" operator="lessThanOrEqual" aboveAverage="0" equalAverage="0" bottom="0" percent="0" rank="0" text="" dxfId="0">
      <formula>I9</formula>
    </cfRule>
  </conditionalFormatting>
  <hyperlinks>
    <hyperlink ref="O7" r:id="rId2" display="Link"/>
    <hyperlink ref="AA7" r:id="rId3" display="Link"/>
    <hyperlink ref="O8" r:id="rId4" display="Link"/>
    <hyperlink ref="U8" r:id="rId5" display="Link"/>
    <hyperlink ref="O9" r:id="rId6" display="Link"/>
    <hyperlink ref="U9" r:id="rId7" display="Link"/>
    <hyperlink ref="AA9" r:id="rId8" display="Link"/>
    <hyperlink ref="O10" r:id="rId9" display="Link"/>
    <hyperlink ref="U10" r:id="rId10" display="Link"/>
    <hyperlink ref="AA10" r:id="rId11" display="Link"/>
    <hyperlink ref="O11" r:id="rId12" display="Link"/>
    <hyperlink ref="U11" r:id="rId13" display="Link"/>
    <hyperlink ref="O12" r:id="rId14" display="Link"/>
    <hyperlink ref="U12" r:id="rId15" display="Link"/>
    <hyperlink ref="AA12" r:id="rId16" display="Link"/>
    <hyperlink ref="O13" r:id="rId17" display="Link"/>
    <hyperlink ref="U13" r:id="rId18" display="Link"/>
    <hyperlink ref="AA13" r:id="rId19" display="Link"/>
    <hyperlink ref="O15" r:id="rId20" display="Link"/>
    <hyperlink ref="U15" r:id="rId21" display="Link"/>
    <hyperlink ref="AA15" r:id="rId22" display="Link"/>
    <hyperlink ref="O16" r:id="rId23" display="Link"/>
    <hyperlink ref="U16" r:id="rId24" display="Link"/>
    <hyperlink ref="AA16" r:id="rId25" display="Link"/>
    <hyperlink ref="O17" r:id="rId26" display="Link"/>
    <hyperlink ref="U17" r:id="rId27" display="Link"/>
    <hyperlink ref="AA17" r:id="rId28" display="Link"/>
    <hyperlink ref="O18" r:id="rId29" display="Link"/>
    <hyperlink ref="U18" r:id="rId30" display="Link"/>
    <hyperlink ref="AA18" r:id="rId31" display="Link"/>
    <hyperlink ref="O19" r:id="rId32" display="Link"/>
    <hyperlink ref="U19" r:id="rId33" display="Link"/>
    <hyperlink ref="AA19" r:id="rId34" display="Link"/>
    <hyperlink ref="O20" r:id="rId35" display="Link"/>
    <hyperlink ref="U20" r:id="rId36" display="Link"/>
    <hyperlink ref="AA20" r:id="rId37" display="Link"/>
    <hyperlink ref="O22" r:id="rId38" display="Link"/>
    <hyperlink ref="U22" r:id="rId39" display="Link"/>
    <hyperlink ref="AA22" r:id="rId40" display="Link"/>
    <hyperlink ref="O23" r:id="rId41" display="Link"/>
    <hyperlink ref="U23" r:id="rId42" display="Link"/>
    <hyperlink ref="AA23" r:id="rId43" display="Link"/>
    <hyperlink ref="U25" r:id="rId44" display="Link"/>
    <hyperlink ref="AA25" r:id="rId45" display="Link"/>
    <hyperlink ref="O27" r:id="rId46" display="Link"/>
    <hyperlink ref="U27" r:id="rId47" display="Link"/>
    <hyperlink ref="AA27" r:id="rId48" display="Link"/>
    <hyperlink ref="O28" r:id="rId49" display="Link"/>
    <hyperlink ref="U28" r:id="rId50" display="Link"/>
    <hyperlink ref="AA28" r:id="rId51" display="Link"/>
    <hyperlink ref="O29" r:id="rId52" display="Link"/>
    <hyperlink ref="U29" r:id="rId53" display="Link"/>
    <hyperlink ref="AA29" r:id="rId54" display="Link"/>
    <hyperlink ref="O30" r:id="rId55" display="Link"/>
    <hyperlink ref="U30" r:id="rId56" display="Link"/>
    <hyperlink ref="AA30" r:id="rId57" display="Lin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5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188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2016-10-17T19:15:58Z</dcterms:created>
  <dc:language>es-AR</dc:language>
  <cp:lastModifiedBy>Diego Brengi</cp:lastModifiedBy>
  <dcterms:modified xsi:type="dcterms:W3CDTF">2016-10-17T16:19:25Z</dcterms:modified>
  <cp:revision>1</cp:revision>
</cp:coreProperties>
</file>