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KiCost!$J$5:$O$35</definedName>
    <definedName name="global_part_data">KiCost!$A$5:$I$35</definedName>
    <definedName name="mouser_part_data">KiCost!$P$5:$U$35</definedName>
    <definedName name="newark_part_data">KiCost!$V$5:$AA$35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<sst xmlns="http://schemas.openxmlformats.org/spreadsheetml/2006/main" count="297" uniqueCount="170">
  <si>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</si>
  <si>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</si>
  <si>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</si>
  <si>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</si>
  <si>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</si>
  <si>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</si>
  <si>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</si>
  <si>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</si>
  <si>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</si>
  <si>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</si>
  <si>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Q1-Q4</t>
  </si>
  <si>
    <t>BC557BTA</t>
  </si>
  <si>
    <t>Fairchild Semiconductor</t>
  </si>
  <si>
    <t>osc:TO-92_Inline_Wide</t>
  </si>
  <si>
    <t>BC557</t>
  </si>
  <si>
    <t>F1-F3</t>
  </si>
  <si>
    <t>osc:Fiducial_1mm</t>
  </si>
  <si>
    <t>FIDUCIAL</t>
  </si>
  <si>
    <t>D5</t>
  </si>
  <si>
    <t>PPPC091LFBN-RC</t>
  </si>
  <si>
    <t>Sullins Connector Solutions</t>
  </si>
  <si>
    <t>osc:Display</t>
  </si>
  <si>
    <t>Display</t>
  </si>
  <si>
    <t>R16</t>
  </si>
  <si>
    <t>RMCF0805JT150K</t>
  </si>
  <si>
    <t>Stackpole Electronics Inc.</t>
  </si>
  <si>
    <t>osc:R_0805_HandSoldering</t>
  </si>
  <si>
    <t>150k</t>
  </si>
  <si>
    <t>D1,D2</t>
  </si>
  <si>
    <t>BAT54W,135</t>
  </si>
  <si>
    <t>NXP Semiconductors</t>
  </si>
  <si>
    <t>osc:SOT-323</t>
  </si>
  <si>
    <t>BAT54</t>
  </si>
  <si>
    <t>D3</t>
  </si>
  <si>
    <t xml:space="preserve">BAT54W,135 </t>
  </si>
  <si>
    <t>R2-R5,R7</t>
  </si>
  <si>
    <t>RMCF0805JT100K</t>
  </si>
  <si>
    <t>100k</t>
  </si>
  <si>
    <t>FB2</t>
  </si>
  <si>
    <t>HZ0805E601R-10</t>
  </si>
  <si>
    <t>Laird-Signal Integrity Products</t>
  </si>
  <si>
    <t>FB1</t>
  </si>
  <si>
    <t xml:space="preserve">HZ0805E601R-10 </t>
  </si>
  <si>
    <t>R6</t>
  </si>
  <si>
    <t>RMCF0805JT910K</t>
  </si>
  <si>
    <t>910k</t>
  </si>
  <si>
    <t>U5</t>
  </si>
  <si>
    <t>CD4066BE</t>
  </si>
  <si>
    <t>Texas Instruments</t>
  </si>
  <si>
    <t>osc:DIP-14_W7.62mm_LongPads</t>
  </si>
  <si>
    <t>CD4066</t>
  </si>
  <si>
    <t>U2</t>
  </si>
  <si>
    <t>UA78L05ACLPR</t>
  </si>
  <si>
    <t>78L05</t>
  </si>
  <si>
    <t>C6-C12,C14</t>
  </si>
  <si>
    <t>CL21B104KBFNNNG</t>
  </si>
  <si>
    <t>Samsung Electro-Mechanics America, Inc.</t>
  </si>
  <si>
    <t>osc:C_0805_HandSoldering</t>
  </si>
  <si>
    <t>100nF</t>
  </si>
  <si>
    <t>R1</t>
  </si>
  <si>
    <t>RMCF0805JG10K0</t>
  </si>
  <si>
    <t>10k</t>
  </si>
  <si>
    <t>R12,R17,R19</t>
  </si>
  <si>
    <t>RMCF0805JT56K0</t>
  </si>
  <si>
    <t>56k</t>
  </si>
  <si>
    <t>P1</t>
  </si>
  <si>
    <t>5227161-1</t>
  </si>
  <si>
    <t>TE Connectivity AMP Connectors</t>
  </si>
  <si>
    <t>osc:BNC_Socket_TYCO-AMP_LargePads</t>
  </si>
  <si>
    <t>BNC</t>
  </si>
  <si>
    <t>R20-R26</t>
  </si>
  <si>
    <t>RMCF0805JT33R0</t>
  </si>
  <si>
    <t>33</t>
  </si>
  <si>
    <t>RV2</t>
  </si>
  <si>
    <t>PV36W503C01B00</t>
  </si>
  <si>
    <t>Bourns Inc.</t>
  </si>
  <si>
    <t>osc:Potentiometer_Bourns_3296W_3-8Zoll_Inline_ScrewUp</t>
  </si>
  <si>
    <t>R15</t>
  </si>
  <si>
    <t>RMCF0805JT1K80</t>
  </si>
  <si>
    <t>1k8</t>
  </si>
  <si>
    <t>XA1</t>
  </si>
  <si>
    <t>PEC20DAAN</t>
  </si>
  <si>
    <t>osc:poncho_grande</t>
  </si>
  <si>
    <t>Conn_Poncho2P_2x_20x2</t>
  </si>
  <si>
    <t>U3</t>
  </si>
  <si>
    <t>MC79L05ACLPR</t>
  </si>
  <si>
    <t>79L05</t>
  </si>
  <si>
    <t>R8-R11</t>
  </si>
  <si>
    <t>RMCF0805JT47K0</t>
  </si>
  <si>
    <t>47k</t>
  </si>
  <si>
    <t>R13</t>
  </si>
  <si>
    <t>RMCF0805JT18K0</t>
  </si>
  <si>
    <t>18k</t>
  </si>
  <si>
    <t>R14</t>
  </si>
  <si>
    <t>RMCF0805JT5K60</t>
  </si>
  <si>
    <t>5k6</t>
  </si>
  <si>
    <t>D4</t>
  </si>
  <si>
    <t>C1-C5</t>
  </si>
  <si>
    <t>860020672005</t>
  </si>
  <si>
    <t>Wurth Electronics Inc</t>
  </si>
  <si>
    <t>osc:C_Radial_D5_L11_P2</t>
  </si>
  <si>
    <t>1uF</t>
  </si>
  <si>
    <t>U4</t>
  </si>
  <si>
    <t>TL082IP</t>
  </si>
  <si>
    <t>osc:DIP-8_W7.62mm_LongPads</t>
  </si>
  <si>
    <t>TL082</t>
  </si>
  <si>
    <t>U1</t>
  </si>
  <si>
    <t>MAX232N</t>
  </si>
  <si>
    <t>osc:DIP-16_W7.62mm_LongPads</t>
  </si>
  <si>
    <t>MAX232</t>
  </si>
  <si>
    <t>RV1</t>
  </si>
  <si>
    <t>RK1631110TBK</t>
  </si>
  <si>
    <t>ALPS</t>
  </si>
  <si>
    <t>osc:Potentiometer_Alps-RK16-single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</si>
  <si>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</si>
  <si>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</si>
  <si>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</si>
  <si>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</si>
  <si>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</si>
  <si>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</si>
  <si>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</si>
  <si>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</si>
  <si>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</si>
  <si>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BC557BTACT-ND</t>
  </si>
  <si>
    <t>S7042-ND</t>
  </si>
  <si>
    <t>RMCF0805JT150KCT-ND</t>
  </si>
  <si>
    <t>568-11592-1-ND</t>
  </si>
  <si>
    <t>RMCF0805JT100KCT-ND</t>
  </si>
  <si>
    <t>240-2399-1-ND</t>
  </si>
  <si>
    <t>RMCF0805JT910KCT-ND</t>
  </si>
  <si>
    <t>296-2061-5-ND</t>
  </si>
  <si>
    <t>296-1365-1-ND</t>
  </si>
  <si>
    <t>1276-6468-1-ND</t>
  </si>
  <si>
    <t>RMCF0805JG10K0CT-ND</t>
  </si>
  <si>
    <t>RMCF0805JT56K0CT-ND</t>
  </si>
  <si>
    <t>A32244-ND</t>
  </si>
  <si>
    <t>RMCF0805JT33R0CT-ND</t>
  </si>
  <si>
    <t>490-2889-ND</t>
  </si>
  <si>
    <t>RMCF0805JT1K80CT-ND</t>
  </si>
  <si>
    <t>S2012E-20-ND</t>
  </si>
  <si>
    <t>296-31456-1-ND</t>
  </si>
  <si>
    <t>RMCF0805JT47K0CT-ND</t>
  </si>
  <si>
    <t>RMCF0805JT18K0CT-ND</t>
  </si>
  <si>
    <t>RMCF0805JT5K60CT-ND</t>
  </si>
  <si>
    <t>732-8851-1-ND</t>
  </si>
  <si>
    <t>296-1781-5-ND</t>
  </si>
  <si>
    <t>296-1402-5-ND</t>
  </si>
  <si>
    <t>Mouser</t>
  </si>
  <si>
    <t>512-BC557BTA</t>
  </si>
  <si>
    <t>895-USB-RS485-PCBA</t>
  </si>
  <si>
    <t>757-TPW1R005PLL1Q</t>
  </si>
  <si>
    <t>771-BAT54W135</t>
  </si>
  <si>
    <t>972-89HP0604SZBNRG</t>
  </si>
  <si>
    <t>595-CD4066BE</t>
  </si>
  <si>
    <t>595-UA78L05ACLPR</t>
  </si>
  <si>
    <t>571-2213362-1</t>
  </si>
  <si>
    <t>757-TC35667FTG005EL</t>
  </si>
  <si>
    <t>989-PL-ETH2-BLASTER</t>
  </si>
  <si>
    <t>595-MC79L05ACLPR</t>
  </si>
  <si>
    <t>710-82400102</t>
  </si>
  <si>
    <t>595-TL082IP</t>
  </si>
  <si>
    <t>595-MAX232N</t>
  </si>
  <si>
    <t>688-RK1631110TBK</t>
  </si>
  <si>
    <t>Newark</t>
  </si>
  <si>
    <t>31Y0494</t>
  </si>
  <si>
    <t>60K5124</t>
  </si>
  <si>
    <t>52K5955</t>
  </si>
  <si>
    <t>42K8695</t>
  </si>
  <si>
    <t>60K6992</t>
  </si>
  <si>
    <t>59K8220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</si>
</sst>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BC557BTACT-ND%20Fairchild%20Semiconductor" TargetMode="External"/><Relationship Id="rId2" Type="http://schemas.openxmlformats.org/officeDocument/2006/relationships/hyperlink" Target="http://www.mouser.com/Search/../ProductDetail/Fairchild-Semiconductor/BC557BTA/?qs=sGAEpiMZZMshyDBzk1%2fWi6kfu%252bQlsU6SZWUHvVyIqVY%3d" TargetMode="External"/><Relationship Id="rId3" Type="http://schemas.openxmlformats.org/officeDocument/2006/relationships/hyperlink" Target="http://www.newark.com/webapp/wcs/stores/servlet/Search?catalogId=15003&amp;langId=-1&amp;storeId=10194&amp;gs=true&amp;st=BC557BTA%20Fairchild%20Semiconductor" TargetMode="External"/><Relationship Id="rId4" Type="http://schemas.openxmlformats.org/officeDocument/2006/relationships/hyperlink" Target="http://www.digikey.com/scripts/DkSearch/dksus.dll?WT.z_header=search_go&amp;lang=en&amp;keywords=S7042-ND%20Sullins%20Connector%20Solutions" TargetMode="External"/><Relationship Id="rId5" Type="http://schemas.openxmlformats.org/officeDocument/2006/relationships/hyperlink" Target="http://www.mouser.com/Search/../ProductDetail/FTDI/USB-RS485-PCBA/?qs=sGAEpiMZZMsgSGrx0WqTbNPfcYRyEW%252bV" TargetMode="External"/><Relationship Id="rId6" Type="http://schemas.openxmlformats.org/officeDocument/2006/relationships/hyperlink" Target="http://www.newark.com/webapp/wcs/stores/servlet/Search?catalogId=15003&amp;langId=-1&amp;storeId=10194&amp;gs=true&amp;st=PPPC091LFBN-RC%20Sullins%20Connector%20Solutions" TargetMode="External"/><Relationship Id="rId7" Type="http://schemas.openxmlformats.org/officeDocument/2006/relationships/hyperlink" Target="http://www.digikey.com/scripts/DkSearch/dksus.dll?WT.z_header=search_go&amp;lang=en&amp;keywords=RMCF0805JT150KCT-ND%20Stackpole%20Electronics%20Inc." TargetMode="External"/><Relationship Id="rId8" Type="http://schemas.openxmlformats.org/officeDocument/2006/relationships/hyperlink" Target="http://www.mouser.com/Search/../ProductDetail/Toshiba/TPW1R005PLL1Q/?qs=sGAEpiMZZMu3xu3GWjvQiApfSGeLnrPA8BAIZpmZKfI%3d" TargetMode="External"/><Relationship Id="rId9" Type="http://schemas.openxmlformats.org/officeDocument/2006/relationships/hyperlink" Target="http://www.digikey.com/scripts/DkSearch/dksus.dll?WT.z_header=search_go&amp;lang=en&amp;keywords=568-11592-1-ND%20NXP%20Semiconductors" TargetMode="External"/><Relationship Id="rId10" Type="http://schemas.openxmlformats.org/officeDocument/2006/relationships/hyperlink" Target="http://www.mouser.com/Search/../ProductDetail/NXP-Semiconductors/BAT54W135/?qs=sGAEpiMZZMtQ8nqTKtFS%2fCm%2fGPNneIU6MxjYN7LD8TY%3d" TargetMode="External"/><Relationship Id="rId11" Type="http://schemas.openxmlformats.org/officeDocument/2006/relationships/hyperlink" Target="http://www.digikey.com/scripts/DkSearch/dksus.dll?WT.z_header=search_go&amp;lang=en&amp;keywords=568-11592-1-ND%20NXP%20Semiconductors" TargetMode="External"/><Relationship Id="rId12" Type="http://schemas.openxmlformats.org/officeDocument/2006/relationships/hyperlink" Target="http://www.mouser.com/Search/../ProductDetail/NXP-Semiconductors/BAT54W135/?qs=sGAEpiMZZMtQ8nqTKtFS%2fCm%2fGPNneIU6MxjYN7LD8TY%3d" TargetMode="External"/><Relationship Id="rId13" Type="http://schemas.openxmlformats.org/officeDocument/2006/relationships/hyperlink" Target="http://www.digikey.com/scripts/DkSearch/dksus.dll?WT.z_header=search_go&amp;lang=en&amp;keywords=RMCF0805JT100KCT-ND%20Stackpole%20Electronics%20Inc." TargetMode="External"/><Relationship Id="rId14" Type="http://schemas.openxmlformats.org/officeDocument/2006/relationships/hyperlink" Target="http://www.mouser.com/Search/../ProductDetail/Toshiba/TPW1R005PLL1Q/?qs=sGAEpiMZZMu3xu3GWjvQiApfSGeLnrPA8BAIZpmZKfI%3d" TargetMode="External"/><Relationship Id="rId15" Type="http://schemas.openxmlformats.org/officeDocument/2006/relationships/hyperlink" Target="http://www.digikey.com/scripts/DkSearch/dksus.dll?WT.z_header=search_go&amp;lang=en&amp;keywords=240-2399-1-ND%20Laird-Signal%20Integrity%20Products" TargetMode="External"/><Relationship Id="rId16" Type="http://schemas.openxmlformats.org/officeDocument/2006/relationships/hyperlink" Target="http://www.mouser.com/Search/../ProductDetail/IDT/89HP0604SZBNRG/?qs=sGAEpiMZZMvocn3OtlEZq1GdqiHYrh28" TargetMode="External"/><Relationship Id="rId17" Type="http://schemas.openxmlformats.org/officeDocument/2006/relationships/hyperlink" Target="http://www.digikey.com/scripts/DkSearch/dksus.dll?WT.z_header=search_go&amp;lang=en&amp;keywords=240-2399-1-ND%20Laird-Signal%20Integrity%20Products" TargetMode="External"/><Relationship Id="rId18" Type="http://schemas.openxmlformats.org/officeDocument/2006/relationships/hyperlink" Target="http://www.mouser.com/Search/../ProductDetail/IDT/89HP0604SZBNRG/?qs=sGAEpiMZZMvocn3OtlEZq1GdqiHYrh28" TargetMode="External"/><Relationship Id="rId19" Type="http://schemas.openxmlformats.org/officeDocument/2006/relationships/hyperlink" Target="http://www.digikey.com/scripts/DkSearch/dksus.dll?WT.z_header=search_go&amp;lang=en&amp;keywords=RMCF0805JT910KCT-ND%20Stackpole%20Electronics%20Inc." TargetMode="External"/><Relationship Id="rId20" Type="http://schemas.openxmlformats.org/officeDocument/2006/relationships/hyperlink" Target="http://www.mouser.com/Search/../ProductDetail/Toshiba/TPW1R005PLL1Q/?qs=sGAEpiMZZMu3xu3GWjvQiApfSGeLnrPA8BAIZpmZKfI%3d" TargetMode="External"/><Relationship Id="rId21" Type="http://schemas.openxmlformats.org/officeDocument/2006/relationships/hyperlink" Target="http://www.digikey.com/scripts/DkSearch/dksus.dll?WT.z_header=search_go&amp;lang=en&amp;keywords=296-2061-5-ND%20Texas%20Instruments" TargetMode="External"/><Relationship Id="rId22" Type="http://schemas.openxmlformats.org/officeDocument/2006/relationships/hyperlink" Target="http://www.mouser.com/Search/../ProductDetail/Texas-Instruments/CD4066BE/?qs=sGAEpiMZZMtxrAS98ir%252bs6Yg1tqWLu1bMUV0vl3BQSc%3d" TargetMode="External"/><Relationship Id="rId23" Type="http://schemas.openxmlformats.org/officeDocument/2006/relationships/hyperlink" Target="http://www.newark.com/texas-instruments/cd4066be/analog-switch-quad-spst-dip-14/dp/60K5124" TargetMode="External"/><Relationship Id="rId24" Type="http://schemas.openxmlformats.org/officeDocument/2006/relationships/hyperlink" Target="http://www.digikey.com/scripts/DkSearch/dksus.dll?WT.z_header=search_go&amp;lang=en&amp;keywords=296-1365-1-ND%20Texas%20Instruments" TargetMode="External"/><Relationship Id="rId25" Type="http://schemas.openxmlformats.org/officeDocument/2006/relationships/hyperlink" Target="http://www.mouser.com/Search/../ProductDetail/Texas-Instruments/UA78L05ACLPR/?qs=sGAEpiMZZMtUqDgmOWBjgDRL0v%252b7sWT8Sc034x75Nls%3d" TargetMode="External"/><Relationship Id="rId26" Type="http://schemas.openxmlformats.org/officeDocument/2006/relationships/hyperlink" Target="http://www.newark.com/texas-instruments/ua78l05aclpre3/linear-voltage-regulator-5v-to/dp/52K5955" TargetMode="External"/><Relationship Id="rId27" Type="http://schemas.openxmlformats.org/officeDocument/2006/relationships/hyperlink" Target="http://www.digikey.com/scripts/DkSearch/dksus.dll?WT.z_header=search_go&amp;lang=en&amp;keywords=1276-6468-1-ND%20Samsung%20Electro-Mechanics%20America%2C%20Inc." TargetMode="External"/><Relationship Id="rId28" Type="http://schemas.openxmlformats.org/officeDocument/2006/relationships/hyperlink" Target="http://www.digikey.com/scripts/DkSearch/dksus.dll?WT.z_header=search_go&amp;lang=en&amp;keywords=RMCF0805JG10K0CT-ND%20Stackpole%20Electronics%20Inc." TargetMode="External"/><Relationship Id="rId29" Type="http://schemas.openxmlformats.org/officeDocument/2006/relationships/hyperlink" Target="http://www.mouser.com/Search/../ProductDetail/Toshiba/TPW1R005PLL1Q/?qs=sGAEpiMZZMu3xu3GWjvQiApfSGeLnrPA8BAIZpmZKfI%3d" TargetMode="External"/><Relationship Id="rId30" Type="http://schemas.openxmlformats.org/officeDocument/2006/relationships/hyperlink" Target="http://www.digikey.com/scripts/DkSearch/dksus.dll?WT.z_header=search_go&amp;lang=en&amp;keywords=RMCF0805JT56K0CT-ND%20Stackpole%20Electronics%20Inc." TargetMode="External"/><Relationship Id="rId31" Type="http://schemas.openxmlformats.org/officeDocument/2006/relationships/hyperlink" Target="http://www.mouser.com/Search/../ProductDetail/Toshiba/TPW1R005PLL1Q/?qs=sGAEpiMZZMu3xu3GWjvQiApfSGeLnrPA8BAIZpmZKfI%3d" TargetMode="External"/><Relationship Id="rId32" Type="http://schemas.openxmlformats.org/officeDocument/2006/relationships/hyperlink" Target="http://www.digikey.com/scripts/DkSearch/dksus.dll?WT.z_header=search_go&amp;lang=en&amp;keywords=A32244-ND%20TE%20Connectivity%20AMP%20Connectors" TargetMode="External"/><Relationship Id="rId33" Type="http://schemas.openxmlformats.org/officeDocument/2006/relationships/hyperlink" Target="http://www.mouser.com/Search/../ProductDetail/TE-Connectivity-AMP/2213362-1/?qs=sGAEpiMZZMsn4IaorHFpMPFVCbq1MDcqjhldyt%252bxeMU%3d" TargetMode="External"/><Relationship Id="rId34" Type="http://schemas.openxmlformats.org/officeDocument/2006/relationships/hyperlink" Target="http://www.newark.com/webapp/wcs/stores/servlet/Search?catalogId=15003&amp;langId=-1&amp;storeId=10194&amp;gs=true&amp;st=5227161-1%20TE%20Connectivity%20AMP%20Connectors" TargetMode="External"/><Relationship Id="rId35" Type="http://schemas.openxmlformats.org/officeDocument/2006/relationships/hyperlink" Target="http://www.digikey.com/scripts/DkSearch/dksus.dll?WT.z_header=search_go&amp;lang=en&amp;keywords=RMCF0805JT33R0CT-ND%20Stackpole%20Electronics%20Inc." TargetMode="External"/><Relationship Id="rId36" Type="http://schemas.openxmlformats.org/officeDocument/2006/relationships/hyperlink" Target="http://www.mouser.com/Search/../ProductDetail/Toshiba/TC35667FTG-005EL/?qs=sGAEpiMZZMuKfYsiLTIqmOQAVlitM3SuLKC8IAoneqE%3d" TargetMode="External"/><Relationship Id="rId37" Type="http://schemas.openxmlformats.org/officeDocument/2006/relationships/hyperlink" Target="http://www.digikey.com/scripts/DkSearch/dksus.dll?WT.z_header=search_go&amp;lang=en&amp;keywords=490-2889-ND%20Bourns%20Inc." TargetMode="External"/><Relationship Id="rId38" Type="http://schemas.openxmlformats.org/officeDocument/2006/relationships/hyperlink" Target="http://www.digikey.com/scripts/DkSearch/dksus.dll?WT.z_header=search_go&amp;lang=en&amp;keywords=RMCF0805JT1K80CT-ND%20Stackpole%20Electronics%20Inc." TargetMode="External"/><Relationship Id="rId39" Type="http://schemas.openxmlformats.org/officeDocument/2006/relationships/hyperlink" Target="http://www.mouser.com/Search/../ProductDetail/Toshiba/TPW1R005PLL1Q/?qs=sGAEpiMZZMu3xu3GWjvQiApfSGeLnrPA8BAIZpmZKfI%3d" TargetMode="External"/><Relationship Id="rId40" Type="http://schemas.openxmlformats.org/officeDocument/2006/relationships/hyperlink" Target="http://www.digikey.com/scripts/DkSearch/dksus.dll?WT.z_header=search_go&amp;lang=en&amp;keywords=S2012E-20-ND%20Sullins%20Connector%20Solutions" TargetMode="External"/><Relationship Id="rId41" Type="http://schemas.openxmlformats.org/officeDocument/2006/relationships/hyperlink" Target="http://www.mouser.com/Search/../ProductDetail/Altera/PL-ETH2-BLASTER/?qs=sGAEpiMZZMs24GWi4QakP59quv%2f1LikQ" TargetMode="External"/><Relationship Id="rId42" Type="http://schemas.openxmlformats.org/officeDocument/2006/relationships/hyperlink" Target="http://www.newark.com/webapp/wcs/stores/servlet/Search?catalogId=15003&amp;langId=-1&amp;storeId=10194&amp;gs=true&amp;st=PEC20DAAN%20Sullins%20Connector%20Solutions" TargetMode="External"/><Relationship Id="rId43" Type="http://schemas.openxmlformats.org/officeDocument/2006/relationships/hyperlink" Target="http://www.digikey.com/scripts/DkSearch/dksus.dll?WT.z_header=search_go&amp;lang=en&amp;keywords=296-31456-1-ND%20Texas%20Instruments" TargetMode="External"/><Relationship Id="rId44" Type="http://schemas.openxmlformats.org/officeDocument/2006/relationships/hyperlink" Target="http://www.mouser.com/Search/../ProductDetail/Texas-Instruments/MC79L05ACLPR/?qs=sGAEpiMZZMtUqDgmOWBjgPuGZQ4fg57uVOzm2LDN5eE%3d" TargetMode="External"/><Relationship Id="rId45" Type="http://schemas.openxmlformats.org/officeDocument/2006/relationships/hyperlink" Target="http://www.digikey.com/scripts/DkSearch/dksus.dll?WT.z_header=search_go&amp;lang=en&amp;keywords=RMCF0805JT47K0CT-ND%20Stackpole%20Electronics%20Inc." TargetMode="External"/><Relationship Id="rId46" Type="http://schemas.openxmlformats.org/officeDocument/2006/relationships/hyperlink" Target="http://www.mouser.com/Search/../ProductDetail/Toshiba/TC35667FTG-005EL/?qs=sGAEpiMZZMuKfYsiLTIqmOQAVlitM3SuLKC8IAoneqE%3d" TargetMode="External"/><Relationship Id="rId47" Type="http://schemas.openxmlformats.org/officeDocument/2006/relationships/hyperlink" Target="http://www.digikey.com/scripts/DkSearch/dksus.dll?WT.z_header=search_go&amp;lang=en&amp;keywords=RMCF0805JT18K0CT-ND%20Stackpole%20Electronics%20Inc." TargetMode="External"/><Relationship Id="rId48" Type="http://schemas.openxmlformats.org/officeDocument/2006/relationships/hyperlink" Target="http://www.mouser.com/Search/../ProductDetail/Toshiba/TPW1R005PLL1Q/?qs=sGAEpiMZZMu3xu3GWjvQiApfSGeLnrPA8BAIZpmZKfI%3d" TargetMode="External"/><Relationship Id="rId49" Type="http://schemas.openxmlformats.org/officeDocument/2006/relationships/hyperlink" Target="http://www.digikey.com/scripts/DkSearch/dksus.dll?WT.z_header=search_go&amp;lang=en&amp;keywords=RMCF0805JT5K60CT-ND%20Stackpole%20Electronics%20Inc." TargetMode="External"/><Relationship Id="rId50" Type="http://schemas.openxmlformats.org/officeDocument/2006/relationships/hyperlink" Target="http://www.mouser.com/Search/../ProductDetail/Toshiba/TC35667FTG-005EL/?qs=sGAEpiMZZMuKfYsiLTIqmOQAVlitM3SuLKC8IAoneqE%3d" TargetMode="External"/><Relationship Id="rId51" Type="http://schemas.openxmlformats.org/officeDocument/2006/relationships/hyperlink" Target="http://www.digikey.com/scripts/DkSearch/dksus.dll?WT.z_header=search_go&amp;lang=en&amp;keywords=568-11592-1-ND%20%20NXP%20Semiconductors" TargetMode="External"/><Relationship Id="rId52" Type="http://schemas.openxmlformats.org/officeDocument/2006/relationships/hyperlink" Target="http://www.mouser.com/Search/../ProductDetail/NXP-Semiconductors/BAT54W135/?qs=sGAEpiMZZMtQ8nqTKtFS%2fCm%2fGPNneIU6MxjYN7LD8TY%3d" TargetMode="External"/><Relationship Id="rId53" Type="http://schemas.openxmlformats.org/officeDocument/2006/relationships/hyperlink" Target="http://www.digikey.com/scripts/DkSearch/dksus.dll?WT.z_header=search_go&amp;lang=en&amp;keywords=732-8851-1-ND%20Wurth%20Electronics%20Inc" TargetMode="External"/><Relationship Id="rId54" Type="http://schemas.openxmlformats.org/officeDocument/2006/relationships/hyperlink" Target="http://www.mouser.com/Search/../ProductDetail/Wurth-Electronics/82400102/?qs=sGAEpiMZZMsgNhPy3wz0s7wk%252btRdvr2NEQ4fe6mXKV8%3d" TargetMode="External"/><Relationship Id="rId55" Type="http://schemas.openxmlformats.org/officeDocument/2006/relationships/hyperlink" Target="http://www.digikey.com/scripts/DkSearch/dksus.dll?WT.z_header=search_go&amp;lang=en&amp;keywords=296-1781-5-ND%20Texas%20Instruments" TargetMode="External"/><Relationship Id="rId56" Type="http://schemas.openxmlformats.org/officeDocument/2006/relationships/hyperlink" Target="http://www.mouser.com/Search/../ProductDetail/Texas-Instruments/TL082IP/?qs=sGAEpiMZZMtCHixnSjNA6NDQA1eMYwPyVd6czH8quLM%3d" TargetMode="External"/><Relationship Id="rId57" Type="http://schemas.openxmlformats.org/officeDocument/2006/relationships/hyperlink" Target="http://www.newark.com/texas-instruments/tl082ip/op-amp-3mhz-13v-us-dip-8/dp/60K6992" TargetMode="External"/><Relationship Id="rId58" Type="http://schemas.openxmlformats.org/officeDocument/2006/relationships/hyperlink" Target="http://www.digikey.com/scripts/DkSearch/dksus.dll?WT.z_header=search_go&amp;lang=en&amp;keywords=296-1402-5-ND%20Texas%20Instruments" TargetMode="External"/><Relationship Id="rId59" Type="http://schemas.openxmlformats.org/officeDocument/2006/relationships/hyperlink" Target="http://www.mouser.com/Search/../ProductDetail/Texas-Instruments/MAX232N/?qs=sGAEpiMZZMtnIqnDeWcRHaGjJOj%252b7hQWFU3LFZTnxkQ%3d" TargetMode="External"/><Relationship Id="rId60" Type="http://schemas.openxmlformats.org/officeDocument/2006/relationships/hyperlink" Target="http://www.newark.com/texas-instruments/max232n/driver-receiver-rs232-120kbps/dp/59K8220" TargetMode="External"/><Relationship Id="rId61" Type="http://schemas.openxmlformats.org/officeDocument/2006/relationships/hyperlink" Target="http://www.mouser.com/Search/Refine.aspx?Keyword=688-RK1631110TBK%20ALPS" TargetMode="External"/><Relationship Id="rId62" Type="http://schemas.openxmlformats.org/officeDocument/2006/relationships/vmlDrawing" Target="../drawings/vmlDrawing1.vml"/><Relationship Id="rId6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114</v>
      </c>
      <c r="I1" s="2">
        <v>100</v>
      </c>
    </row>
    <row r="2" spans="1:27">
      <c r="H2" s="3" t="s">
        <v>115</v>
      </c>
      <c r="I2" s="4">
        <f>sum(I7:I35)</f>
        <v>0</v>
      </c>
      <c r="M2" s="4">
        <f>sum(M7:M35)</f>
        <v>0</v>
      </c>
      <c r="S2" s="4">
        <f>sum(S7:S35)</f>
        <v>0</v>
      </c>
      <c r="Y2" s="4">
        <f>sum(Y7:Y35)</f>
        <v>0</v>
      </c>
    </row>
    <row r="3" spans="1:27">
      <c r="H3" s="3" t="s">
        <v>116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117</v>
      </c>
      <c r="K5" s="7"/>
      <c r="L5" s="7"/>
      <c r="M5" s="7"/>
      <c r="N5" s="7"/>
      <c r="O5" s="7"/>
      <c r="P5" s="8" t="s">
        <v>147</v>
      </c>
      <c r="Q5" s="8"/>
      <c r="R5" s="8"/>
      <c r="S5" s="8"/>
      <c r="T5" s="8"/>
      <c r="U5" s="8"/>
      <c r="V5" s="9" t="s">
        <v>163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119</v>
      </c>
      <c r="K6" s="10" t="s">
        <v>120</v>
      </c>
      <c r="L6" s="10" t="s">
        <v>3</v>
      </c>
      <c r="M6" s="10" t="s">
        <v>2</v>
      </c>
      <c r="N6" s="10" t="s">
        <v>121</v>
      </c>
      <c r="O6" s="10" t="s">
        <v>118</v>
      </c>
      <c r="P6" s="10" t="s">
        <v>119</v>
      </c>
      <c r="Q6" s="10" t="s">
        <v>120</v>
      </c>
      <c r="R6" s="10" t="s">
        <v>3</v>
      </c>
      <c r="S6" s="10" t="s">
        <v>2</v>
      </c>
      <c r="T6" s="10" t="s">
        <v>121</v>
      </c>
      <c r="U6" s="10" t="s">
        <v>118</v>
      </c>
      <c r="V6" s="10" t="s">
        <v>119</v>
      </c>
      <c r="W6" s="10" t="s">
        <v>120</v>
      </c>
      <c r="X6" s="10" t="s">
        <v>3</v>
      </c>
      <c r="Y6" s="10" t="s">
        <v>2</v>
      </c>
      <c r="Z6" s="10" t="s">
        <v>121</v>
      </c>
      <c r="AA6" s="10" t="s">
        <v>118</v>
      </c>
    </row>
    <row r="7" spans="1:27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BoardQty*4</f>
        <v>0</v>
      </c>
      <c r="H7" s="11">
        <f>MINA(INDIRECT(ADDRESS(ROW(),COLUMN(newark_part_data)+2)),INDIRECT(ADDRESS(ROW(),COLUMN(digikey_part_data)+2)),INDIRECT(ADDRESS(ROW(),COLUMN(mouser_part_data)+2)))</f>
        <v>0</v>
      </c>
      <c r="I7" s="11">
        <f>iferror(G7*H7,"")</f>
        <v>0</v>
      </c>
      <c r="J7">
        <v>5925</v>
      </c>
      <c r="L7" s="11">
        <f>iferror(lookup(if(K7="",G7,K7),{0,1,10,100,500,1000,2000,6000,10000,50000,100000,200000},{0.0,0.21,0.17,0.0898,0.05906,0.04024,0.03519,0.0306,0.02601,0.02295,0.02035,0.01989}),"")</f>
        <v>0</v>
      </c>
      <c r="M7" s="11">
        <f>iferror(if(K7="",G7,K7)*L7,"")</f>
        <v>0</v>
      </c>
      <c r="N7" t="s">
        <v>123</v>
      </c>
      <c r="O7" s="12" t="s">
        <v>122</v>
      </c>
      <c r="P7">
        <v>7163</v>
      </c>
      <c r="R7" s="11">
        <f>iferror(lookup(if(Q7="",G7,Q7),{0,1,10,100,1000,2000,10000,24000,50000,100000},{0.0,0.21,0.142,0.059,0.04,0.031,0.027,0.024,0.023,0.02}),"")</f>
        <v>0</v>
      </c>
      <c r="S7" s="11">
        <f>iferror(if(Q7="",G7,Q7)*R7,"")</f>
        <v>0</v>
      </c>
      <c r="T7" t="s">
        <v>148</v>
      </c>
      <c r="U7" s="12" t="s">
        <v>122</v>
      </c>
      <c r="V7">
        <v>2048</v>
      </c>
      <c r="X7" s="11">
        <f>iferror(lookup(if(W7="",G7,W7),{0,1,250,500,1000,5000},{0.0,0.066,0.05,0.045,0.04,0.037}),"")</f>
        <v>0</v>
      </c>
      <c r="Y7" s="11">
        <f>iferror(if(W7="",G7,W7)*X7,"")</f>
        <v>0</v>
      </c>
      <c r="Z7" t="s">
        <v>164</v>
      </c>
      <c r="AA7" s="12" t="s">
        <v>122</v>
      </c>
    </row>
    <row r="8" spans="1:27">
      <c r="A8" t="s">
        <v>15</v>
      </c>
      <c r="B8" t="s">
        <v>17</v>
      </c>
      <c r="D8" t="s">
        <v>16</v>
      </c>
      <c r="G8">
        <f>BoardQty*3</f>
        <v>0</v>
      </c>
      <c r="H8" s="11">
        <f>MINA(INDIRECT(ADDRESS(ROW(),COLUMN(newark_part_data)+2)),INDIRECT(ADDRESS(ROW(),COLUMN(digikey_part_data)+2)),INDIRECT(ADDRESS(ROW(),COLUMN(mouser_part_data)+2)))</f>
        <v>0</v>
      </c>
      <c r="I8" s="11">
        <f>iferror(G8*H8,"")</f>
        <v>0</v>
      </c>
    </row>
    <row r="9" spans="1:27">
      <c r="A9" t="s">
        <v>18</v>
      </c>
      <c r="B9" t="s">
        <v>22</v>
      </c>
      <c r="D9" t="s">
        <v>21</v>
      </c>
      <c r="E9" t="s">
        <v>20</v>
      </c>
      <c r="F9" t="s">
        <v>19</v>
      </c>
      <c r="G9">
        <f>BoardQty*1</f>
        <v>0</v>
      </c>
      <c r="H9" s="11">
        <f>MINA(INDIRECT(ADDRESS(ROW(),COLUMN(newark_part_data)+2)),INDIRECT(ADDRESS(ROW(),COLUMN(digikey_part_data)+2)),INDIRECT(ADDRESS(ROW(),COLUMN(mouser_part_data)+2)))</f>
        <v>0</v>
      </c>
      <c r="I9" s="11">
        <f>iferror(G9*H9,"")</f>
        <v>0</v>
      </c>
      <c r="J9">
        <v>553</v>
      </c>
      <c r="L9" s="11">
        <f>iferror(lookup(if(K9="",G9,K9),{0,1,10,25,50,100,250,500,1000,2500},{0.0,0.83,0.691,0.64,0.576,0.512,0.448,0.4096,0.3712,0.3328}),"")</f>
        <v>0</v>
      </c>
      <c r="M9" s="11">
        <f>iferror(if(K9="",G9,K9)*L9,"")</f>
        <v>0</v>
      </c>
      <c r="N9" t="s">
        <v>124</v>
      </c>
      <c r="O9" s="12" t="s">
        <v>122</v>
      </c>
      <c r="P9">
        <v>404</v>
      </c>
      <c r="R9" s="11">
        <f>iferror(lookup(if(Q9="",G9,Q9),{0,1},{0.0,25.19}),"")</f>
        <v>0</v>
      </c>
      <c r="S9" s="11">
        <f>iferror(if(Q9="",G9,Q9)*R9,"")</f>
        <v>0</v>
      </c>
      <c r="T9" t="s">
        <v>149</v>
      </c>
      <c r="U9" s="12" t="s">
        <v>122</v>
      </c>
      <c r="AA9" s="12" t="s">
        <v>122</v>
      </c>
    </row>
    <row r="10" spans="1:27">
      <c r="A10" t="s">
        <v>23</v>
      </c>
      <c r="B10" t="s">
        <v>27</v>
      </c>
      <c r="D10" t="s">
        <v>26</v>
      </c>
      <c r="E10" t="s">
        <v>25</v>
      </c>
      <c r="F10" t="s">
        <v>24</v>
      </c>
      <c r="G10">
        <f>BoardQty*1</f>
        <v>0</v>
      </c>
      <c r="H10" s="11">
        <f>MINA(INDIRECT(ADDRESS(ROW(),COLUMN(newark_part_data)+2)),INDIRECT(ADDRESS(ROW(),COLUMN(digikey_part_data)+2)),INDIRECT(ADDRESS(ROW(),COLUMN(mouser_part_data)+2)))</f>
        <v>0</v>
      </c>
      <c r="I10" s="11">
        <f>iferror(G10*H10,"")</f>
        <v>0</v>
      </c>
      <c r="J10">
        <v>19365</v>
      </c>
      <c r="L10" s="11">
        <f>iferror(lookup(if(K10="",G10,K10),{0,1,10,25,50,100,250,500,1000,5000,10000,25000,50000},{0.0,0.1,0.015,0.0108,0.0084,0.0061,0.00468,0.00374,0.00276,0.00198,0.00172,0.00151,0.00141}),"")</f>
        <v>0</v>
      </c>
      <c r="M10" s="11">
        <f>iferror(if(K10="",G10,K10)*L10,"")</f>
        <v>0</v>
      </c>
      <c r="N10" t="s">
        <v>125</v>
      </c>
      <c r="O10" s="12" t="s">
        <v>122</v>
      </c>
      <c r="P10">
        <v>3859</v>
      </c>
      <c r="R10" s="11">
        <f>iferror(lookup(if(Q10="",G10,Q10),{0,1,10,100,500,1000,2500,5000},{0.0,1.95,1.57,1.26,1.1,0.913,0.848,0.818}),"")</f>
        <v>0</v>
      </c>
      <c r="S10" s="11">
        <f>iferror(if(Q10="",G10,Q10)*R10,"")</f>
        <v>0</v>
      </c>
      <c r="T10" t="s">
        <v>150</v>
      </c>
      <c r="U10" s="12" t="s">
        <v>122</v>
      </c>
    </row>
    <row r="11" spans="1:27">
      <c r="A11" t="s">
        <v>28</v>
      </c>
      <c r="B11" t="s">
        <v>32</v>
      </c>
      <c r="D11" t="s">
        <v>31</v>
      </c>
      <c r="E11" t="s">
        <v>30</v>
      </c>
      <c r="F11" t="s">
        <v>29</v>
      </c>
      <c r="G11">
        <f>BoardQty*2</f>
        <v>0</v>
      </c>
      <c r="H11" s="11">
        <f>MINA(INDIRECT(ADDRESS(ROW(),COLUMN(newark_part_data)+2)),INDIRECT(ADDRESS(ROW(),COLUMN(digikey_part_data)+2)),INDIRECT(ADDRESS(ROW(),COLUMN(mouser_part_data)+2)))</f>
        <v>0</v>
      </c>
      <c r="I11" s="11">
        <f>iferror(G11*H11,"")</f>
        <v>0</v>
      </c>
      <c r="J11">
        <v>40480</v>
      </c>
      <c r="L11" s="11">
        <f>iferror(lookup(if(K11="",G11,K11),{0,1,10,100,500,1000,3000,6000,10000,15000,30000,50000,75000,100000,150000,250000},{0.0,0.31,0.255,0.135,0.08878,0.06049,0.04876,0.0424,0.0391,0.03604,0.03392,0.0345,0.0318,0.03059,0.02756,0.0299}),"")</f>
        <v>0</v>
      </c>
      <c r="M11" s="11">
        <f>iferror(if(K11="",G11,K11)*L11,"")</f>
        <v>0</v>
      </c>
      <c r="N11" t="s">
        <v>126</v>
      </c>
      <c r="O11" s="12" t="s">
        <v>122</v>
      </c>
      <c r="P11">
        <v>4747</v>
      </c>
      <c r="R11" s="11">
        <f>iferror(lookup(if(Q11="",G11,Q11),{0,1,10,100,1000,2500,10000,20000,50000,100000},{0.0,0.32,0.213,0.089,0.06,0.046,0.039,0.037,0.034,0.031}),"")</f>
        <v>0</v>
      </c>
      <c r="S11" s="11">
        <f>iferror(if(Q11="",G11,Q11)*R11,"")</f>
        <v>0</v>
      </c>
      <c r="T11" t="s">
        <v>151</v>
      </c>
      <c r="U11" s="12" t="s">
        <v>122</v>
      </c>
    </row>
    <row r="12" spans="1:27">
      <c r="A12" t="s">
        <v>33</v>
      </c>
      <c r="B12" t="s">
        <v>32</v>
      </c>
      <c r="D12" t="s">
        <v>31</v>
      </c>
      <c r="E12" t="s">
        <v>30</v>
      </c>
      <c r="F12" t="s">
        <v>34</v>
      </c>
      <c r="G12">
        <f>BoardQty*1</f>
        <v>0</v>
      </c>
      <c r="H12" s="11">
        <f>MINA(INDIRECT(ADDRESS(ROW(),COLUMN(newark_part_data)+2)),INDIRECT(ADDRESS(ROW(),COLUMN(digikey_part_data)+2)),INDIRECT(ADDRESS(ROW(),COLUMN(mouser_part_data)+2)))</f>
        <v>0</v>
      </c>
      <c r="I12" s="11">
        <f>iferror(G12*H12,"")</f>
        <v>0</v>
      </c>
      <c r="J12">
        <v>40480</v>
      </c>
      <c r="L12" s="11">
        <f>iferror(lookup(if(K12="",G12,K12),{0,1,10,100,500,1000,3000,6000,10000,15000,30000,50000,75000,100000,150000,250000},{0.0,0.31,0.255,0.135,0.08878,0.06049,0.04876,0.0424,0.0391,0.03604,0.03392,0.0345,0.0318,0.03059,0.02756,0.0299}),"")</f>
        <v>0</v>
      </c>
      <c r="M12" s="11">
        <f>iferror(if(K12="",G12,K12)*L12,"")</f>
        <v>0</v>
      </c>
      <c r="N12" t="s">
        <v>126</v>
      </c>
      <c r="O12" s="12" t="s">
        <v>122</v>
      </c>
      <c r="P12">
        <v>4747</v>
      </c>
      <c r="R12" s="11">
        <f>iferror(lookup(if(Q12="",G12,Q12),{0,1,10,100,1000,2500,10000,20000,50000,100000},{0.0,0.32,0.213,0.089,0.06,0.046,0.039,0.037,0.034,0.031}),"")</f>
        <v>0</v>
      </c>
      <c r="S12" s="11">
        <f>iferror(if(Q12="",G12,Q12)*R12,"")</f>
        <v>0</v>
      </c>
      <c r="T12" t="s">
        <v>151</v>
      </c>
      <c r="U12" s="12" t="s">
        <v>122</v>
      </c>
    </row>
    <row r="13" spans="1:27">
      <c r="A13" t="s">
        <v>35</v>
      </c>
      <c r="B13" t="s">
        <v>37</v>
      </c>
      <c r="D13" t="s">
        <v>26</v>
      </c>
      <c r="E13" t="s">
        <v>25</v>
      </c>
      <c r="F13" t="s">
        <v>36</v>
      </c>
      <c r="G13">
        <f>BoardQty*5</f>
        <v>0</v>
      </c>
      <c r="H13" s="11">
        <f>MINA(INDIRECT(ADDRESS(ROW(),COLUMN(newark_part_data)+2)),INDIRECT(ADDRESS(ROW(),COLUMN(digikey_part_data)+2)),INDIRECT(ADDRESS(ROW(),COLUMN(mouser_part_data)+2)))</f>
        <v>0</v>
      </c>
      <c r="I13" s="11">
        <f>iferror(G13*H13,"")</f>
        <v>0</v>
      </c>
      <c r="J13">
        <v>397880</v>
      </c>
      <c r="L13" s="11">
        <f>iferror(lookup(if(K13="",G13,K13),{0,1,10,25,50,100,250,500,1000,5000,10000,25000,50000},{0.0,0.1,0.015,0.0108,0.0084,0.0061,0.00468,0.00374,0.00276,0.00198,0.00172,0.00151,0.00141}),"")</f>
        <v>0</v>
      </c>
      <c r="M13" s="11">
        <f>iferror(if(K13="",G13,K13)*L13,"")</f>
        <v>0</v>
      </c>
      <c r="N13" t="s">
        <v>127</v>
      </c>
      <c r="O13" s="12" t="s">
        <v>122</v>
      </c>
      <c r="P13">
        <v>3859</v>
      </c>
      <c r="R13" s="11">
        <f>iferror(lookup(if(Q13="",G13,Q13),{0,1,10,100,500,1000,2500,5000},{0.0,1.95,1.57,1.26,1.1,0.913,0.848,0.818}),"")</f>
        <v>0</v>
      </c>
      <c r="S13" s="11">
        <f>iferror(if(Q13="",G13,Q13)*R13,"")</f>
        <v>0</v>
      </c>
      <c r="T13" t="s">
        <v>150</v>
      </c>
      <c r="U13" s="12" t="s">
        <v>122</v>
      </c>
    </row>
    <row r="14" spans="1:27">
      <c r="A14" t="s">
        <v>38</v>
      </c>
      <c r="B14" t="s">
        <v>39</v>
      </c>
      <c r="D14" t="s">
        <v>26</v>
      </c>
      <c r="E14" t="s">
        <v>40</v>
      </c>
      <c r="F14" t="s">
        <v>39</v>
      </c>
      <c r="G14">
        <f>BoardQty*1</f>
        <v>0</v>
      </c>
      <c r="H14" s="11">
        <f>MINA(INDIRECT(ADDRESS(ROW(),COLUMN(newark_part_data)+2)),INDIRECT(ADDRESS(ROW(),COLUMN(digikey_part_data)+2)),INDIRECT(ADDRESS(ROW(),COLUMN(mouser_part_data)+2)))</f>
        <v>0</v>
      </c>
      <c r="I14" s="11">
        <f>iferror(G14*H14,"")</f>
        <v>0</v>
      </c>
      <c r="J14">
        <v>1125651</v>
      </c>
      <c r="L14" s="11">
        <f>iferror(lookup(if(K14="",G14,K14),{0,1,10,25,50,100,250,500,1000,4000,8000,12000,28000,100000},{0.0,0.1,0.067,0.0604,0.0544,0.0399,0.02904,0.02662,0.02299,0.01872,0.01697,0.01638,0.01521,0.01503}),"")</f>
        <v>0</v>
      </c>
      <c r="M14" s="11">
        <f>iferror(if(K14="",G14,K14)*L14,"")</f>
        <v>0</v>
      </c>
      <c r="N14" t="s">
        <v>128</v>
      </c>
      <c r="O14" s="12" t="s">
        <v>122</v>
      </c>
      <c r="P14">
        <v>39</v>
      </c>
      <c r="R14" s="11">
        <f>iferror(lookup(if(Q14="",G14,Q14),{0,1,10,25,50,100,250,500,1000,2500},{0.0,9.44,8.5,7.74,7.21,6.99,6.38,5.82,4.93,4.91}),"")</f>
        <v>0</v>
      </c>
      <c r="S14" s="11">
        <f>iferror(if(Q14="",G14,Q14)*R14,"")</f>
        <v>0</v>
      </c>
      <c r="T14" t="s">
        <v>152</v>
      </c>
      <c r="U14" s="12" t="s">
        <v>122</v>
      </c>
    </row>
    <row r="15" spans="1:27">
      <c r="A15" t="s">
        <v>41</v>
      </c>
      <c r="B15" t="s">
        <v>39</v>
      </c>
      <c r="D15" t="s">
        <v>26</v>
      </c>
      <c r="E15" t="s">
        <v>40</v>
      </c>
      <c r="F15" t="s">
        <v>42</v>
      </c>
      <c r="G15">
        <f>BoardQty*1</f>
        <v>0</v>
      </c>
      <c r="H15" s="11">
        <f>MINA(INDIRECT(ADDRESS(ROW(),COLUMN(newark_part_data)+2)),INDIRECT(ADDRESS(ROW(),COLUMN(digikey_part_data)+2)),INDIRECT(ADDRESS(ROW(),COLUMN(mouser_part_data)+2)))</f>
        <v>0</v>
      </c>
      <c r="I15" s="11">
        <f>iferror(G15*H15,"")</f>
        <v>0</v>
      </c>
      <c r="J15">
        <v>1125651</v>
      </c>
      <c r="L15" s="11">
        <f>iferror(lookup(if(K15="",G15,K15),{0,1,10,25,50,100,250,500,1000,4000,8000,12000,28000,100000},{0.0,0.1,0.067,0.0604,0.0544,0.0399,0.02904,0.02662,0.02299,0.01872,0.01697,0.01638,0.01521,0.01503}),"")</f>
        <v>0</v>
      </c>
      <c r="M15" s="11">
        <f>iferror(if(K15="",G15,K15)*L15,"")</f>
        <v>0</v>
      </c>
      <c r="N15" t="s">
        <v>128</v>
      </c>
      <c r="O15" s="12" t="s">
        <v>122</v>
      </c>
      <c r="P15">
        <v>39</v>
      </c>
      <c r="R15" s="11">
        <f>iferror(lookup(if(Q15="",G15,Q15),{0,1,10,25,50,100,250,500,1000,2500},{0.0,9.44,8.5,7.74,7.21,6.99,6.38,5.82,4.93,4.91}),"")</f>
        <v>0</v>
      </c>
      <c r="S15" s="11">
        <f>iferror(if(Q15="",G15,Q15)*R15,"")</f>
        <v>0</v>
      </c>
      <c r="T15" t="s">
        <v>152</v>
      </c>
      <c r="U15" s="12" t="s">
        <v>122</v>
      </c>
    </row>
    <row r="16" spans="1:27">
      <c r="A16" t="s">
        <v>43</v>
      </c>
      <c r="B16" t="s">
        <v>45</v>
      </c>
      <c r="D16" t="s">
        <v>26</v>
      </c>
      <c r="E16" t="s">
        <v>25</v>
      </c>
      <c r="F16" t="s">
        <v>44</v>
      </c>
      <c r="G16">
        <f>BoardQty*1</f>
        <v>0</v>
      </c>
      <c r="H16" s="11">
        <f>MINA(INDIRECT(ADDRESS(ROW(),COLUMN(newark_part_data)+2)),INDIRECT(ADDRESS(ROW(),COLUMN(digikey_part_data)+2)),INDIRECT(ADDRESS(ROW(),COLUMN(mouser_part_data)+2)))</f>
        <v>0</v>
      </c>
      <c r="I16" s="11">
        <f>iferror(G16*H16,"")</f>
        <v>0</v>
      </c>
      <c r="J16">
        <v>6940</v>
      </c>
      <c r="L16" s="11">
        <f>iferror(lookup(if(K16="",G16,K16),{0,1,10,25,50,100,250,500,1000,5000,10000,25000,50000},{0.0,0.1,0.015,0.0108,0.0084,0.0061,0.00468,0.00374,0.00276,0.00198,0.00172,0.00151,0.00141}),"")</f>
        <v>0</v>
      </c>
      <c r="M16" s="11">
        <f>iferror(if(K16="",G16,K16)*L16,"")</f>
        <v>0</v>
      </c>
      <c r="N16" t="s">
        <v>129</v>
      </c>
      <c r="O16" s="12" t="s">
        <v>122</v>
      </c>
      <c r="P16">
        <v>3859</v>
      </c>
      <c r="R16" s="11">
        <f>iferror(lookup(if(Q16="",G16,Q16),{0,1,10,100,500,1000,2500,5000},{0.0,1.95,1.57,1.26,1.1,0.913,0.848,0.818}),"")</f>
        <v>0</v>
      </c>
      <c r="S16" s="11">
        <f>iferror(if(Q16="",G16,Q16)*R16,"")</f>
        <v>0</v>
      </c>
      <c r="T16" t="s">
        <v>150</v>
      </c>
      <c r="U16" s="12" t="s">
        <v>122</v>
      </c>
    </row>
    <row r="17" spans="1:27">
      <c r="A17" t="s">
        <v>46</v>
      </c>
      <c r="B17" t="s">
        <v>50</v>
      </c>
      <c r="D17" t="s">
        <v>49</v>
      </c>
      <c r="E17" t="s">
        <v>48</v>
      </c>
      <c r="F17" t="s">
        <v>47</v>
      </c>
      <c r="G17">
        <f>BoardQty*1</f>
        <v>0</v>
      </c>
      <c r="H17" s="11">
        <f>MINA(INDIRECT(ADDRESS(ROW(),COLUMN(newark_part_data)+2)),INDIRECT(ADDRESS(ROW(),COLUMN(digikey_part_data)+2)),INDIRECT(ADDRESS(ROW(),COLUMN(mouser_part_data)+2)))</f>
        <v>0</v>
      </c>
      <c r="I17" s="11">
        <f>iferror(G17*H17,"")</f>
        <v>0</v>
      </c>
      <c r="J17">
        <v>7748</v>
      </c>
      <c r="L17" s="11">
        <f>iferror(lookup(if(K17="",G17,K17),{0,1,10,100,500,1000,2500,5000,10000},{0.0,0.48,0.413,0.308,0.242,0.187,0.1705,0.1595,0.1485}),"")</f>
        <v>0</v>
      </c>
      <c r="M17" s="11">
        <f>iferror(if(K17="",G17,K17)*L17,"")</f>
        <v>0</v>
      </c>
      <c r="N17" t="s">
        <v>130</v>
      </c>
      <c r="O17" s="12" t="s">
        <v>122</v>
      </c>
      <c r="P17">
        <v>3511</v>
      </c>
      <c r="R17" s="11">
        <f>iferror(lookup(if(Q17="",G17,Q17),{0,1,10,100,1000,2500,10000,25000},{0.0,0.47,0.396,0.242,0.187,0.16,0.148,0.143}),"")</f>
        <v>0</v>
      </c>
      <c r="S17" s="11">
        <f>iferror(if(Q17="",G17,Q17)*R17,"")</f>
        <v>0</v>
      </c>
      <c r="T17" t="s">
        <v>153</v>
      </c>
      <c r="U17" s="12" t="s">
        <v>122</v>
      </c>
      <c r="V17">
        <v>3142</v>
      </c>
      <c r="X17" s="11">
        <f>iferror(lookup(if(W17="",G17,W17),{0,1,10,100,1000,2500,10000,25000,50000},{0.0,0.493,0.413,0.252,0.195,0.166,0.154,0.146,0.141}),"")</f>
        <v>0</v>
      </c>
      <c r="Y17" s="11">
        <f>iferror(if(W17="",G17,W17)*X17,"")</f>
        <v>0</v>
      </c>
      <c r="Z17" t="s">
        <v>165</v>
      </c>
      <c r="AA17" s="12" t="s">
        <v>122</v>
      </c>
    </row>
    <row r="18" spans="1:27">
      <c r="A18" t="s">
        <v>51</v>
      </c>
      <c r="B18" t="s">
        <v>53</v>
      </c>
      <c r="D18" t="s">
        <v>13</v>
      </c>
      <c r="E18" t="s">
        <v>48</v>
      </c>
      <c r="F18" t="s">
        <v>52</v>
      </c>
      <c r="G18">
        <f>BoardQty*1</f>
        <v>0</v>
      </c>
      <c r="H18" s="11">
        <f>MINA(INDIRECT(ADDRESS(ROW(),COLUMN(newark_part_data)+2)),INDIRECT(ADDRESS(ROW(),COLUMN(digikey_part_data)+2)),INDIRECT(ADDRESS(ROW(),COLUMN(mouser_part_data)+2)))</f>
        <v>0</v>
      </c>
      <c r="I18" s="11">
        <f>iferror(G18*H18,"")</f>
        <v>0</v>
      </c>
      <c r="J18">
        <v>7515</v>
      </c>
      <c r="L18" s="11">
        <f>iferror(lookup(if(K18="",G18,K18),{0,1,10,100,500,1000,2000,2500,4000,5000,6000,10000,50000},{0.0,0.5,0.426,0.3179,0.2497,0.1925,0.1705,0.2046,0.1705,0.1914,0.1595,0.1485,0.1375}),"")</f>
        <v>0</v>
      </c>
      <c r="M18" s="11">
        <f>iferror(if(K18="",G18,K18)*L18,"")</f>
        <v>0</v>
      </c>
      <c r="N18" t="s">
        <v>131</v>
      </c>
      <c r="O18" s="12" t="s">
        <v>122</v>
      </c>
      <c r="P18">
        <v>2747</v>
      </c>
      <c r="R18" s="11">
        <f>iferror(lookup(if(Q18="",G18,Q18),{0,1,10,100,1000,2000,10000,24000},{0.0,0.47,0.396,0.242,0.187,0.16,0.148,0.143}),"")</f>
        <v>0</v>
      </c>
      <c r="S18" s="11">
        <f>iferror(if(Q18="",G18,Q18)*R18,"")</f>
        <v>0</v>
      </c>
      <c r="T18" t="s">
        <v>154</v>
      </c>
      <c r="U18" s="12" t="s">
        <v>122</v>
      </c>
      <c r="V18">
        <v>670</v>
      </c>
      <c r="X18" s="11">
        <f>iferror(lookup(if(W18="",G18,W18),{0,1,10,100,1000},{0.0,0.487,0.405,0.247,0.191}),"")</f>
        <v>0</v>
      </c>
      <c r="Y18" s="11">
        <f>iferror(if(W18="",G18,W18)*X18,"")</f>
        <v>0</v>
      </c>
      <c r="Z18" t="s">
        <v>166</v>
      </c>
      <c r="AA18" s="12" t="s">
        <v>122</v>
      </c>
    </row>
    <row r="19" spans="1:27">
      <c r="A19" t="s">
        <v>54</v>
      </c>
      <c r="B19" t="s">
        <v>58</v>
      </c>
      <c r="D19" t="s">
        <v>57</v>
      </c>
      <c r="E19" t="s">
        <v>56</v>
      </c>
      <c r="F19" t="s">
        <v>55</v>
      </c>
      <c r="G19">
        <f>BoardQty*8</f>
        <v>0</v>
      </c>
      <c r="H19" s="11">
        <f>MINA(INDIRECT(ADDRESS(ROW(),COLUMN(newark_part_data)+2)),INDIRECT(ADDRESS(ROW(),COLUMN(digikey_part_data)+2)),INDIRECT(ADDRESS(ROW(),COLUMN(mouser_part_data)+2)))</f>
        <v>0</v>
      </c>
      <c r="I19" s="11">
        <f>iferror(G19*H19,"")</f>
        <v>0</v>
      </c>
      <c r="J19">
        <v>127822</v>
      </c>
      <c r="L19" s="11">
        <f>iferror(lookup(if(K19="",G19,K19),{0,1,10,25,50,100,250,500,1000,2000,3000,4000,6000,9000,10000,14000,15000,30000,50000,75000,100000,150000},{0.0,0.1,0.018,0.0132,0.01,0.0081,0.00676,0.00578,0.00454,0.0075,0.00413,0.0069,0.0038,0.00347,0.0063,0.006,0.0033,0.00314,0.0051,0.00281,0.00413,0.00227}),"")</f>
        <v>0</v>
      </c>
      <c r="M19" s="11">
        <f>iferror(if(K19="",G19,K19)*L19,"")</f>
        <v>0</v>
      </c>
      <c r="N19" t="s">
        <v>132</v>
      </c>
      <c r="O19" s="12" t="s">
        <v>122</v>
      </c>
    </row>
    <row r="20" spans="1:27">
      <c r="A20" t="s">
        <v>59</v>
      </c>
      <c r="B20" t="s">
        <v>61</v>
      </c>
      <c r="D20" t="s">
        <v>26</v>
      </c>
      <c r="E20" t="s">
        <v>25</v>
      </c>
      <c r="F20" t="s">
        <v>60</v>
      </c>
      <c r="G20">
        <f>BoardQty*1</f>
        <v>0</v>
      </c>
      <c r="H20" s="11">
        <f>MINA(INDIRECT(ADDRESS(ROW(),COLUMN(newark_part_data)+2)),INDIRECT(ADDRESS(ROW(),COLUMN(digikey_part_data)+2)),INDIRECT(ADDRESS(ROW(),COLUMN(mouser_part_data)+2)))</f>
        <v>0</v>
      </c>
      <c r="I20" s="11">
        <f>iferror(G20*H20,"")</f>
        <v>0</v>
      </c>
      <c r="J20">
        <v>15000</v>
      </c>
      <c r="L20" s="11">
        <f>iferror(lookup(if(K20="",G20,K20),{0,1,10,25,50,100,250,500,1000,5000},{0.0,0.1,0.016,0.0116,0.0088,0.0065,0.00496,0.00396,0.00292,0.00209}),"")</f>
        <v>0</v>
      </c>
      <c r="M20" s="11">
        <f>iferror(if(K20="",G20,K20)*L20,"")</f>
        <v>0</v>
      </c>
      <c r="N20" t="s">
        <v>133</v>
      </c>
      <c r="O20" s="12" t="s">
        <v>122</v>
      </c>
      <c r="P20">
        <v>3859</v>
      </c>
      <c r="R20" s="11">
        <f>iferror(lookup(if(Q20="",G20,Q20),{0,1,10,100,500,1000,2500,5000},{0.0,1.95,1.57,1.26,1.1,0.913,0.848,0.818}),"")</f>
        <v>0</v>
      </c>
      <c r="S20" s="11">
        <f>iferror(if(Q20="",G20,Q20)*R20,"")</f>
        <v>0</v>
      </c>
      <c r="T20" t="s">
        <v>150</v>
      </c>
      <c r="U20" s="12" t="s">
        <v>122</v>
      </c>
    </row>
    <row r="21" spans="1:27">
      <c r="A21" t="s">
        <v>62</v>
      </c>
      <c r="B21" t="s">
        <v>64</v>
      </c>
      <c r="D21" t="s">
        <v>26</v>
      </c>
      <c r="E21" t="s">
        <v>25</v>
      </c>
      <c r="F21" t="s">
        <v>63</v>
      </c>
      <c r="G21">
        <f>BoardQty*3</f>
        <v>0</v>
      </c>
      <c r="H21" s="11">
        <f>MINA(INDIRECT(ADDRESS(ROW(),COLUMN(newark_part_data)+2)),INDIRECT(ADDRESS(ROW(),COLUMN(digikey_part_data)+2)),INDIRECT(ADDRESS(ROW(),COLUMN(mouser_part_data)+2)))</f>
        <v>0</v>
      </c>
      <c r="I21" s="11">
        <f>iferror(G21*H21,"")</f>
        <v>0</v>
      </c>
      <c r="J21">
        <v>68510</v>
      </c>
      <c r="L21" s="11">
        <f>iferror(lookup(if(K21="",G21,K21),{0,1,10,25,50,100,250,500,1000,5000,10000,25000,50000},{0.0,0.1,0.015,0.0108,0.0084,0.0061,0.00468,0.00374,0.00276,0.00198,0.00172,0.00151,0.00141}),"")</f>
        <v>0</v>
      </c>
      <c r="M21" s="11">
        <f>iferror(if(K21="",G21,K21)*L21,"")</f>
        <v>0</v>
      </c>
      <c r="N21" t="s">
        <v>134</v>
      </c>
      <c r="O21" s="12" t="s">
        <v>122</v>
      </c>
      <c r="P21">
        <v>3859</v>
      </c>
      <c r="R21" s="11">
        <f>iferror(lookup(if(Q21="",G21,Q21),{0,1,10,100,500,1000,2500,5000},{0.0,1.95,1.57,1.26,1.1,0.913,0.848,0.818}),"")</f>
        <v>0</v>
      </c>
      <c r="S21" s="11">
        <f>iferror(if(Q21="",G21,Q21)*R21,"")</f>
        <v>0</v>
      </c>
      <c r="T21" t="s">
        <v>150</v>
      </c>
      <c r="U21" s="12" t="s">
        <v>122</v>
      </c>
    </row>
    <row r="22" spans="1:27">
      <c r="A22" t="s">
        <v>65</v>
      </c>
      <c r="B22" t="s">
        <v>69</v>
      </c>
      <c r="D22" t="s">
        <v>68</v>
      </c>
      <c r="E22" t="s">
        <v>67</v>
      </c>
      <c r="F22" t="s">
        <v>66</v>
      </c>
      <c r="G22">
        <f>BoardQty*1</f>
        <v>0</v>
      </c>
      <c r="H22" s="11">
        <f>MINA(INDIRECT(ADDRESS(ROW(),COLUMN(newark_part_data)+2)),INDIRECT(ADDRESS(ROW(),COLUMN(digikey_part_data)+2)),INDIRECT(ADDRESS(ROW(),COLUMN(mouser_part_data)+2)))</f>
        <v>0</v>
      </c>
      <c r="I22" s="11">
        <f>iferror(G22*H22,"")</f>
        <v>0</v>
      </c>
      <c r="J22">
        <v>3604</v>
      </c>
      <c r="L22" s="11">
        <f>iferror(lookup(if(K22="",G22,K22),{0,1,10,50,100,250,500,1000,2500,5000},{0.0,3.41,3.274,2.8644,2.728,2.387,2.3188,1.9778,1.8414,1.7732}),"")</f>
        <v>0</v>
      </c>
      <c r="M22" s="11">
        <f>iferror(if(K22="",G22,K22)*L22,"")</f>
        <v>0</v>
      </c>
      <c r="N22" t="s">
        <v>135</v>
      </c>
      <c r="O22" s="12" t="s">
        <v>122</v>
      </c>
      <c r="P22">
        <v>4870</v>
      </c>
      <c r="R22" s="11">
        <f>iferror(lookup(if(Q22="",G22,Q22),{0,1,10,20,50,100,200,500,1000},{0.0,10.07,9.22,8.95,8.38,8.11,7.82,7.44,7.27}),"")</f>
        <v>0</v>
      </c>
      <c r="S22" s="11">
        <f>iferror(if(Q22="",G22,Q22)*R22,"")</f>
        <v>0</v>
      </c>
      <c r="T22" t="s">
        <v>155</v>
      </c>
      <c r="U22" s="12" t="s">
        <v>122</v>
      </c>
      <c r="V22">
        <v>3962</v>
      </c>
      <c r="X22" s="11">
        <f>iferror(lookup(if(W22="",G22,W22),{0,1,10,25,100,500,1000,5000},{0.0,3.63,3.48,3.04,2.53,2.46,1.95,1.88}),"")</f>
        <v>0</v>
      </c>
      <c r="Y22" s="11">
        <f>iferror(if(W22="",G22,W22)*X22,"")</f>
        <v>0</v>
      </c>
      <c r="Z22" t="s">
        <v>167</v>
      </c>
      <c r="AA22" s="12" t="s">
        <v>122</v>
      </c>
    </row>
    <row r="23" spans="1:27">
      <c r="A23" t="s">
        <v>70</v>
      </c>
      <c r="B23" t="s">
        <v>72</v>
      </c>
      <c r="D23" t="s">
        <v>26</v>
      </c>
      <c r="E23" t="s">
        <v>25</v>
      </c>
      <c r="F23" t="s">
        <v>71</v>
      </c>
      <c r="G23">
        <f>BoardQty*7</f>
        <v>0</v>
      </c>
      <c r="H23" s="11">
        <f>MINA(INDIRECT(ADDRESS(ROW(),COLUMN(newark_part_data)+2)),INDIRECT(ADDRESS(ROW(),COLUMN(digikey_part_data)+2)),INDIRECT(ADDRESS(ROW(),COLUMN(mouser_part_data)+2)))</f>
        <v>0</v>
      </c>
      <c r="I23" s="11">
        <f>iferror(G23*H23,"")</f>
        <v>0</v>
      </c>
      <c r="J23">
        <v>15487</v>
      </c>
      <c r="L23" s="11">
        <f>iferror(lookup(if(K23="",G23,K23),{0,1,10,25,50,100,250,500,1000,5000,10000,25000,50000},{0.0,0.1,0.015,0.0108,0.0084,0.0061,0.00468,0.00374,0.00276,0.00198,0.00172,0.00151,0.00141}),"")</f>
        <v>0</v>
      </c>
      <c r="M23" s="11">
        <f>iferror(if(K23="",G23,K23)*L23,"")</f>
        <v>0</v>
      </c>
      <c r="N23" t="s">
        <v>136</v>
      </c>
      <c r="O23" s="12" t="s">
        <v>122</v>
      </c>
      <c r="P23">
        <v>1995</v>
      </c>
      <c r="R23" s="11">
        <f>iferror(lookup(if(Q23="",G23,Q23),{0,1,10,100,250,500,1000,2000,4000},{0.0,3.6,2.89,2.64,2.37,2.14,1.79,1.71,1.69}),"")</f>
        <v>0</v>
      </c>
      <c r="S23" s="11">
        <f>iferror(if(Q23="",G23,Q23)*R23,"")</f>
        <v>0</v>
      </c>
      <c r="T23" t="s">
        <v>156</v>
      </c>
      <c r="U23" s="12" t="s">
        <v>122</v>
      </c>
    </row>
    <row r="24" spans="1:27">
      <c r="A24" t="s">
        <v>73</v>
      </c>
      <c r="B24" t="s">
        <v>27</v>
      </c>
      <c r="D24" t="s">
        <v>76</v>
      </c>
      <c r="E24" t="s">
        <v>75</v>
      </c>
      <c r="F24" t="s">
        <v>74</v>
      </c>
      <c r="G24">
        <f>BoardQty*1</f>
        <v>0</v>
      </c>
      <c r="H24" s="11">
        <f>MINA(INDIRECT(ADDRESS(ROW(),COLUMN(newark_part_data)+2)),INDIRECT(ADDRESS(ROW(),COLUMN(digikey_part_data)+2)),INDIRECT(ADDRESS(ROW(),COLUMN(mouser_part_data)+2)))</f>
        <v>0</v>
      </c>
      <c r="I24" s="11">
        <f>iferror(G24*H24,"")</f>
        <v>0</v>
      </c>
      <c r="J24">
        <v>8052</v>
      </c>
      <c r="L24" s="11">
        <f>iferror(lookup(if(K24="",G24,K24),{0,1,10,25,50,100,250,500,1000,5000},{0.0,1.5,1.32,1.188,1.144,1.1,1.034,0.88,0.814,0.6688}),"")</f>
        <v>0</v>
      </c>
      <c r="M24" s="11">
        <f>iferror(if(K24="",G24,K24)*L24,"")</f>
        <v>0</v>
      </c>
      <c r="N24" t="s">
        <v>137</v>
      </c>
      <c r="O24" s="12" t="s">
        <v>122</v>
      </c>
    </row>
    <row r="25" spans="1:27">
      <c r="A25" t="s">
        <v>77</v>
      </c>
      <c r="B25" t="s">
        <v>79</v>
      </c>
      <c r="D25" t="s">
        <v>26</v>
      </c>
      <c r="E25" t="s">
        <v>25</v>
      </c>
      <c r="F25" t="s">
        <v>78</v>
      </c>
      <c r="G25">
        <f>BoardQty*1</f>
        <v>0</v>
      </c>
      <c r="H25" s="11">
        <f>MINA(INDIRECT(ADDRESS(ROW(),COLUMN(newark_part_data)+2)),INDIRECT(ADDRESS(ROW(),COLUMN(digikey_part_data)+2)),INDIRECT(ADDRESS(ROW(),COLUMN(mouser_part_data)+2)))</f>
        <v>0</v>
      </c>
      <c r="I25" s="11">
        <f>iferror(G25*H25,"")</f>
        <v>0</v>
      </c>
      <c r="J25">
        <v>22023</v>
      </c>
      <c r="L25" s="11">
        <f>iferror(lookup(if(K25="",G25,K25),{0,1,10,25,50,100,250,500,1000,5000,10000,25000,50000},{0.0,0.1,0.015,0.0108,0.0084,0.0061,0.00468,0.00374,0.00276,0.00198,0.00172,0.00151,0.00141}),"")</f>
        <v>0</v>
      </c>
      <c r="M25" s="11">
        <f>iferror(if(K25="",G25,K25)*L25,"")</f>
        <v>0</v>
      </c>
      <c r="N25" t="s">
        <v>138</v>
      </c>
      <c r="O25" s="12" t="s">
        <v>122</v>
      </c>
      <c r="P25">
        <v>3859</v>
      </c>
      <c r="R25" s="11">
        <f>iferror(lookup(if(Q25="",G25,Q25),{0,1,10,100,500,1000,2500,5000},{0.0,1.95,1.57,1.26,1.1,0.913,0.848,0.818}),"")</f>
        <v>0</v>
      </c>
      <c r="S25" s="11">
        <f>iferror(if(Q25="",G25,Q25)*R25,"")</f>
        <v>0</v>
      </c>
      <c r="T25" t="s">
        <v>150</v>
      </c>
      <c r="U25" s="12" t="s">
        <v>122</v>
      </c>
    </row>
    <row r="26" spans="1:27">
      <c r="A26" t="s">
        <v>80</v>
      </c>
      <c r="B26" t="s">
        <v>83</v>
      </c>
      <c r="D26" t="s">
        <v>82</v>
      </c>
      <c r="E26" t="s">
        <v>20</v>
      </c>
      <c r="F26" t="s">
        <v>81</v>
      </c>
      <c r="G26">
        <f>BoardQty*1</f>
        <v>0</v>
      </c>
      <c r="H26" s="11">
        <f>MINA(INDIRECT(ADDRESS(ROW(),COLUMN(newark_part_data)+2)),INDIRECT(ADDRESS(ROW(),COLUMN(digikey_part_data)+2)),INDIRECT(ADDRESS(ROW(),COLUMN(mouser_part_data)+2)))</f>
        <v>0</v>
      </c>
      <c r="I26" s="11">
        <f>iferror(G26*H26,"")</f>
        <v>0</v>
      </c>
      <c r="J26">
        <v>637</v>
      </c>
      <c r="L26" s="11">
        <f>iferror(lookup(if(K26="",G26,K26),{0,1,10,100,500,1000,5000,10000},{0.0,1.82,1.632,1.344,1.0624,0.912,0.832,0.8}),"")</f>
        <v>0</v>
      </c>
      <c r="M26" s="11">
        <f>iferror(if(K26="",G26,K26)*L26,"")</f>
        <v>0</v>
      </c>
      <c r="N26" t="s">
        <v>139</v>
      </c>
      <c r="O26" s="12" t="s">
        <v>122</v>
      </c>
      <c r="P26">
        <v>67</v>
      </c>
      <c r="R26" s="11">
        <f>iferror(lookup(if(Q26="",G26,Q26),{0,1},{0.0,449.81}),"")</f>
        <v>0</v>
      </c>
      <c r="S26" s="11">
        <f>iferror(if(Q26="",G26,Q26)*R26,"")</f>
        <v>0</v>
      </c>
      <c r="T26" t="s">
        <v>157</v>
      </c>
      <c r="U26" s="12" t="s">
        <v>122</v>
      </c>
      <c r="AA26" s="12" t="s">
        <v>122</v>
      </c>
    </row>
    <row r="27" spans="1:27">
      <c r="A27" t="s">
        <v>84</v>
      </c>
      <c r="B27" t="s">
        <v>86</v>
      </c>
      <c r="D27" t="s">
        <v>13</v>
      </c>
      <c r="E27" t="s">
        <v>48</v>
      </c>
      <c r="F27" t="s">
        <v>85</v>
      </c>
      <c r="G27">
        <f>BoardQty*1</f>
        <v>0</v>
      </c>
      <c r="H27" s="11">
        <f>MINA(INDIRECT(ADDRESS(ROW(),COLUMN(newark_part_data)+2)),INDIRECT(ADDRESS(ROW(),COLUMN(digikey_part_data)+2)),INDIRECT(ADDRESS(ROW(),COLUMN(mouser_part_data)+2)))</f>
        <v>0</v>
      </c>
      <c r="I27" s="11">
        <f>iferror(G27*H27,"")</f>
        <v>0</v>
      </c>
      <c r="J27">
        <v>5636</v>
      </c>
      <c r="L27" s="11">
        <f>iferror(lookup(if(K27="",G27,K27),{0,1,10,100,500,1000,2000,2500,3000,4000,5000,6000,10000,50000,100000},{0.0,0.48,0.387,0.264,0.1976,0.148,0.132,0.1488,0.1488,0.132,0.1392,0.124,0.116,0.1024,0.1}),"")</f>
        <v>0</v>
      </c>
      <c r="M27" s="11">
        <f>iferror(if(K27="",G27,K27)*L27,"")</f>
        <v>0</v>
      </c>
      <c r="N27" t="s">
        <v>140</v>
      </c>
      <c r="O27" s="12" t="s">
        <v>122</v>
      </c>
      <c r="P27">
        <v>2773</v>
      </c>
      <c r="R27" s="11">
        <f>iferror(lookup(if(Q27="",G27,Q27),{0,1,10,100,1000,2000,10000,24000,50000},{0.0,0.46,0.354,0.192,0.144,0.124,0.114,0.106,0.104}),"")</f>
        <v>0</v>
      </c>
      <c r="S27" s="11">
        <f>iferror(if(Q27="",G27,Q27)*R27,"")</f>
        <v>0</v>
      </c>
      <c r="T27" t="s">
        <v>158</v>
      </c>
      <c r="U27" s="12" t="s">
        <v>122</v>
      </c>
    </row>
    <row r="28" spans="1:27">
      <c r="A28" t="s">
        <v>87</v>
      </c>
      <c r="B28" t="s">
        <v>89</v>
      </c>
      <c r="D28" t="s">
        <v>26</v>
      </c>
      <c r="E28" t="s">
        <v>25</v>
      </c>
      <c r="F28" t="s">
        <v>88</v>
      </c>
      <c r="G28">
        <f>BoardQty*4</f>
        <v>0</v>
      </c>
      <c r="H28" s="11">
        <f>MINA(INDIRECT(ADDRESS(ROW(),COLUMN(newark_part_data)+2)),INDIRECT(ADDRESS(ROW(),COLUMN(digikey_part_data)+2)),INDIRECT(ADDRESS(ROW(),COLUMN(mouser_part_data)+2)))</f>
        <v>0</v>
      </c>
      <c r="I28" s="11">
        <f>iferror(G28*H28,"")</f>
        <v>0</v>
      </c>
      <c r="J28">
        <v>278158</v>
      </c>
      <c r="L28" s="11">
        <f>iferror(lookup(if(K28="",G28,K28),{0,1,10,25,50,100,250,500,1000,5000,10000,25000,50000},{0.0,0.1,0.015,0.0108,0.0084,0.0061,0.00468,0.00374,0.00276,0.00198,0.00172,0.00151,0.00141}),"")</f>
        <v>0</v>
      </c>
      <c r="M28" s="11">
        <f>iferror(if(K28="",G28,K28)*L28,"")</f>
        <v>0</v>
      </c>
      <c r="N28" t="s">
        <v>141</v>
      </c>
      <c r="O28" s="12" t="s">
        <v>122</v>
      </c>
      <c r="P28">
        <v>1995</v>
      </c>
      <c r="R28" s="11">
        <f>iferror(lookup(if(Q28="",G28,Q28),{0,1,10,100,250,500,1000,2000,4000},{0.0,3.6,2.89,2.64,2.37,2.14,1.79,1.71,1.69}),"")</f>
        <v>0</v>
      </c>
      <c r="S28" s="11">
        <f>iferror(if(Q28="",G28,Q28)*R28,"")</f>
        <v>0</v>
      </c>
      <c r="T28" t="s">
        <v>156</v>
      </c>
      <c r="U28" s="12" t="s">
        <v>122</v>
      </c>
    </row>
    <row r="29" spans="1:27">
      <c r="A29" t="s">
        <v>90</v>
      </c>
      <c r="B29" t="s">
        <v>92</v>
      </c>
      <c r="D29" t="s">
        <v>26</v>
      </c>
      <c r="E29" t="s">
        <v>25</v>
      </c>
      <c r="F29" t="s">
        <v>91</v>
      </c>
      <c r="G29">
        <f>BoardQty*1</f>
        <v>0</v>
      </c>
      <c r="H29" s="11">
        <f>MINA(INDIRECT(ADDRESS(ROW(),COLUMN(newark_part_data)+2)),INDIRECT(ADDRESS(ROW(),COLUMN(digikey_part_data)+2)),INDIRECT(ADDRESS(ROW(),COLUMN(mouser_part_data)+2)))</f>
        <v>0</v>
      </c>
      <c r="I29" s="11">
        <f>iferror(G29*H29,"")</f>
        <v>0</v>
      </c>
      <c r="J29">
        <v>41288</v>
      </c>
      <c r="L29" s="11">
        <f>iferror(lookup(if(K29="",G29,K29),{0,1,10,25,50,100,250,500,1000,5000,10000,25000,50000},{0.0,0.1,0.015,0.0108,0.0084,0.0061,0.00468,0.00374,0.00276,0.00198,0.00172,0.00151,0.00141}),"")</f>
        <v>0</v>
      </c>
      <c r="M29" s="11">
        <f>iferror(if(K29="",G29,K29)*L29,"")</f>
        <v>0</v>
      </c>
      <c r="N29" t="s">
        <v>142</v>
      </c>
      <c r="O29" s="12" t="s">
        <v>122</v>
      </c>
      <c r="P29">
        <v>3859</v>
      </c>
      <c r="R29" s="11">
        <f>iferror(lookup(if(Q29="",G29,Q29),{0,1,10,100,500,1000,2500,5000},{0.0,1.95,1.57,1.26,1.1,0.913,0.848,0.818}),"")</f>
        <v>0</v>
      </c>
      <c r="S29" s="11">
        <f>iferror(if(Q29="",G29,Q29)*R29,"")</f>
        <v>0</v>
      </c>
      <c r="T29" t="s">
        <v>150</v>
      </c>
      <c r="U29" s="12" t="s">
        <v>122</v>
      </c>
    </row>
    <row r="30" spans="1:27">
      <c r="A30" t="s">
        <v>93</v>
      </c>
      <c r="B30" t="s">
        <v>95</v>
      </c>
      <c r="D30" t="s">
        <v>26</v>
      </c>
      <c r="E30" t="s">
        <v>25</v>
      </c>
      <c r="F30" t="s">
        <v>94</v>
      </c>
      <c r="G30">
        <f>BoardQty*1</f>
        <v>0</v>
      </c>
      <c r="H30" s="11">
        <f>MINA(INDIRECT(ADDRESS(ROW(),COLUMN(newark_part_data)+2)),INDIRECT(ADDRESS(ROW(),COLUMN(digikey_part_data)+2)),INDIRECT(ADDRESS(ROW(),COLUMN(mouser_part_data)+2)))</f>
        <v>0</v>
      </c>
      <c r="I30" s="11">
        <f>iferror(G30*H30,"")</f>
        <v>0</v>
      </c>
      <c r="J30">
        <v>130728</v>
      </c>
      <c r="L30" s="11">
        <f>iferror(lookup(if(K30="",G30,K30),{0,1,10,25,50,100,250,500,1000,5000,10000,25000,50000},{0.0,0.1,0.015,0.0108,0.0084,0.0061,0.00468,0.00374,0.00276,0.00198,0.00172,0.00151,0.00141}),"")</f>
        <v>0</v>
      </c>
      <c r="M30" s="11">
        <f>iferror(if(K30="",G30,K30)*L30,"")</f>
        <v>0</v>
      </c>
      <c r="N30" t="s">
        <v>143</v>
      </c>
      <c r="O30" s="12" t="s">
        <v>122</v>
      </c>
      <c r="P30">
        <v>1995</v>
      </c>
      <c r="R30" s="11">
        <f>iferror(lookup(if(Q30="",G30,Q30),{0,1,10,100,250,500,1000,2000,4000},{0.0,3.6,2.89,2.64,2.37,2.14,1.79,1.71,1.69}),"")</f>
        <v>0</v>
      </c>
      <c r="S30" s="11">
        <f>iferror(if(Q30="",G30,Q30)*R30,"")</f>
        <v>0</v>
      </c>
      <c r="T30" t="s">
        <v>156</v>
      </c>
      <c r="U30" s="12" t="s">
        <v>122</v>
      </c>
    </row>
    <row r="31" spans="1:27">
      <c r="A31" t="s">
        <v>96</v>
      </c>
      <c r="B31" t="s">
        <v>32</v>
      </c>
      <c r="D31" t="s">
        <v>31</v>
      </c>
      <c r="E31" t="s">
        <v>30</v>
      </c>
      <c r="F31" t="s">
        <v>29</v>
      </c>
      <c r="G31">
        <f>BoardQty*1</f>
        <v>0</v>
      </c>
      <c r="H31" s="11">
        <f>MINA(INDIRECT(ADDRESS(ROW(),COLUMN(newark_part_data)+2)),INDIRECT(ADDRESS(ROW(),COLUMN(digikey_part_data)+2)),INDIRECT(ADDRESS(ROW(),COLUMN(mouser_part_data)+2)))</f>
        <v>0</v>
      </c>
      <c r="I31" s="11">
        <f>iferror(G31*H31,"")</f>
        <v>0</v>
      </c>
      <c r="J31">
        <v>40480</v>
      </c>
      <c r="L31" s="11">
        <f>iferror(lookup(if(K31="",G31,K31),{0,1,10,100,500,1000,3000,6000,10000,15000,30000,50000,75000,100000,150000,250000},{0.0,0.31,0.255,0.135,0.08878,0.06049,0.04876,0.0424,0.0391,0.03604,0.03392,0.0345,0.0318,0.03059,0.02756,0.0299}),"")</f>
        <v>0</v>
      </c>
      <c r="M31" s="11">
        <f>iferror(if(K31="",G31,K31)*L31,"")</f>
        <v>0</v>
      </c>
      <c r="N31" t="s">
        <v>126</v>
      </c>
      <c r="O31" s="12" t="s">
        <v>122</v>
      </c>
      <c r="P31">
        <v>4747</v>
      </c>
      <c r="R31" s="11">
        <f>iferror(lookup(if(Q31="",G31,Q31),{0,1,10,100,1000,2500,10000,20000,50000,100000},{0.0,0.32,0.213,0.089,0.06,0.046,0.039,0.037,0.034,0.031}),"")</f>
        <v>0</v>
      </c>
      <c r="S31" s="11">
        <f>iferror(if(Q31="",G31,Q31)*R31,"")</f>
        <v>0</v>
      </c>
      <c r="T31" t="s">
        <v>151</v>
      </c>
      <c r="U31" s="12" t="s">
        <v>122</v>
      </c>
    </row>
    <row r="32" spans="1:27">
      <c r="A32" t="s">
        <v>97</v>
      </c>
      <c r="B32" t="s">
        <v>101</v>
      </c>
      <c r="D32" t="s">
        <v>100</v>
      </c>
      <c r="E32" t="s">
        <v>99</v>
      </c>
      <c r="F32" t="s">
        <v>98</v>
      </c>
      <c r="G32">
        <f>BoardQty*5</f>
        <v>0</v>
      </c>
      <c r="H32" s="11">
        <f>MINA(INDIRECT(ADDRESS(ROW(),COLUMN(newark_part_data)+2)),INDIRECT(ADDRESS(ROW(),COLUMN(digikey_part_data)+2)),INDIRECT(ADDRESS(ROW(),COLUMN(mouser_part_data)+2)))</f>
        <v>0</v>
      </c>
      <c r="I32" s="11">
        <f>iferror(G32*H32,"")</f>
        <v>0</v>
      </c>
      <c r="J32">
        <v>2327</v>
      </c>
      <c r="L32" s="11">
        <f>iferror(lookup(if(K32="",G32,K32),{0,1,50,100,250,500,1000,2000},{0.0,0.11,0.0892,0.0778,0.06912,0.06048,0.05761,0.04608}),"")</f>
        <v>0</v>
      </c>
      <c r="M32" s="11">
        <f>iferror(if(K32="",G32,K32)*L32,"")</f>
        <v>0</v>
      </c>
      <c r="N32" t="s">
        <v>144</v>
      </c>
      <c r="O32" s="12" t="s">
        <v>122</v>
      </c>
      <c r="P32">
        <v>7136</v>
      </c>
      <c r="R32" s="11">
        <f>iferror(lookup(if(Q32="",G32,Q32),{0,1,10,25,50,100,250,500,3000},{0.0,0.774,0.731,0.707,0.683,0.634,0.597,0.561,0.561}),"")</f>
        <v>0</v>
      </c>
      <c r="S32" s="11">
        <f>iferror(if(Q32="",G32,Q32)*R32,"")</f>
        <v>0</v>
      </c>
      <c r="T32" t="s">
        <v>159</v>
      </c>
      <c r="U32" s="12" t="s">
        <v>122</v>
      </c>
    </row>
    <row r="33" spans="1:27">
      <c r="A33" t="s">
        <v>102</v>
      </c>
      <c r="B33" t="s">
        <v>105</v>
      </c>
      <c r="D33" t="s">
        <v>104</v>
      </c>
      <c r="E33" t="s">
        <v>48</v>
      </c>
      <c r="F33" t="s">
        <v>103</v>
      </c>
      <c r="G33">
        <f>BoardQty*1</f>
        <v>0</v>
      </c>
      <c r="H33" s="11">
        <f>MINA(INDIRECT(ADDRESS(ROW(),COLUMN(newark_part_data)+2)),INDIRECT(ADDRESS(ROW(),COLUMN(digikey_part_data)+2)),INDIRECT(ADDRESS(ROW(),COLUMN(mouser_part_data)+2)))</f>
        <v>0</v>
      </c>
      <c r="I33" s="11">
        <f>iferror(G33*H33,"")</f>
        <v>0</v>
      </c>
      <c r="J33">
        <v>2304</v>
      </c>
      <c r="L33" s="11">
        <f>iferror(lookup(if(K33="",G33,K33),{0,1,10,100,500,1000,1250,2500,5000,10000},{0.0,0.75,0.663,0.5085,0.402,0.3216,0.3216,0.29145,0.27135,0.2613}),"")</f>
        <v>0</v>
      </c>
      <c r="M33" s="11">
        <f>iferror(if(K33="",G33,K33)*L33,"")</f>
        <v>0</v>
      </c>
      <c r="N33" t="s">
        <v>145</v>
      </c>
      <c r="O33" s="12" t="s">
        <v>122</v>
      </c>
      <c r="P33">
        <v>0</v>
      </c>
      <c r="R33" s="11">
        <f>iferror(lookup(if(Q33="",G33,Q33),{0,1,10,100,1000,2000,5000,10000},{0.0,0.749,0.622,0.402,0.322,0.271,0.27,0.262}),"")</f>
        <v>0</v>
      </c>
      <c r="S33" s="11">
        <f>iferror(if(Q33="",G33,Q33)*R33,"")</f>
        <v>0</v>
      </c>
      <c r="T33" t="s">
        <v>160</v>
      </c>
      <c r="U33" s="12" t="s">
        <v>122</v>
      </c>
      <c r="V33">
        <v>1083</v>
      </c>
      <c r="X33" s="11">
        <f>iferror(lookup(if(W33="",G33,W33),{0,1,10,100,1000,2000,5000,10000,25000},{0.0,0.739,0.619,0.4,0.32,0.271,0.265,0.255,0.245}),"")</f>
        <v>0</v>
      </c>
      <c r="Y33" s="11">
        <f>iferror(if(W33="",G33,W33)*X33,"")</f>
        <v>0</v>
      </c>
      <c r="Z33" t="s">
        <v>168</v>
      </c>
      <c r="AA33" s="12" t="s">
        <v>122</v>
      </c>
    </row>
    <row r="34" spans="1:27">
      <c r="A34" t="s">
        <v>106</v>
      </c>
      <c r="B34" t="s">
        <v>109</v>
      </c>
      <c r="D34" t="s">
        <v>108</v>
      </c>
      <c r="E34" t="s">
        <v>48</v>
      </c>
      <c r="F34" t="s">
        <v>107</v>
      </c>
      <c r="G34">
        <f>BoardQty*1</f>
        <v>0</v>
      </c>
      <c r="H34" s="11">
        <f>MINA(INDIRECT(ADDRESS(ROW(),COLUMN(newark_part_data)+2)),INDIRECT(ADDRESS(ROW(),COLUMN(digikey_part_data)+2)),INDIRECT(ADDRESS(ROW(),COLUMN(mouser_part_data)+2)))</f>
        <v>0</v>
      </c>
      <c r="I34" s="11">
        <f>iferror(G34*H34,"")</f>
        <v>0</v>
      </c>
      <c r="J34">
        <v>11536</v>
      </c>
      <c r="L34" s="11">
        <f>iferror(lookup(if(K34="",G34,K34),{0,1,10,100,500,775,1000,2500,5000,10000},{0.0,1.09,0.974,0.759,0.627,0.62701,0.495,0.462,0.4389,0.4224}),"")</f>
        <v>0</v>
      </c>
      <c r="M34" s="11">
        <f>iferror(if(K34="",G34,K34)*L34,"")</f>
        <v>0</v>
      </c>
      <c r="N34" t="s">
        <v>146</v>
      </c>
      <c r="O34" s="12" t="s">
        <v>122</v>
      </c>
      <c r="P34">
        <v>2767</v>
      </c>
      <c r="R34" s="11">
        <f>iferror(lookup(if(Q34="",G34,Q34),{0,1,10,100,500,1000,2500,10000},{0.0,1.08,0.923,0.71,0.626,0.495,0.437,0.428}),"")</f>
        <v>0</v>
      </c>
      <c r="S34" s="11">
        <f>iferror(if(Q34="",G34,Q34)*R34,"")</f>
        <v>0</v>
      </c>
      <c r="T34" t="s">
        <v>161</v>
      </c>
      <c r="U34" s="12" t="s">
        <v>122</v>
      </c>
      <c r="V34">
        <v>3062</v>
      </c>
      <c r="X34" s="11">
        <f>iferror(lookup(if(W34="",G34,W34),{0,1,10,100,500,1000,2500,10000,25000},{0.0,1.1,0.94,0.724,0.64,0.505,0.438,0.421,0.421}),"")</f>
        <v>0</v>
      </c>
      <c r="Y34" s="11">
        <f>iferror(if(W34="",G34,W34)*X34,"")</f>
        <v>0</v>
      </c>
      <c r="Z34" t="s">
        <v>169</v>
      </c>
      <c r="AA34" s="12" t="s">
        <v>122</v>
      </c>
    </row>
    <row r="35" spans="1:27">
      <c r="A35" t="s">
        <v>110</v>
      </c>
      <c r="B35" t="s">
        <v>61</v>
      </c>
      <c r="D35" t="s">
        <v>113</v>
      </c>
      <c r="E35" t="s">
        <v>112</v>
      </c>
      <c r="F35" t="s">
        <v>111</v>
      </c>
      <c r="G35">
        <f>BoardQty*1</f>
        <v>0</v>
      </c>
      <c r="H35" s="11">
        <f>MINA(INDIRECT(ADDRESS(ROW(),COLUMN(newark_part_data)+2)),INDIRECT(ADDRESS(ROW(),COLUMN(digikey_part_data)+2)),INDIRECT(ADDRESS(ROW(),COLUMN(mouser_part_data)+2)))</f>
        <v>0</v>
      </c>
      <c r="I35" s="11">
        <f>iferror(G35*H35,"")</f>
        <v>0</v>
      </c>
      <c r="P35">
        <v>465</v>
      </c>
      <c r="R35" s="11">
        <f>iferror(lookup(if(Q35="",G35,Q35),{0,1,25,50,100,500,1000},{0.0,3.92,3.6,3.28,2.61,2.02,1.96}),"")</f>
        <v>0</v>
      </c>
      <c r="S35" s="11">
        <f>iferror(if(Q35="",G35,Q35)*R35,"")</f>
        <v>0</v>
      </c>
      <c r="T35" t="s">
        <v>162</v>
      </c>
      <c r="U35" s="12" t="s">
        <v>122</v>
      </c>
    </row>
    <row r="37" spans="1:27">
      <c r="K37">
        <f t="array" ref="K37">IFERROR(CONCATENATE(TEXT(INDEX($K$7:$K$35,SMALL(IF($N$7:$N$35&lt;&gt;"",IF($K$7:$K$35&lt;&gt;"",ROW($K$7:$K$35)-MIN(ROW($K$7:$K$35))+1,""),""),ROW()-ROW(A$37)+1)),"##0"),","),"")</f>
        <v>0</v>
      </c>
      <c r="L37">
        <f t="array" ref="L37">IFERROR(CONCATENATE((INDEX($N$7:$N$35,SMALL(IF($N$7:$N$35&lt;&gt;"",IF($K$7:$K$35&lt;&gt;"",ROW($K$7:$K$35)-MIN(ROW($K$7:$K$35))+1,""),""),ROW()-ROW(A$37)+1))),","),"")</f>
        <v>0</v>
      </c>
      <c r="M37">
        <f t="array" ref="M37">IFERROR(CONCATENATE((INDEX($A$7:$A$35,SMALL(IF($N$7:$N$35&lt;&gt;"",IF($K$7:$K$35&lt;&gt;"",ROW($K$7:$K$35)-MIN(ROW($K$7:$K$35))+1,""),""),ROW()-ROW(A$37)+1))),),"")</f>
        <v>0</v>
      </c>
      <c r="Q37">
        <f t="array" ref="Q37">IFERROR(CONCATENATE((INDEX($T$7:$T$35,SMALL(IF($T$7:$T$35&lt;&gt;"",IF($Q$7:$Q$35&lt;&gt;"",ROW($Q$7:$Q$35)-MIN(ROW($Q$7:$Q$35))+1,""),""),ROW()-ROW(A$37)+1)))," "),"")</f>
        <v>0</v>
      </c>
      <c r="R37">
        <f t="array" ref="R37">IFERROR(CONCATENATE(TEXT(INDEX($Q$7:$Q$35,SMALL(IF($T$7:$T$35&lt;&gt;"",IF($Q$7:$Q$35&lt;&gt;"",ROW($Q$7:$Q$35)-MIN(ROW($Q$7:$Q$35))+1,""),""),ROW()-ROW(A$37)+1)),"##0")," "),"")</f>
        <v>0</v>
      </c>
      <c r="S37">
        <f t="array" ref="S37">IFERROR(CONCATENATE((INDEX($A$7:$A$35,SMALL(IF($T$7:$T$35&lt;&gt;"",IF($Q$7:$Q$35&lt;&gt;"",ROW($Q$7:$Q$35)-MIN(ROW($Q$7:$Q$35))+1,""),""),ROW()-ROW(A$37)+1))),),"")</f>
        <v>0</v>
      </c>
      <c r="W37">
        <f t="array" ref="W37">IFERROR(CONCATENATE((INDEX($Z$7:$Z$35,SMALL(IF($Z$7:$Z$35&lt;&gt;"",IF($W$7:$W$35&lt;&gt;"",ROW($W$7:$W$35)-MIN(ROW($W$7:$W$35))+1,""),""),ROW()-ROW(A$37)+1))),","),"")</f>
        <v>0</v>
      </c>
      <c r="X37">
        <f t="array" ref="X37">IFERROR(CONCATENATE(TEXT(INDEX($W$7:$W$35,SMALL(IF($Z$7:$Z$35&lt;&gt;"",IF($W$7:$W$35&lt;&gt;"",ROW($W$7:$W$35)-MIN(ROW($W$7:$W$35))+1,""),""),ROW()-ROW(A$37)+1)),"##0"),","),"")</f>
        <v>0</v>
      </c>
      <c r="Y37">
        <f t="array" ref="Y37">IFERROR(CONCATENATE((INDEX($A$7:$A$35,SMALL(IF($Z$7:$Z$35&lt;&gt;"",IF($W$7:$W$35&lt;&gt;"",ROW($W$7:$W$35)-MIN(ROW($W$7:$W$35))+1,""),""),ROW()-ROW(A$37)+1))),),"")</f>
        <v>0</v>
      </c>
    </row>
    <row r="38" spans="1:27">
      <c r="K38">
        <f t="array" ref="K38">IFERROR(CONCATENATE(TEXT(INDEX($K$7:$K$35,SMALL(IF($N$7:$N$35&lt;&gt;"",IF($K$7:$K$35&lt;&gt;"",ROW($K$7:$K$35)-MIN(ROW($K$7:$K$35))+1,""),""),ROW()-ROW(A$37)+1)),"##0"),","),"")</f>
        <v>0</v>
      </c>
      <c r="L38">
        <f t="array" ref="L38">IFERROR(CONCATENATE((INDEX($N$7:$N$35,SMALL(IF($N$7:$N$35&lt;&gt;"",IF($K$7:$K$35&lt;&gt;"",ROW($K$7:$K$35)-MIN(ROW($K$7:$K$35))+1,""),""),ROW()-ROW(A$37)+1))),","),"")</f>
        <v>0</v>
      </c>
      <c r="M38">
        <f t="array" ref="M38">IFERROR(CONCATENATE((INDEX($A$7:$A$35,SMALL(IF($N$7:$N$35&lt;&gt;"",IF($K$7:$K$35&lt;&gt;"",ROW($K$7:$K$35)-MIN(ROW($K$7:$K$35))+1,""),""),ROW()-ROW(A$37)+1))),),"")</f>
        <v>0</v>
      </c>
      <c r="Q38">
        <f t="array" ref="Q38">IFERROR(CONCATENATE((INDEX($T$7:$T$35,SMALL(IF($T$7:$T$35&lt;&gt;"",IF($Q$7:$Q$35&lt;&gt;"",ROW($Q$7:$Q$35)-MIN(ROW($Q$7:$Q$35))+1,""),""),ROW()-ROW(A$37)+1)))," "),"")</f>
        <v>0</v>
      </c>
      <c r="R38">
        <f t="array" ref="R38">IFERROR(CONCATENATE(TEXT(INDEX($Q$7:$Q$35,SMALL(IF($T$7:$T$35&lt;&gt;"",IF($Q$7:$Q$35&lt;&gt;"",ROW($Q$7:$Q$35)-MIN(ROW($Q$7:$Q$35))+1,""),""),ROW()-ROW(A$37)+1)),"##0")," "),"")</f>
        <v>0</v>
      </c>
      <c r="S38">
        <f t="array" ref="S38">IFERROR(CONCATENATE((INDEX($A$7:$A$35,SMALL(IF($T$7:$T$35&lt;&gt;"",IF($Q$7:$Q$35&lt;&gt;"",ROW($Q$7:$Q$35)-MIN(ROW($Q$7:$Q$35))+1,""),""),ROW()-ROW(A$37)+1))),),"")</f>
        <v>0</v>
      </c>
      <c r="W38">
        <f t="array" ref="W38">IFERROR(CONCATENATE((INDEX($Z$7:$Z$35,SMALL(IF($Z$7:$Z$35&lt;&gt;"",IF($W$7:$W$35&lt;&gt;"",ROW($W$7:$W$35)-MIN(ROW($W$7:$W$35))+1,""),""),ROW()-ROW(A$37)+1))),","),"")</f>
        <v>0</v>
      </c>
      <c r="X38">
        <f t="array" ref="X38">IFERROR(CONCATENATE(TEXT(INDEX($W$7:$W$35,SMALL(IF($Z$7:$Z$35&lt;&gt;"",IF($W$7:$W$35&lt;&gt;"",ROW($W$7:$W$35)-MIN(ROW($W$7:$W$35))+1,""),""),ROW()-ROW(A$37)+1)),"##0"),","),"")</f>
        <v>0</v>
      </c>
      <c r="Y38">
        <f t="array" ref="Y38">IFERROR(CONCATENATE((INDEX($A$7:$A$35,SMALL(IF($Z$7:$Z$35&lt;&gt;"",IF($W$7:$W$35&lt;&gt;"",ROW($W$7:$W$35)-MIN(ROW($W$7:$W$35))+1,""),""),ROW()-ROW(A$37)+1))),),"")</f>
        <v>0</v>
      </c>
    </row>
    <row r="39" spans="1:27">
      <c r="K39">
        <f t="array" ref="K39">IFERROR(CONCATENATE(TEXT(INDEX($K$7:$K$35,SMALL(IF($N$7:$N$35&lt;&gt;"",IF($K$7:$K$35&lt;&gt;"",ROW($K$7:$K$35)-MIN(ROW($K$7:$K$35))+1,""),""),ROW()-ROW(A$37)+1)),"##0"),","),"")</f>
        <v>0</v>
      </c>
      <c r="L39">
        <f t="array" ref="L39">IFERROR(CONCATENATE((INDEX($N$7:$N$35,SMALL(IF($N$7:$N$35&lt;&gt;"",IF($K$7:$K$35&lt;&gt;"",ROW($K$7:$K$35)-MIN(ROW($K$7:$K$35))+1,""),""),ROW()-ROW(A$37)+1))),","),"")</f>
        <v>0</v>
      </c>
      <c r="M39">
        <f t="array" ref="M39">IFERROR(CONCATENATE((INDEX($A$7:$A$35,SMALL(IF($N$7:$N$35&lt;&gt;"",IF($K$7:$K$35&lt;&gt;"",ROW($K$7:$K$35)-MIN(ROW($K$7:$K$35))+1,""),""),ROW()-ROW(A$37)+1))),),"")</f>
        <v>0</v>
      </c>
      <c r="Q39">
        <f t="array" ref="Q39">IFERROR(CONCATENATE((INDEX($T$7:$T$35,SMALL(IF($T$7:$T$35&lt;&gt;"",IF($Q$7:$Q$35&lt;&gt;"",ROW($Q$7:$Q$35)-MIN(ROW($Q$7:$Q$35))+1,""),""),ROW()-ROW(A$37)+1)))," "),"")</f>
        <v>0</v>
      </c>
      <c r="R39">
        <f t="array" ref="R39">IFERROR(CONCATENATE(TEXT(INDEX($Q$7:$Q$35,SMALL(IF($T$7:$T$35&lt;&gt;"",IF($Q$7:$Q$35&lt;&gt;"",ROW($Q$7:$Q$35)-MIN(ROW($Q$7:$Q$35))+1,""),""),ROW()-ROW(A$37)+1)),"##0")," "),"")</f>
        <v>0</v>
      </c>
      <c r="S39">
        <f t="array" ref="S39">IFERROR(CONCATENATE((INDEX($A$7:$A$35,SMALL(IF($T$7:$T$35&lt;&gt;"",IF($Q$7:$Q$35&lt;&gt;"",ROW($Q$7:$Q$35)-MIN(ROW($Q$7:$Q$35))+1,""),""),ROW()-ROW(A$37)+1))),),"")</f>
        <v>0</v>
      </c>
      <c r="W39">
        <f t="array" ref="W39">IFERROR(CONCATENATE((INDEX($Z$7:$Z$35,SMALL(IF($Z$7:$Z$35&lt;&gt;"",IF($W$7:$W$35&lt;&gt;"",ROW($W$7:$W$35)-MIN(ROW($W$7:$W$35))+1,""),""),ROW()-ROW(A$37)+1))),","),"")</f>
        <v>0</v>
      </c>
      <c r="X39">
        <f t="array" ref="X39">IFERROR(CONCATENATE(TEXT(INDEX($W$7:$W$35,SMALL(IF($Z$7:$Z$35&lt;&gt;"",IF($W$7:$W$35&lt;&gt;"",ROW($W$7:$W$35)-MIN(ROW($W$7:$W$35))+1,""),""),ROW()-ROW(A$37)+1)),"##0"),","),"")</f>
        <v>0</v>
      </c>
      <c r="Y39">
        <f t="array" ref="Y39">IFERROR(CONCATENATE((INDEX($A$7:$A$35,SMALL(IF($Z$7:$Z$35&lt;&gt;"",IF($W$7:$W$35&lt;&gt;"",ROW($W$7:$W$35)-MIN(ROW($W$7:$W$35))+1,""),""),ROW()-ROW(A$37)+1))),),"")</f>
        <v>0</v>
      </c>
    </row>
    <row r="40" spans="1:27">
      <c r="K40">
        <f t="array" ref="K40">IFERROR(CONCATENATE(TEXT(INDEX($K$7:$K$35,SMALL(IF($N$7:$N$35&lt;&gt;"",IF($K$7:$K$35&lt;&gt;"",ROW($K$7:$K$35)-MIN(ROW($K$7:$K$35))+1,""),""),ROW()-ROW(A$37)+1)),"##0"),","),"")</f>
        <v>0</v>
      </c>
      <c r="L40">
        <f t="array" ref="L40">IFERROR(CONCATENATE((INDEX($N$7:$N$35,SMALL(IF($N$7:$N$35&lt;&gt;"",IF($K$7:$K$35&lt;&gt;"",ROW($K$7:$K$35)-MIN(ROW($K$7:$K$35))+1,""),""),ROW()-ROW(A$37)+1))),","),"")</f>
        <v>0</v>
      </c>
      <c r="M40">
        <f t="array" ref="M40">IFERROR(CONCATENATE((INDEX($A$7:$A$35,SMALL(IF($N$7:$N$35&lt;&gt;"",IF($K$7:$K$35&lt;&gt;"",ROW($K$7:$K$35)-MIN(ROW($K$7:$K$35))+1,""),""),ROW()-ROW(A$37)+1))),),"")</f>
        <v>0</v>
      </c>
      <c r="Q40">
        <f t="array" ref="Q40">IFERROR(CONCATENATE((INDEX($T$7:$T$35,SMALL(IF($T$7:$T$35&lt;&gt;"",IF($Q$7:$Q$35&lt;&gt;"",ROW($Q$7:$Q$35)-MIN(ROW($Q$7:$Q$35))+1,""),""),ROW()-ROW(A$37)+1)))," "),"")</f>
        <v>0</v>
      </c>
      <c r="R40">
        <f t="array" ref="R40">IFERROR(CONCATENATE(TEXT(INDEX($Q$7:$Q$35,SMALL(IF($T$7:$T$35&lt;&gt;"",IF($Q$7:$Q$35&lt;&gt;"",ROW($Q$7:$Q$35)-MIN(ROW($Q$7:$Q$35))+1,""),""),ROW()-ROW(A$37)+1)),"##0")," "),"")</f>
        <v>0</v>
      </c>
      <c r="S40">
        <f t="array" ref="S40">IFERROR(CONCATENATE((INDEX($A$7:$A$35,SMALL(IF($T$7:$T$35&lt;&gt;"",IF($Q$7:$Q$35&lt;&gt;"",ROW($Q$7:$Q$35)-MIN(ROW($Q$7:$Q$35))+1,""),""),ROW()-ROW(A$37)+1))),),"")</f>
        <v>0</v>
      </c>
      <c r="W40">
        <f t="array" ref="W40">IFERROR(CONCATENATE((INDEX($Z$7:$Z$35,SMALL(IF($Z$7:$Z$35&lt;&gt;"",IF($W$7:$W$35&lt;&gt;"",ROW($W$7:$W$35)-MIN(ROW($W$7:$W$35))+1,""),""),ROW()-ROW(A$37)+1))),","),"")</f>
        <v>0</v>
      </c>
      <c r="X40">
        <f t="array" ref="X40">IFERROR(CONCATENATE(TEXT(INDEX($W$7:$W$35,SMALL(IF($Z$7:$Z$35&lt;&gt;"",IF($W$7:$W$35&lt;&gt;"",ROW($W$7:$W$35)-MIN(ROW($W$7:$W$35))+1,""),""),ROW()-ROW(A$37)+1)),"##0"),","),"")</f>
        <v>0</v>
      </c>
      <c r="Y40">
        <f t="array" ref="Y40">IFERROR(CONCATENATE((INDEX($A$7:$A$35,SMALL(IF($Z$7:$Z$35&lt;&gt;"",IF($W$7:$W$35&lt;&gt;"",ROW($W$7:$W$35)-MIN(ROW($W$7:$W$35))+1,""),""),ROW()-ROW(A$37)+1))),),"")</f>
        <v>0</v>
      </c>
    </row>
    <row r="41" spans="1:27">
      <c r="K41">
        <f t="array" ref="K41">IFERROR(CONCATENATE(TEXT(INDEX($K$7:$K$35,SMALL(IF($N$7:$N$35&lt;&gt;"",IF($K$7:$K$35&lt;&gt;"",ROW($K$7:$K$35)-MIN(ROW($K$7:$K$35))+1,""),""),ROW()-ROW(A$37)+1)),"##0"),","),"")</f>
        <v>0</v>
      </c>
      <c r="L41">
        <f t="array" ref="L41">IFERROR(CONCATENATE((INDEX($N$7:$N$35,SMALL(IF($N$7:$N$35&lt;&gt;"",IF($K$7:$K$35&lt;&gt;"",ROW($K$7:$K$35)-MIN(ROW($K$7:$K$35))+1,""),""),ROW()-ROW(A$37)+1))),","),"")</f>
        <v>0</v>
      </c>
      <c r="M41">
        <f t="array" ref="M41">IFERROR(CONCATENATE((INDEX($A$7:$A$35,SMALL(IF($N$7:$N$35&lt;&gt;"",IF($K$7:$K$35&lt;&gt;"",ROW($K$7:$K$35)-MIN(ROW($K$7:$K$35))+1,""),""),ROW()-ROW(A$37)+1))),),"")</f>
        <v>0</v>
      </c>
      <c r="Q41">
        <f t="array" ref="Q41">IFERROR(CONCATENATE((INDEX($T$7:$T$35,SMALL(IF($T$7:$T$35&lt;&gt;"",IF($Q$7:$Q$35&lt;&gt;"",ROW($Q$7:$Q$35)-MIN(ROW($Q$7:$Q$35))+1,""),""),ROW()-ROW(A$37)+1)))," "),"")</f>
        <v>0</v>
      </c>
      <c r="R41">
        <f t="array" ref="R41">IFERROR(CONCATENATE(TEXT(INDEX($Q$7:$Q$35,SMALL(IF($T$7:$T$35&lt;&gt;"",IF($Q$7:$Q$35&lt;&gt;"",ROW($Q$7:$Q$35)-MIN(ROW($Q$7:$Q$35))+1,""),""),ROW()-ROW(A$37)+1)),"##0")," "),"")</f>
        <v>0</v>
      </c>
      <c r="S41">
        <f t="array" ref="S41">IFERROR(CONCATENATE((INDEX($A$7:$A$35,SMALL(IF($T$7:$T$35&lt;&gt;"",IF($Q$7:$Q$35&lt;&gt;"",ROW($Q$7:$Q$35)-MIN(ROW($Q$7:$Q$35))+1,""),""),ROW()-ROW(A$37)+1))),),"")</f>
        <v>0</v>
      </c>
      <c r="W41">
        <f t="array" ref="W41">IFERROR(CONCATENATE((INDEX($Z$7:$Z$35,SMALL(IF($Z$7:$Z$35&lt;&gt;"",IF($W$7:$W$35&lt;&gt;"",ROW($W$7:$W$35)-MIN(ROW($W$7:$W$35))+1,""),""),ROW()-ROW(A$37)+1))),","),"")</f>
        <v>0</v>
      </c>
      <c r="X41">
        <f t="array" ref="X41">IFERROR(CONCATENATE(TEXT(INDEX($W$7:$W$35,SMALL(IF($Z$7:$Z$35&lt;&gt;"",IF($W$7:$W$35&lt;&gt;"",ROW($W$7:$W$35)-MIN(ROW($W$7:$W$35))+1,""),""),ROW()-ROW(A$37)+1)),"##0"),","),"")</f>
        <v>0</v>
      </c>
      <c r="Y41">
        <f t="array" ref="Y41">IFERROR(CONCATENATE((INDEX($A$7:$A$35,SMALL(IF($Z$7:$Z$35&lt;&gt;"",IF($W$7:$W$35&lt;&gt;"",ROW($W$7:$W$35)-MIN(ROW($W$7:$W$35))+1,""),""),ROW()-ROW(A$37)+1))),),"")</f>
        <v>0</v>
      </c>
    </row>
    <row r="42" spans="1:27">
      <c r="K42">
        <f t="array" ref="K42">IFERROR(CONCATENATE(TEXT(INDEX($K$7:$K$35,SMALL(IF($N$7:$N$35&lt;&gt;"",IF($K$7:$K$35&lt;&gt;"",ROW($K$7:$K$35)-MIN(ROW($K$7:$K$35))+1,""),""),ROW()-ROW(A$37)+1)),"##0"),","),"")</f>
        <v>0</v>
      </c>
      <c r="L42">
        <f t="array" ref="L42">IFERROR(CONCATENATE((INDEX($N$7:$N$35,SMALL(IF($N$7:$N$35&lt;&gt;"",IF($K$7:$K$35&lt;&gt;"",ROW($K$7:$K$35)-MIN(ROW($K$7:$K$35))+1,""),""),ROW()-ROW(A$37)+1))),","),"")</f>
        <v>0</v>
      </c>
      <c r="M42">
        <f t="array" ref="M42">IFERROR(CONCATENATE((INDEX($A$7:$A$35,SMALL(IF($N$7:$N$35&lt;&gt;"",IF($K$7:$K$35&lt;&gt;"",ROW($K$7:$K$35)-MIN(ROW($K$7:$K$35))+1,""),""),ROW()-ROW(A$37)+1))),),"")</f>
        <v>0</v>
      </c>
      <c r="Q42">
        <f t="array" ref="Q42">IFERROR(CONCATENATE((INDEX($T$7:$T$35,SMALL(IF($T$7:$T$35&lt;&gt;"",IF($Q$7:$Q$35&lt;&gt;"",ROW($Q$7:$Q$35)-MIN(ROW($Q$7:$Q$35))+1,""),""),ROW()-ROW(A$37)+1)))," "),"")</f>
        <v>0</v>
      </c>
      <c r="R42">
        <f t="array" ref="R42">IFERROR(CONCATENATE(TEXT(INDEX($Q$7:$Q$35,SMALL(IF($T$7:$T$35&lt;&gt;"",IF($Q$7:$Q$35&lt;&gt;"",ROW($Q$7:$Q$35)-MIN(ROW($Q$7:$Q$35))+1,""),""),ROW()-ROW(A$37)+1)),"##0")," "),"")</f>
        <v>0</v>
      </c>
      <c r="S42">
        <f t="array" ref="S42">IFERROR(CONCATENATE((INDEX($A$7:$A$35,SMALL(IF($T$7:$T$35&lt;&gt;"",IF($Q$7:$Q$35&lt;&gt;"",ROW($Q$7:$Q$35)-MIN(ROW($Q$7:$Q$35))+1,""),""),ROW()-ROW(A$37)+1))),),"")</f>
        <v>0</v>
      </c>
      <c r="W42">
        <f t="array" ref="W42">IFERROR(CONCATENATE((INDEX($Z$7:$Z$35,SMALL(IF($Z$7:$Z$35&lt;&gt;"",IF($W$7:$W$35&lt;&gt;"",ROW($W$7:$W$35)-MIN(ROW($W$7:$W$35))+1,""),""),ROW()-ROW(A$37)+1))),","),"")</f>
        <v>0</v>
      </c>
      <c r="X42">
        <f t="array" ref="X42">IFERROR(CONCATENATE(TEXT(INDEX($W$7:$W$35,SMALL(IF($Z$7:$Z$35&lt;&gt;"",IF($W$7:$W$35&lt;&gt;"",ROW($W$7:$W$35)-MIN(ROW($W$7:$W$35))+1,""),""),ROW()-ROW(A$37)+1)),"##0"),","),"")</f>
        <v>0</v>
      </c>
      <c r="Y42">
        <f t="array" ref="Y42">IFERROR(CONCATENATE((INDEX($A$7:$A$35,SMALL(IF($Z$7:$Z$35&lt;&gt;"",IF($W$7:$W$35&lt;&gt;"",ROW($W$7:$W$35)-MIN(ROW($W$7:$W$35))+1,""),""),ROW()-ROW(A$37)+1))),),"")</f>
        <v>0</v>
      </c>
    </row>
    <row r="43" spans="1:27">
      <c r="K43">
        <f t="array" ref="K43">IFERROR(CONCATENATE(TEXT(INDEX($K$7:$K$35,SMALL(IF($N$7:$N$35&lt;&gt;"",IF($K$7:$K$35&lt;&gt;"",ROW($K$7:$K$35)-MIN(ROW($K$7:$K$35))+1,""),""),ROW()-ROW(A$37)+1)),"##0"),","),"")</f>
        <v>0</v>
      </c>
      <c r="L43">
        <f t="array" ref="L43">IFERROR(CONCATENATE((INDEX($N$7:$N$35,SMALL(IF($N$7:$N$35&lt;&gt;"",IF($K$7:$K$35&lt;&gt;"",ROW($K$7:$K$35)-MIN(ROW($K$7:$K$35))+1,""),""),ROW()-ROW(A$37)+1))),","),"")</f>
        <v>0</v>
      </c>
      <c r="M43">
        <f t="array" ref="M43">IFERROR(CONCATENATE((INDEX($A$7:$A$35,SMALL(IF($N$7:$N$35&lt;&gt;"",IF($K$7:$K$35&lt;&gt;"",ROW($K$7:$K$35)-MIN(ROW($K$7:$K$35))+1,""),""),ROW()-ROW(A$37)+1))),),"")</f>
        <v>0</v>
      </c>
      <c r="Q43">
        <f t="array" ref="Q43">IFERROR(CONCATENATE((INDEX($T$7:$T$35,SMALL(IF($T$7:$T$35&lt;&gt;"",IF($Q$7:$Q$35&lt;&gt;"",ROW($Q$7:$Q$35)-MIN(ROW($Q$7:$Q$35))+1,""),""),ROW()-ROW(A$37)+1)))," "),"")</f>
        <v>0</v>
      </c>
      <c r="R43">
        <f t="array" ref="R43">IFERROR(CONCATENATE(TEXT(INDEX($Q$7:$Q$35,SMALL(IF($T$7:$T$35&lt;&gt;"",IF($Q$7:$Q$35&lt;&gt;"",ROW($Q$7:$Q$35)-MIN(ROW($Q$7:$Q$35))+1,""),""),ROW()-ROW(A$37)+1)),"##0")," "),"")</f>
        <v>0</v>
      </c>
      <c r="S43">
        <f t="array" ref="S43">IFERROR(CONCATENATE((INDEX($A$7:$A$35,SMALL(IF($T$7:$T$35&lt;&gt;"",IF($Q$7:$Q$35&lt;&gt;"",ROW($Q$7:$Q$35)-MIN(ROW($Q$7:$Q$35))+1,""),""),ROW()-ROW(A$37)+1))),),"")</f>
        <v>0</v>
      </c>
      <c r="W43">
        <f t="array" ref="W43">IFERROR(CONCATENATE((INDEX($Z$7:$Z$35,SMALL(IF($Z$7:$Z$35&lt;&gt;"",IF($W$7:$W$35&lt;&gt;"",ROW($W$7:$W$35)-MIN(ROW($W$7:$W$35))+1,""),""),ROW()-ROW(A$37)+1))),","),"")</f>
        <v>0</v>
      </c>
      <c r="X43">
        <f t="array" ref="X43">IFERROR(CONCATENATE(TEXT(INDEX($W$7:$W$35,SMALL(IF($Z$7:$Z$35&lt;&gt;"",IF($W$7:$W$35&lt;&gt;"",ROW($W$7:$W$35)-MIN(ROW($W$7:$W$35))+1,""),""),ROW()-ROW(A$37)+1)),"##0"),","),"")</f>
        <v>0</v>
      </c>
      <c r="Y43">
        <f t="array" ref="Y43">IFERROR(CONCATENATE((INDEX($A$7:$A$35,SMALL(IF($Z$7:$Z$35&lt;&gt;"",IF($W$7:$W$35&lt;&gt;"",ROW($W$7:$W$35)-MIN(ROW($W$7:$W$35))+1,""),""),ROW()-ROW(A$37)+1))),),"")</f>
        <v>0</v>
      </c>
    </row>
    <row r="44" spans="1:27">
      <c r="K44">
        <f t="array" ref="K44">IFERROR(CONCATENATE(TEXT(INDEX($K$7:$K$35,SMALL(IF($N$7:$N$35&lt;&gt;"",IF($K$7:$K$35&lt;&gt;"",ROW($K$7:$K$35)-MIN(ROW($K$7:$K$35))+1,""),""),ROW()-ROW(A$37)+1)),"##0"),","),"")</f>
        <v>0</v>
      </c>
      <c r="L44">
        <f t="array" ref="L44">IFERROR(CONCATENATE((INDEX($N$7:$N$35,SMALL(IF($N$7:$N$35&lt;&gt;"",IF($K$7:$K$35&lt;&gt;"",ROW($K$7:$K$35)-MIN(ROW($K$7:$K$35))+1,""),""),ROW()-ROW(A$37)+1))),","),"")</f>
        <v>0</v>
      </c>
      <c r="M44">
        <f t="array" ref="M44">IFERROR(CONCATENATE((INDEX($A$7:$A$35,SMALL(IF($N$7:$N$35&lt;&gt;"",IF($K$7:$K$35&lt;&gt;"",ROW($K$7:$K$35)-MIN(ROW($K$7:$K$35))+1,""),""),ROW()-ROW(A$37)+1))),),"")</f>
        <v>0</v>
      </c>
      <c r="Q44">
        <f t="array" ref="Q44">IFERROR(CONCATENATE((INDEX($T$7:$T$35,SMALL(IF($T$7:$T$35&lt;&gt;"",IF($Q$7:$Q$35&lt;&gt;"",ROW($Q$7:$Q$35)-MIN(ROW($Q$7:$Q$35))+1,""),""),ROW()-ROW(A$37)+1)))," "),"")</f>
        <v>0</v>
      </c>
      <c r="R44">
        <f t="array" ref="R44">IFERROR(CONCATENATE(TEXT(INDEX($Q$7:$Q$35,SMALL(IF($T$7:$T$35&lt;&gt;"",IF($Q$7:$Q$35&lt;&gt;"",ROW($Q$7:$Q$35)-MIN(ROW($Q$7:$Q$35))+1,""),""),ROW()-ROW(A$37)+1)),"##0")," "),"")</f>
        <v>0</v>
      </c>
      <c r="S44">
        <f t="array" ref="S44">IFERROR(CONCATENATE((INDEX($A$7:$A$35,SMALL(IF($T$7:$T$35&lt;&gt;"",IF($Q$7:$Q$35&lt;&gt;"",ROW($Q$7:$Q$35)-MIN(ROW($Q$7:$Q$35))+1,""),""),ROW()-ROW(A$37)+1))),),"")</f>
        <v>0</v>
      </c>
      <c r="W44">
        <f t="array" ref="W44">IFERROR(CONCATENATE((INDEX($Z$7:$Z$35,SMALL(IF($Z$7:$Z$35&lt;&gt;"",IF($W$7:$W$35&lt;&gt;"",ROW($W$7:$W$35)-MIN(ROW($W$7:$W$35))+1,""),""),ROW()-ROW(A$37)+1))),","),"")</f>
        <v>0</v>
      </c>
      <c r="X44">
        <f t="array" ref="X44">IFERROR(CONCATENATE(TEXT(INDEX($W$7:$W$35,SMALL(IF($Z$7:$Z$35&lt;&gt;"",IF($W$7:$W$35&lt;&gt;"",ROW($W$7:$W$35)-MIN(ROW($W$7:$W$35))+1,""),""),ROW()-ROW(A$37)+1)),"##0"),","),"")</f>
        <v>0</v>
      </c>
      <c r="Y44">
        <f t="array" ref="Y44">IFERROR(CONCATENATE((INDEX($A$7:$A$35,SMALL(IF($Z$7:$Z$35&lt;&gt;"",IF($W$7:$W$35&lt;&gt;"",ROW($W$7:$W$35)-MIN(ROW($W$7:$W$35))+1,""),""),ROW()-ROW(A$37)+1))),),"")</f>
        <v>0</v>
      </c>
    </row>
    <row r="45" spans="1:27">
      <c r="K45">
        <f t="array" ref="K45">IFERROR(CONCATENATE(TEXT(INDEX($K$7:$K$35,SMALL(IF($N$7:$N$35&lt;&gt;"",IF($K$7:$K$35&lt;&gt;"",ROW($K$7:$K$35)-MIN(ROW($K$7:$K$35))+1,""),""),ROW()-ROW(A$37)+1)),"##0"),","),"")</f>
        <v>0</v>
      </c>
      <c r="L45">
        <f t="array" ref="L45">IFERROR(CONCATENATE((INDEX($N$7:$N$35,SMALL(IF($N$7:$N$35&lt;&gt;"",IF($K$7:$K$35&lt;&gt;"",ROW($K$7:$K$35)-MIN(ROW($K$7:$K$35))+1,""),""),ROW()-ROW(A$37)+1))),","),"")</f>
        <v>0</v>
      </c>
      <c r="M45">
        <f t="array" ref="M45">IFERROR(CONCATENATE((INDEX($A$7:$A$35,SMALL(IF($N$7:$N$35&lt;&gt;"",IF($K$7:$K$35&lt;&gt;"",ROW($K$7:$K$35)-MIN(ROW($K$7:$K$35))+1,""),""),ROW()-ROW(A$37)+1))),),"")</f>
        <v>0</v>
      </c>
      <c r="Q45">
        <f t="array" ref="Q45">IFERROR(CONCATENATE((INDEX($T$7:$T$35,SMALL(IF($T$7:$T$35&lt;&gt;"",IF($Q$7:$Q$35&lt;&gt;"",ROW($Q$7:$Q$35)-MIN(ROW($Q$7:$Q$35))+1,""),""),ROW()-ROW(A$37)+1)))," "),"")</f>
        <v>0</v>
      </c>
      <c r="R45">
        <f t="array" ref="R45">IFERROR(CONCATENATE(TEXT(INDEX($Q$7:$Q$35,SMALL(IF($T$7:$T$35&lt;&gt;"",IF($Q$7:$Q$35&lt;&gt;"",ROW($Q$7:$Q$35)-MIN(ROW($Q$7:$Q$35))+1,""),""),ROW()-ROW(A$37)+1)),"##0")," "),"")</f>
        <v>0</v>
      </c>
      <c r="S45">
        <f t="array" ref="S45">IFERROR(CONCATENATE((INDEX($A$7:$A$35,SMALL(IF($T$7:$T$35&lt;&gt;"",IF($Q$7:$Q$35&lt;&gt;"",ROW($Q$7:$Q$35)-MIN(ROW($Q$7:$Q$35))+1,""),""),ROW()-ROW(A$37)+1))),),"")</f>
        <v>0</v>
      </c>
      <c r="W45">
        <f t="array" ref="W45">IFERROR(CONCATENATE((INDEX($Z$7:$Z$35,SMALL(IF($Z$7:$Z$35&lt;&gt;"",IF($W$7:$W$35&lt;&gt;"",ROW($W$7:$W$35)-MIN(ROW($W$7:$W$35))+1,""),""),ROW()-ROW(A$37)+1))),","),"")</f>
        <v>0</v>
      </c>
      <c r="X45">
        <f t="array" ref="X45">IFERROR(CONCATENATE(TEXT(INDEX($W$7:$W$35,SMALL(IF($Z$7:$Z$35&lt;&gt;"",IF($W$7:$W$35&lt;&gt;"",ROW($W$7:$W$35)-MIN(ROW($W$7:$W$35))+1,""),""),ROW()-ROW(A$37)+1)),"##0"),","),"")</f>
        <v>0</v>
      </c>
      <c r="Y45">
        <f t="array" ref="Y45">IFERROR(CONCATENATE((INDEX($A$7:$A$35,SMALL(IF($Z$7:$Z$35&lt;&gt;"",IF($W$7:$W$35&lt;&gt;"",ROW($W$7:$W$35)-MIN(ROW($W$7:$W$35))+1,""),""),ROW()-ROW(A$37)+1))),),"")</f>
        <v>0</v>
      </c>
    </row>
    <row r="46" spans="1:27">
      <c r="K46">
        <f t="array" ref="K46">IFERROR(CONCATENATE(TEXT(INDEX($K$7:$K$35,SMALL(IF($N$7:$N$35&lt;&gt;"",IF($K$7:$K$35&lt;&gt;"",ROW($K$7:$K$35)-MIN(ROW($K$7:$K$35))+1,""),""),ROW()-ROW(A$37)+1)),"##0"),","),"")</f>
        <v>0</v>
      </c>
      <c r="L46">
        <f t="array" ref="L46">IFERROR(CONCATENATE((INDEX($N$7:$N$35,SMALL(IF($N$7:$N$35&lt;&gt;"",IF($K$7:$K$35&lt;&gt;"",ROW($K$7:$K$35)-MIN(ROW($K$7:$K$35))+1,""),""),ROW()-ROW(A$37)+1))),","),"")</f>
        <v>0</v>
      </c>
      <c r="M46">
        <f t="array" ref="M46">IFERROR(CONCATENATE((INDEX($A$7:$A$35,SMALL(IF($N$7:$N$35&lt;&gt;"",IF($K$7:$K$35&lt;&gt;"",ROW($K$7:$K$35)-MIN(ROW($K$7:$K$35))+1,""),""),ROW()-ROW(A$37)+1))),),"")</f>
        <v>0</v>
      </c>
      <c r="Q46">
        <f t="array" ref="Q46">IFERROR(CONCATENATE((INDEX($T$7:$T$35,SMALL(IF($T$7:$T$35&lt;&gt;"",IF($Q$7:$Q$35&lt;&gt;"",ROW($Q$7:$Q$35)-MIN(ROW($Q$7:$Q$35))+1,""),""),ROW()-ROW(A$37)+1)))," "),"")</f>
        <v>0</v>
      </c>
      <c r="R46">
        <f t="array" ref="R46">IFERROR(CONCATENATE(TEXT(INDEX($Q$7:$Q$35,SMALL(IF($T$7:$T$35&lt;&gt;"",IF($Q$7:$Q$35&lt;&gt;"",ROW($Q$7:$Q$35)-MIN(ROW($Q$7:$Q$35))+1,""),""),ROW()-ROW(A$37)+1)),"##0")," "),"")</f>
        <v>0</v>
      </c>
      <c r="S46">
        <f t="array" ref="S46">IFERROR(CONCATENATE((INDEX($A$7:$A$35,SMALL(IF($T$7:$T$35&lt;&gt;"",IF($Q$7:$Q$35&lt;&gt;"",ROW($Q$7:$Q$35)-MIN(ROW($Q$7:$Q$35))+1,""),""),ROW()-ROW(A$37)+1))),),"")</f>
        <v>0</v>
      </c>
      <c r="W46">
        <f t="array" ref="W46">IFERROR(CONCATENATE((INDEX($Z$7:$Z$35,SMALL(IF($Z$7:$Z$35&lt;&gt;"",IF($W$7:$W$35&lt;&gt;"",ROW($W$7:$W$35)-MIN(ROW($W$7:$W$35))+1,""),""),ROW()-ROW(A$37)+1))),","),"")</f>
        <v>0</v>
      </c>
      <c r="X46">
        <f t="array" ref="X46">IFERROR(CONCATENATE(TEXT(INDEX($W$7:$W$35,SMALL(IF($Z$7:$Z$35&lt;&gt;"",IF($W$7:$W$35&lt;&gt;"",ROW($W$7:$W$35)-MIN(ROW($W$7:$W$35))+1,""),""),ROW()-ROW(A$37)+1)),"##0"),","),"")</f>
        <v>0</v>
      </c>
      <c r="Y46">
        <f t="array" ref="Y46">IFERROR(CONCATENATE((INDEX($A$7:$A$35,SMALL(IF($Z$7:$Z$35&lt;&gt;"",IF($W$7:$W$35&lt;&gt;"",ROW($W$7:$W$35)-MIN(ROW($W$7:$W$35))+1,""),""),ROW()-ROW(A$37)+1))),),"")</f>
        <v>0</v>
      </c>
    </row>
    <row r="47" spans="1:27">
      <c r="K47">
        <f t="array" ref="K47">IFERROR(CONCATENATE(TEXT(INDEX($K$7:$K$35,SMALL(IF($N$7:$N$35&lt;&gt;"",IF($K$7:$K$35&lt;&gt;"",ROW($K$7:$K$35)-MIN(ROW($K$7:$K$35))+1,""),""),ROW()-ROW(A$37)+1)),"##0"),","),"")</f>
        <v>0</v>
      </c>
      <c r="L47">
        <f t="array" ref="L47">IFERROR(CONCATENATE((INDEX($N$7:$N$35,SMALL(IF($N$7:$N$35&lt;&gt;"",IF($K$7:$K$35&lt;&gt;"",ROW($K$7:$K$35)-MIN(ROW($K$7:$K$35))+1,""),""),ROW()-ROW(A$37)+1))),","),"")</f>
        <v>0</v>
      </c>
      <c r="M47">
        <f t="array" ref="M47">IFERROR(CONCATENATE((INDEX($A$7:$A$35,SMALL(IF($N$7:$N$35&lt;&gt;"",IF($K$7:$K$35&lt;&gt;"",ROW($K$7:$K$35)-MIN(ROW($K$7:$K$35))+1,""),""),ROW()-ROW(A$37)+1))),),"")</f>
        <v>0</v>
      </c>
      <c r="Q47">
        <f t="array" ref="Q47">IFERROR(CONCATENATE((INDEX($T$7:$T$35,SMALL(IF($T$7:$T$35&lt;&gt;"",IF($Q$7:$Q$35&lt;&gt;"",ROW($Q$7:$Q$35)-MIN(ROW($Q$7:$Q$35))+1,""),""),ROW()-ROW(A$37)+1)))," "),"")</f>
        <v>0</v>
      </c>
      <c r="R47">
        <f t="array" ref="R47">IFERROR(CONCATENATE(TEXT(INDEX($Q$7:$Q$35,SMALL(IF($T$7:$T$35&lt;&gt;"",IF($Q$7:$Q$35&lt;&gt;"",ROW($Q$7:$Q$35)-MIN(ROW($Q$7:$Q$35))+1,""),""),ROW()-ROW(A$37)+1)),"##0")," "),"")</f>
        <v>0</v>
      </c>
      <c r="S47">
        <f t="array" ref="S47">IFERROR(CONCATENATE((INDEX($A$7:$A$35,SMALL(IF($T$7:$T$35&lt;&gt;"",IF($Q$7:$Q$35&lt;&gt;"",ROW($Q$7:$Q$35)-MIN(ROW($Q$7:$Q$35))+1,""),""),ROW()-ROW(A$37)+1))),),"")</f>
        <v>0</v>
      </c>
      <c r="W47">
        <f t="array" ref="W47">IFERROR(CONCATENATE((INDEX($Z$7:$Z$35,SMALL(IF($Z$7:$Z$35&lt;&gt;"",IF($W$7:$W$35&lt;&gt;"",ROW($W$7:$W$35)-MIN(ROW($W$7:$W$35))+1,""),""),ROW()-ROW(A$37)+1))),","),"")</f>
        <v>0</v>
      </c>
      <c r="X47">
        <f t="array" ref="X47">IFERROR(CONCATENATE(TEXT(INDEX($W$7:$W$35,SMALL(IF($Z$7:$Z$35&lt;&gt;"",IF($W$7:$W$35&lt;&gt;"",ROW($W$7:$W$35)-MIN(ROW($W$7:$W$35))+1,""),""),ROW()-ROW(A$37)+1)),"##0"),","),"")</f>
        <v>0</v>
      </c>
      <c r="Y47">
        <f t="array" ref="Y47">IFERROR(CONCATENATE((INDEX($A$7:$A$35,SMALL(IF($Z$7:$Z$35&lt;&gt;"",IF($W$7:$W$35&lt;&gt;"",ROW($W$7:$W$35)-MIN(ROW($W$7:$W$35))+1,""),""),ROW()-ROW(A$37)+1))),),"")</f>
        <v>0</v>
      </c>
    </row>
    <row r="48" spans="1:27">
      <c r="K48">
        <f t="array" ref="K48">IFERROR(CONCATENATE(TEXT(INDEX($K$7:$K$35,SMALL(IF($N$7:$N$35&lt;&gt;"",IF($K$7:$K$35&lt;&gt;"",ROW($K$7:$K$35)-MIN(ROW($K$7:$K$35))+1,""),""),ROW()-ROW(A$37)+1)),"##0"),","),"")</f>
        <v>0</v>
      </c>
      <c r="L48">
        <f t="array" ref="L48">IFERROR(CONCATENATE((INDEX($N$7:$N$35,SMALL(IF($N$7:$N$35&lt;&gt;"",IF($K$7:$K$35&lt;&gt;"",ROW($K$7:$K$35)-MIN(ROW($K$7:$K$35))+1,""),""),ROW()-ROW(A$37)+1))),","),"")</f>
        <v>0</v>
      </c>
      <c r="M48">
        <f t="array" ref="M48">IFERROR(CONCATENATE((INDEX($A$7:$A$35,SMALL(IF($N$7:$N$35&lt;&gt;"",IF($K$7:$K$35&lt;&gt;"",ROW($K$7:$K$35)-MIN(ROW($K$7:$K$35))+1,""),""),ROW()-ROW(A$37)+1))),),"")</f>
        <v>0</v>
      </c>
      <c r="Q48">
        <f t="array" ref="Q48">IFERROR(CONCATENATE((INDEX($T$7:$T$35,SMALL(IF($T$7:$T$35&lt;&gt;"",IF($Q$7:$Q$35&lt;&gt;"",ROW($Q$7:$Q$35)-MIN(ROW($Q$7:$Q$35))+1,""),""),ROW()-ROW(A$37)+1)))," "),"")</f>
        <v>0</v>
      </c>
      <c r="R48">
        <f t="array" ref="R48">IFERROR(CONCATENATE(TEXT(INDEX($Q$7:$Q$35,SMALL(IF($T$7:$T$35&lt;&gt;"",IF($Q$7:$Q$35&lt;&gt;"",ROW($Q$7:$Q$35)-MIN(ROW($Q$7:$Q$35))+1,""),""),ROW()-ROW(A$37)+1)),"##0")," "),"")</f>
        <v>0</v>
      </c>
      <c r="S48">
        <f t="array" ref="S48">IFERROR(CONCATENATE((INDEX($A$7:$A$35,SMALL(IF($T$7:$T$35&lt;&gt;"",IF($Q$7:$Q$35&lt;&gt;"",ROW($Q$7:$Q$35)-MIN(ROW($Q$7:$Q$35))+1,""),""),ROW()-ROW(A$37)+1))),),"")</f>
        <v>0</v>
      </c>
      <c r="W48">
        <f t="array" ref="W48">IFERROR(CONCATENATE((INDEX($Z$7:$Z$35,SMALL(IF($Z$7:$Z$35&lt;&gt;"",IF($W$7:$W$35&lt;&gt;"",ROW($W$7:$W$35)-MIN(ROW($W$7:$W$35))+1,""),""),ROW()-ROW(A$37)+1))),","),"")</f>
        <v>0</v>
      </c>
      <c r="X48">
        <f t="array" ref="X48">IFERROR(CONCATENATE(TEXT(INDEX($W$7:$W$35,SMALL(IF($Z$7:$Z$35&lt;&gt;"",IF($W$7:$W$35&lt;&gt;"",ROW($W$7:$W$35)-MIN(ROW($W$7:$W$35))+1,""),""),ROW()-ROW(A$37)+1)),"##0"),","),"")</f>
        <v>0</v>
      </c>
      <c r="Y48">
        <f t="array" ref="Y48">IFERROR(CONCATENATE((INDEX($A$7:$A$35,SMALL(IF($Z$7:$Z$35&lt;&gt;"",IF($W$7:$W$35&lt;&gt;"",ROW($W$7:$W$35)-MIN(ROW($W$7:$W$35))+1,""),""),ROW()-ROW(A$37)+1))),),"")</f>
        <v>0</v>
      </c>
    </row>
    <row r="49" spans="11:25">
      <c r="K49">
        <f t="array" ref="K49">IFERROR(CONCATENATE(TEXT(INDEX($K$7:$K$35,SMALL(IF($N$7:$N$35&lt;&gt;"",IF($K$7:$K$35&lt;&gt;"",ROW($K$7:$K$35)-MIN(ROW($K$7:$K$35))+1,""),""),ROW()-ROW(A$37)+1)),"##0"),","),"")</f>
        <v>0</v>
      </c>
      <c r="L49">
        <f t="array" ref="L49">IFERROR(CONCATENATE((INDEX($N$7:$N$35,SMALL(IF($N$7:$N$35&lt;&gt;"",IF($K$7:$K$35&lt;&gt;"",ROW($K$7:$K$35)-MIN(ROW($K$7:$K$35))+1,""),""),ROW()-ROW(A$37)+1))),","),"")</f>
        <v>0</v>
      </c>
      <c r="M49">
        <f t="array" ref="M49">IFERROR(CONCATENATE((INDEX($A$7:$A$35,SMALL(IF($N$7:$N$35&lt;&gt;"",IF($K$7:$K$35&lt;&gt;"",ROW($K$7:$K$35)-MIN(ROW($K$7:$K$35))+1,""),""),ROW()-ROW(A$37)+1))),),"")</f>
        <v>0</v>
      </c>
      <c r="Q49">
        <f t="array" ref="Q49">IFERROR(CONCATENATE((INDEX($T$7:$T$35,SMALL(IF($T$7:$T$35&lt;&gt;"",IF($Q$7:$Q$35&lt;&gt;"",ROW($Q$7:$Q$35)-MIN(ROW($Q$7:$Q$35))+1,""),""),ROW()-ROW(A$37)+1)))," "),"")</f>
        <v>0</v>
      </c>
      <c r="R49">
        <f t="array" ref="R49">IFERROR(CONCATENATE(TEXT(INDEX($Q$7:$Q$35,SMALL(IF($T$7:$T$35&lt;&gt;"",IF($Q$7:$Q$35&lt;&gt;"",ROW($Q$7:$Q$35)-MIN(ROW($Q$7:$Q$35))+1,""),""),ROW()-ROW(A$37)+1)),"##0")," "),"")</f>
        <v>0</v>
      </c>
      <c r="S49">
        <f t="array" ref="S49">IFERROR(CONCATENATE((INDEX($A$7:$A$35,SMALL(IF($T$7:$T$35&lt;&gt;"",IF($Q$7:$Q$35&lt;&gt;"",ROW($Q$7:$Q$35)-MIN(ROW($Q$7:$Q$35))+1,""),""),ROW()-ROW(A$37)+1))),),"")</f>
        <v>0</v>
      </c>
      <c r="W49">
        <f t="array" ref="W49">IFERROR(CONCATENATE((INDEX($Z$7:$Z$35,SMALL(IF($Z$7:$Z$35&lt;&gt;"",IF($W$7:$W$35&lt;&gt;"",ROW($W$7:$W$35)-MIN(ROW($W$7:$W$35))+1,""),""),ROW()-ROW(A$37)+1))),","),"")</f>
        <v>0</v>
      </c>
      <c r="X49">
        <f t="array" ref="X49">IFERROR(CONCATENATE(TEXT(INDEX($W$7:$W$35,SMALL(IF($Z$7:$Z$35&lt;&gt;"",IF($W$7:$W$35&lt;&gt;"",ROW($W$7:$W$35)-MIN(ROW($W$7:$W$35))+1,""),""),ROW()-ROW(A$37)+1)),"##0"),","),"")</f>
        <v>0</v>
      </c>
      <c r="Y49">
        <f t="array" ref="Y49">IFERROR(CONCATENATE((INDEX($A$7:$A$35,SMALL(IF($Z$7:$Z$35&lt;&gt;"",IF($W$7:$W$35&lt;&gt;"",ROW($W$7:$W$35)-MIN(ROW($W$7:$W$35))+1,""),""),ROW()-ROW(A$37)+1))),),"")</f>
        <v>0</v>
      </c>
    </row>
    <row r="50" spans="11:25">
      <c r="K50">
        <f t="array" ref="K50">IFERROR(CONCATENATE(TEXT(INDEX($K$7:$K$35,SMALL(IF($N$7:$N$35&lt;&gt;"",IF($K$7:$K$35&lt;&gt;"",ROW($K$7:$K$35)-MIN(ROW($K$7:$K$35))+1,""),""),ROW()-ROW(A$37)+1)),"##0"),","),"")</f>
        <v>0</v>
      </c>
      <c r="L50">
        <f t="array" ref="L50">IFERROR(CONCATENATE((INDEX($N$7:$N$35,SMALL(IF($N$7:$N$35&lt;&gt;"",IF($K$7:$K$35&lt;&gt;"",ROW($K$7:$K$35)-MIN(ROW($K$7:$K$35))+1,""),""),ROW()-ROW(A$37)+1))),","),"")</f>
        <v>0</v>
      </c>
      <c r="M50">
        <f t="array" ref="M50">IFERROR(CONCATENATE((INDEX($A$7:$A$35,SMALL(IF($N$7:$N$35&lt;&gt;"",IF($K$7:$K$35&lt;&gt;"",ROW($K$7:$K$35)-MIN(ROW($K$7:$K$35))+1,""),""),ROW()-ROW(A$37)+1))),),"")</f>
        <v>0</v>
      </c>
      <c r="Q50">
        <f t="array" ref="Q50">IFERROR(CONCATENATE((INDEX($T$7:$T$35,SMALL(IF($T$7:$T$35&lt;&gt;"",IF($Q$7:$Q$35&lt;&gt;"",ROW($Q$7:$Q$35)-MIN(ROW($Q$7:$Q$35))+1,""),""),ROW()-ROW(A$37)+1)))," "),"")</f>
        <v>0</v>
      </c>
      <c r="R50">
        <f t="array" ref="R50">IFERROR(CONCATENATE(TEXT(INDEX($Q$7:$Q$35,SMALL(IF($T$7:$T$35&lt;&gt;"",IF($Q$7:$Q$35&lt;&gt;"",ROW($Q$7:$Q$35)-MIN(ROW($Q$7:$Q$35))+1,""),""),ROW()-ROW(A$37)+1)),"##0")," "),"")</f>
        <v>0</v>
      </c>
      <c r="S50">
        <f t="array" ref="S50">IFERROR(CONCATENATE((INDEX($A$7:$A$35,SMALL(IF($T$7:$T$35&lt;&gt;"",IF($Q$7:$Q$35&lt;&gt;"",ROW($Q$7:$Q$35)-MIN(ROW($Q$7:$Q$35))+1,""),""),ROW()-ROW(A$37)+1))),),"")</f>
        <v>0</v>
      </c>
      <c r="W50">
        <f t="array" ref="W50">IFERROR(CONCATENATE((INDEX($Z$7:$Z$35,SMALL(IF($Z$7:$Z$35&lt;&gt;"",IF($W$7:$W$35&lt;&gt;"",ROW($W$7:$W$35)-MIN(ROW($W$7:$W$35))+1,""),""),ROW()-ROW(A$37)+1))),","),"")</f>
        <v>0</v>
      </c>
      <c r="X50">
        <f t="array" ref="X50">IFERROR(CONCATENATE(TEXT(INDEX($W$7:$W$35,SMALL(IF($Z$7:$Z$35&lt;&gt;"",IF($W$7:$W$35&lt;&gt;"",ROW($W$7:$W$35)-MIN(ROW($W$7:$W$35))+1,""),""),ROW()-ROW(A$37)+1)),"##0"),","),"")</f>
        <v>0</v>
      </c>
      <c r="Y50">
        <f t="array" ref="Y50">IFERROR(CONCATENATE((INDEX($A$7:$A$35,SMALL(IF($Z$7:$Z$35&lt;&gt;"",IF($W$7:$W$35&lt;&gt;"",ROW($W$7:$W$35)-MIN(ROW($W$7:$W$35))+1,""),""),ROW()-ROW(A$37)+1))),),"")</f>
        <v>0</v>
      </c>
    </row>
    <row r="51" spans="11:25">
      <c r="K51">
        <f t="array" ref="K51">IFERROR(CONCATENATE(TEXT(INDEX($K$7:$K$35,SMALL(IF($N$7:$N$35&lt;&gt;"",IF($K$7:$K$35&lt;&gt;"",ROW($K$7:$K$35)-MIN(ROW($K$7:$K$35))+1,""),""),ROW()-ROW(A$37)+1)),"##0"),","),"")</f>
        <v>0</v>
      </c>
      <c r="L51">
        <f t="array" ref="L51">IFERROR(CONCATENATE((INDEX($N$7:$N$35,SMALL(IF($N$7:$N$35&lt;&gt;"",IF($K$7:$K$35&lt;&gt;"",ROW($K$7:$K$35)-MIN(ROW($K$7:$K$35))+1,""),""),ROW()-ROW(A$37)+1))),","),"")</f>
        <v>0</v>
      </c>
      <c r="M51">
        <f t="array" ref="M51">IFERROR(CONCATENATE((INDEX($A$7:$A$35,SMALL(IF($N$7:$N$35&lt;&gt;"",IF($K$7:$K$35&lt;&gt;"",ROW($K$7:$K$35)-MIN(ROW($K$7:$K$35))+1,""),""),ROW()-ROW(A$37)+1))),),"")</f>
        <v>0</v>
      </c>
      <c r="Q51">
        <f t="array" ref="Q51">IFERROR(CONCATENATE((INDEX($T$7:$T$35,SMALL(IF($T$7:$T$35&lt;&gt;"",IF($Q$7:$Q$35&lt;&gt;"",ROW($Q$7:$Q$35)-MIN(ROW($Q$7:$Q$35))+1,""),""),ROW()-ROW(A$37)+1)))," "),"")</f>
        <v>0</v>
      </c>
      <c r="R51">
        <f t="array" ref="R51">IFERROR(CONCATENATE(TEXT(INDEX($Q$7:$Q$35,SMALL(IF($T$7:$T$35&lt;&gt;"",IF($Q$7:$Q$35&lt;&gt;"",ROW($Q$7:$Q$35)-MIN(ROW($Q$7:$Q$35))+1,""),""),ROW()-ROW(A$37)+1)),"##0")," "),"")</f>
        <v>0</v>
      </c>
      <c r="S51">
        <f t="array" ref="S51">IFERROR(CONCATENATE((INDEX($A$7:$A$35,SMALL(IF($T$7:$T$35&lt;&gt;"",IF($Q$7:$Q$35&lt;&gt;"",ROW($Q$7:$Q$35)-MIN(ROW($Q$7:$Q$35))+1,""),""),ROW()-ROW(A$37)+1))),),"")</f>
        <v>0</v>
      </c>
      <c r="W51">
        <f t="array" ref="W51">IFERROR(CONCATENATE((INDEX($Z$7:$Z$35,SMALL(IF($Z$7:$Z$35&lt;&gt;"",IF($W$7:$W$35&lt;&gt;"",ROW($W$7:$W$35)-MIN(ROW($W$7:$W$35))+1,""),""),ROW()-ROW(A$37)+1))),","),"")</f>
        <v>0</v>
      </c>
      <c r="X51">
        <f t="array" ref="X51">IFERROR(CONCATENATE(TEXT(INDEX($W$7:$W$35,SMALL(IF($Z$7:$Z$35&lt;&gt;"",IF($W$7:$W$35&lt;&gt;"",ROW($W$7:$W$35)-MIN(ROW($W$7:$W$35))+1,""),""),ROW()-ROW(A$37)+1)),"##0"),","),"")</f>
        <v>0</v>
      </c>
      <c r="Y51">
        <f t="array" ref="Y51">IFERROR(CONCATENATE((INDEX($A$7:$A$35,SMALL(IF($Z$7:$Z$35&lt;&gt;"",IF($W$7:$W$35&lt;&gt;"",ROW($W$7:$W$35)-MIN(ROW($W$7:$W$35))+1,""),""),ROW()-ROW(A$37)+1))),),"")</f>
        <v>0</v>
      </c>
    </row>
    <row r="52" spans="11:25">
      <c r="K52">
        <f t="array" ref="K52">IFERROR(CONCATENATE(TEXT(INDEX($K$7:$K$35,SMALL(IF($N$7:$N$35&lt;&gt;"",IF($K$7:$K$35&lt;&gt;"",ROW($K$7:$K$35)-MIN(ROW($K$7:$K$35))+1,""),""),ROW()-ROW(A$37)+1)),"##0"),","),"")</f>
        <v>0</v>
      </c>
      <c r="L52">
        <f t="array" ref="L52">IFERROR(CONCATENATE((INDEX($N$7:$N$35,SMALL(IF($N$7:$N$35&lt;&gt;"",IF($K$7:$K$35&lt;&gt;"",ROW($K$7:$K$35)-MIN(ROW($K$7:$K$35))+1,""),""),ROW()-ROW(A$37)+1))),","),"")</f>
        <v>0</v>
      </c>
      <c r="M52">
        <f t="array" ref="M52">IFERROR(CONCATENATE((INDEX($A$7:$A$35,SMALL(IF($N$7:$N$35&lt;&gt;"",IF($K$7:$K$35&lt;&gt;"",ROW($K$7:$K$35)-MIN(ROW($K$7:$K$35))+1,""),""),ROW()-ROW(A$37)+1))),),"")</f>
        <v>0</v>
      </c>
      <c r="Q52">
        <f t="array" ref="Q52">IFERROR(CONCATENATE((INDEX($T$7:$T$35,SMALL(IF($T$7:$T$35&lt;&gt;"",IF($Q$7:$Q$35&lt;&gt;"",ROW($Q$7:$Q$35)-MIN(ROW($Q$7:$Q$35))+1,""),""),ROW()-ROW(A$37)+1)))," "),"")</f>
        <v>0</v>
      </c>
      <c r="R52">
        <f t="array" ref="R52">IFERROR(CONCATENATE(TEXT(INDEX($Q$7:$Q$35,SMALL(IF($T$7:$T$35&lt;&gt;"",IF($Q$7:$Q$35&lt;&gt;"",ROW($Q$7:$Q$35)-MIN(ROW($Q$7:$Q$35))+1,""),""),ROW()-ROW(A$37)+1)),"##0")," "),"")</f>
        <v>0</v>
      </c>
      <c r="S52">
        <f t="array" ref="S52">IFERROR(CONCATENATE((INDEX($A$7:$A$35,SMALL(IF($T$7:$T$35&lt;&gt;"",IF($Q$7:$Q$35&lt;&gt;"",ROW($Q$7:$Q$35)-MIN(ROW($Q$7:$Q$35))+1,""),""),ROW()-ROW(A$37)+1))),),"")</f>
        <v>0</v>
      </c>
      <c r="W52">
        <f t="array" ref="W52">IFERROR(CONCATENATE((INDEX($Z$7:$Z$35,SMALL(IF($Z$7:$Z$35&lt;&gt;"",IF($W$7:$W$35&lt;&gt;"",ROW($W$7:$W$35)-MIN(ROW($W$7:$W$35))+1,""),""),ROW()-ROW(A$37)+1))),","),"")</f>
        <v>0</v>
      </c>
      <c r="X52">
        <f t="array" ref="X52">IFERROR(CONCATENATE(TEXT(INDEX($W$7:$W$35,SMALL(IF($Z$7:$Z$35&lt;&gt;"",IF($W$7:$W$35&lt;&gt;"",ROW($W$7:$W$35)-MIN(ROW($W$7:$W$35))+1,""),""),ROW()-ROW(A$37)+1)),"##0"),","),"")</f>
        <v>0</v>
      </c>
      <c r="Y52">
        <f t="array" ref="Y52">IFERROR(CONCATENATE((INDEX($A$7:$A$35,SMALL(IF($Z$7:$Z$35&lt;&gt;"",IF($W$7:$W$35&lt;&gt;"",ROW($W$7:$W$35)-MIN(ROW($W$7:$W$35))+1,""),""),ROW()-ROW(A$37)+1))),),"")</f>
        <v>0</v>
      </c>
    </row>
    <row r="53" spans="11:25">
      <c r="K53">
        <f t="array" ref="K53">IFERROR(CONCATENATE(TEXT(INDEX($K$7:$K$35,SMALL(IF($N$7:$N$35&lt;&gt;"",IF($K$7:$K$35&lt;&gt;"",ROW($K$7:$K$35)-MIN(ROW($K$7:$K$35))+1,""),""),ROW()-ROW(A$37)+1)),"##0"),","),"")</f>
        <v>0</v>
      </c>
      <c r="L53">
        <f t="array" ref="L53">IFERROR(CONCATENATE((INDEX($N$7:$N$35,SMALL(IF($N$7:$N$35&lt;&gt;"",IF($K$7:$K$35&lt;&gt;"",ROW($K$7:$K$35)-MIN(ROW($K$7:$K$35))+1,""),""),ROW()-ROW(A$37)+1))),","),"")</f>
        <v>0</v>
      </c>
      <c r="M53">
        <f t="array" ref="M53">IFERROR(CONCATENATE((INDEX($A$7:$A$35,SMALL(IF($N$7:$N$35&lt;&gt;"",IF($K$7:$K$35&lt;&gt;"",ROW($K$7:$K$35)-MIN(ROW($K$7:$K$35))+1,""),""),ROW()-ROW(A$37)+1))),),"")</f>
        <v>0</v>
      </c>
      <c r="Q53">
        <f t="array" ref="Q53">IFERROR(CONCATENATE((INDEX($T$7:$T$35,SMALL(IF($T$7:$T$35&lt;&gt;"",IF($Q$7:$Q$35&lt;&gt;"",ROW($Q$7:$Q$35)-MIN(ROW($Q$7:$Q$35))+1,""),""),ROW()-ROW(A$37)+1)))," "),"")</f>
        <v>0</v>
      </c>
      <c r="R53">
        <f t="array" ref="R53">IFERROR(CONCATENATE(TEXT(INDEX($Q$7:$Q$35,SMALL(IF($T$7:$T$35&lt;&gt;"",IF($Q$7:$Q$35&lt;&gt;"",ROW($Q$7:$Q$35)-MIN(ROW($Q$7:$Q$35))+1,""),""),ROW()-ROW(A$37)+1)),"##0")," "),"")</f>
        <v>0</v>
      </c>
      <c r="S53">
        <f t="array" ref="S53">IFERROR(CONCATENATE((INDEX($A$7:$A$35,SMALL(IF($T$7:$T$35&lt;&gt;"",IF($Q$7:$Q$35&lt;&gt;"",ROW($Q$7:$Q$35)-MIN(ROW($Q$7:$Q$35))+1,""),""),ROW()-ROW(A$37)+1))),),"")</f>
        <v>0</v>
      </c>
      <c r="W53">
        <f t="array" ref="W53">IFERROR(CONCATENATE((INDEX($Z$7:$Z$35,SMALL(IF($Z$7:$Z$35&lt;&gt;"",IF($W$7:$W$35&lt;&gt;"",ROW($W$7:$W$35)-MIN(ROW($W$7:$W$35))+1,""),""),ROW()-ROW(A$37)+1))),","),"")</f>
        <v>0</v>
      </c>
      <c r="X53">
        <f t="array" ref="X53">IFERROR(CONCATENATE(TEXT(INDEX($W$7:$W$35,SMALL(IF($Z$7:$Z$35&lt;&gt;"",IF($W$7:$W$35&lt;&gt;"",ROW($W$7:$W$35)-MIN(ROW($W$7:$W$35))+1,""),""),ROW()-ROW(A$37)+1)),"##0"),","),"")</f>
        <v>0</v>
      </c>
      <c r="Y53">
        <f t="array" ref="Y53">IFERROR(CONCATENATE((INDEX($A$7:$A$35,SMALL(IF($Z$7:$Z$35&lt;&gt;"",IF($W$7:$W$35&lt;&gt;"",ROW($W$7:$W$35)-MIN(ROW($W$7:$W$35))+1,""),""),ROW()-ROW(A$37)+1))),),"")</f>
        <v>0</v>
      </c>
    </row>
    <row r="54" spans="11:25">
      <c r="K54">
        <f t="array" ref="K54">IFERROR(CONCATENATE(TEXT(INDEX($K$7:$K$35,SMALL(IF($N$7:$N$35&lt;&gt;"",IF($K$7:$K$35&lt;&gt;"",ROW($K$7:$K$35)-MIN(ROW($K$7:$K$35))+1,""),""),ROW()-ROW(A$37)+1)),"##0"),","),"")</f>
        <v>0</v>
      </c>
      <c r="L54">
        <f t="array" ref="L54">IFERROR(CONCATENATE((INDEX($N$7:$N$35,SMALL(IF($N$7:$N$35&lt;&gt;"",IF($K$7:$K$35&lt;&gt;"",ROW($K$7:$K$35)-MIN(ROW($K$7:$K$35))+1,""),""),ROW()-ROW(A$37)+1))),","),"")</f>
        <v>0</v>
      </c>
      <c r="M54">
        <f t="array" ref="M54">IFERROR(CONCATENATE((INDEX($A$7:$A$35,SMALL(IF($N$7:$N$35&lt;&gt;"",IF($K$7:$K$35&lt;&gt;"",ROW($K$7:$K$35)-MIN(ROW($K$7:$K$35))+1,""),""),ROW()-ROW(A$37)+1))),),"")</f>
        <v>0</v>
      </c>
      <c r="Q54">
        <f t="array" ref="Q54">IFERROR(CONCATENATE((INDEX($T$7:$T$35,SMALL(IF($T$7:$T$35&lt;&gt;"",IF($Q$7:$Q$35&lt;&gt;"",ROW($Q$7:$Q$35)-MIN(ROW($Q$7:$Q$35))+1,""),""),ROW()-ROW(A$37)+1)))," "),"")</f>
        <v>0</v>
      </c>
      <c r="R54">
        <f t="array" ref="R54">IFERROR(CONCATENATE(TEXT(INDEX($Q$7:$Q$35,SMALL(IF($T$7:$T$35&lt;&gt;"",IF($Q$7:$Q$35&lt;&gt;"",ROW($Q$7:$Q$35)-MIN(ROW($Q$7:$Q$35))+1,""),""),ROW()-ROW(A$37)+1)),"##0")," "),"")</f>
        <v>0</v>
      </c>
      <c r="S54">
        <f t="array" ref="S54">IFERROR(CONCATENATE((INDEX($A$7:$A$35,SMALL(IF($T$7:$T$35&lt;&gt;"",IF($Q$7:$Q$35&lt;&gt;"",ROW($Q$7:$Q$35)-MIN(ROW($Q$7:$Q$35))+1,""),""),ROW()-ROW(A$37)+1))),),"")</f>
        <v>0</v>
      </c>
      <c r="W54">
        <f t="array" ref="W54">IFERROR(CONCATENATE((INDEX($Z$7:$Z$35,SMALL(IF($Z$7:$Z$35&lt;&gt;"",IF($W$7:$W$35&lt;&gt;"",ROW($W$7:$W$35)-MIN(ROW($W$7:$W$35))+1,""),""),ROW()-ROW(A$37)+1))),","),"")</f>
        <v>0</v>
      </c>
      <c r="X54">
        <f t="array" ref="X54">IFERROR(CONCATENATE(TEXT(INDEX($W$7:$W$35,SMALL(IF($Z$7:$Z$35&lt;&gt;"",IF($W$7:$W$35&lt;&gt;"",ROW($W$7:$W$35)-MIN(ROW($W$7:$W$35))+1,""),""),ROW()-ROW(A$37)+1)),"##0"),","),"")</f>
        <v>0</v>
      </c>
      <c r="Y54">
        <f t="array" ref="Y54">IFERROR(CONCATENATE((INDEX($A$7:$A$35,SMALL(IF($Z$7:$Z$35&lt;&gt;"",IF($W$7:$W$35&lt;&gt;"",ROW($W$7:$W$35)-MIN(ROW($W$7:$W$35))+1,""),""),ROW()-ROW(A$37)+1))),),"")</f>
        <v>0</v>
      </c>
    </row>
    <row r="55" spans="11:25">
      <c r="K55">
        <f t="array" ref="K55">IFERROR(CONCATENATE(TEXT(INDEX($K$7:$K$35,SMALL(IF($N$7:$N$35&lt;&gt;"",IF($K$7:$K$35&lt;&gt;"",ROW($K$7:$K$35)-MIN(ROW($K$7:$K$35))+1,""),""),ROW()-ROW(A$37)+1)),"##0"),","),"")</f>
        <v>0</v>
      </c>
      <c r="L55">
        <f t="array" ref="L55">IFERROR(CONCATENATE((INDEX($N$7:$N$35,SMALL(IF($N$7:$N$35&lt;&gt;"",IF($K$7:$K$35&lt;&gt;"",ROW($K$7:$K$35)-MIN(ROW($K$7:$K$35))+1,""),""),ROW()-ROW(A$37)+1))),","),"")</f>
        <v>0</v>
      </c>
      <c r="M55">
        <f t="array" ref="M55">IFERROR(CONCATENATE((INDEX($A$7:$A$35,SMALL(IF($N$7:$N$35&lt;&gt;"",IF($K$7:$K$35&lt;&gt;"",ROW($K$7:$K$35)-MIN(ROW($K$7:$K$35))+1,""),""),ROW()-ROW(A$37)+1))),),"")</f>
        <v>0</v>
      </c>
      <c r="Q55">
        <f t="array" ref="Q55">IFERROR(CONCATENATE((INDEX($T$7:$T$35,SMALL(IF($T$7:$T$35&lt;&gt;"",IF($Q$7:$Q$35&lt;&gt;"",ROW($Q$7:$Q$35)-MIN(ROW($Q$7:$Q$35))+1,""),""),ROW()-ROW(A$37)+1)))," "),"")</f>
        <v>0</v>
      </c>
      <c r="R55">
        <f t="array" ref="R55">IFERROR(CONCATENATE(TEXT(INDEX($Q$7:$Q$35,SMALL(IF($T$7:$T$35&lt;&gt;"",IF($Q$7:$Q$35&lt;&gt;"",ROW($Q$7:$Q$35)-MIN(ROW($Q$7:$Q$35))+1,""),""),ROW()-ROW(A$37)+1)),"##0")," "),"")</f>
        <v>0</v>
      </c>
      <c r="S55">
        <f t="array" ref="S55">IFERROR(CONCATENATE((INDEX($A$7:$A$35,SMALL(IF($T$7:$T$35&lt;&gt;"",IF($Q$7:$Q$35&lt;&gt;"",ROW($Q$7:$Q$35)-MIN(ROW($Q$7:$Q$35))+1,""),""),ROW()-ROW(A$37)+1))),),"")</f>
        <v>0</v>
      </c>
      <c r="W55">
        <f t="array" ref="W55">IFERROR(CONCATENATE((INDEX($Z$7:$Z$35,SMALL(IF($Z$7:$Z$35&lt;&gt;"",IF($W$7:$W$35&lt;&gt;"",ROW($W$7:$W$35)-MIN(ROW($W$7:$W$35))+1,""),""),ROW()-ROW(A$37)+1))),","),"")</f>
        <v>0</v>
      </c>
      <c r="X55">
        <f t="array" ref="X55">IFERROR(CONCATENATE(TEXT(INDEX($W$7:$W$35,SMALL(IF($Z$7:$Z$35&lt;&gt;"",IF($W$7:$W$35&lt;&gt;"",ROW($W$7:$W$35)-MIN(ROW($W$7:$W$35))+1,""),""),ROW()-ROW(A$37)+1)),"##0"),","),"")</f>
        <v>0</v>
      </c>
      <c r="Y55">
        <f t="array" ref="Y55">IFERROR(CONCATENATE((INDEX($A$7:$A$35,SMALL(IF($Z$7:$Z$35&lt;&gt;"",IF($W$7:$W$35&lt;&gt;"",ROW($W$7:$W$35)-MIN(ROW($W$7:$W$35))+1,""),""),ROW()-ROW(A$37)+1))),),"")</f>
        <v>0</v>
      </c>
    </row>
    <row r="56" spans="11:25">
      <c r="K56">
        <f t="array" ref="K56">IFERROR(CONCATENATE(TEXT(INDEX($K$7:$K$35,SMALL(IF($N$7:$N$35&lt;&gt;"",IF($K$7:$K$35&lt;&gt;"",ROW($K$7:$K$35)-MIN(ROW($K$7:$K$35))+1,""),""),ROW()-ROW(A$37)+1)),"##0"),","),"")</f>
        <v>0</v>
      </c>
      <c r="L56">
        <f t="array" ref="L56">IFERROR(CONCATENATE((INDEX($N$7:$N$35,SMALL(IF($N$7:$N$35&lt;&gt;"",IF($K$7:$K$35&lt;&gt;"",ROW($K$7:$K$35)-MIN(ROW($K$7:$K$35))+1,""),""),ROW()-ROW(A$37)+1))),","),"")</f>
        <v>0</v>
      </c>
      <c r="M56">
        <f t="array" ref="M56">IFERROR(CONCATENATE((INDEX($A$7:$A$35,SMALL(IF($N$7:$N$35&lt;&gt;"",IF($K$7:$K$35&lt;&gt;"",ROW($K$7:$K$35)-MIN(ROW($K$7:$K$35))+1,""),""),ROW()-ROW(A$37)+1))),),"")</f>
        <v>0</v>
      </c>
      <c r="Q56">
        <f t="array" ref="Q56">IFERROR(CONCATENATE((INDEX($T$7:$T$35,SMALL(IF($T$7:$T$35&lt;&gt;"",IF($Q$7:$Q$35&lt;&gt;"",ROW($Q$7:$Q$35)-MIN(ROW($Q$7:$Q$35))+1,""),""),ROW()-ROW(A$37)+1)))," "),"")</f>
        <v>0</v>
      </c>
      <c r="R56">
        <f t="array" ref="R56">IFERROR(CONCATENATE(TEXT(INDEX($Q$7:$Q$35,SMALL(IF($T$7:$T$35&lt;&gt;"",IF($Q$7:$Q$35&lt;&gt;"",ROW($Q$7:$Q$35)-MIN(ROW($Q$7:$Q$35))+1,""),""),ROW()-ROW(A$37)+1)),"##0")," "),"")</f>
        <v>0</v>
      </c>
      <c r="S56">
        <f t="array" ref="S56">IFERROR(CONCATENATE((INDEX($A$7:$A$35,SMALL(IF($T$7:$T$35&lt;&gt;"",IF($Q$7:$Q$35&lt;&gt;"",ROW($Q$7:$Q$35)-MIN(ROW($Q$7:$Q$35))+1,""),""),ROW()-ROW(A$37)+1))),),"")</f>
        <v>0</v>
      </c>
      <c r="W56">
        <f t="array" ref="W56">IFERROR(CONCATENATE((INDEX($Z$7:$Z$35,SMALL(IF($Z$7:$Z$35&lt;&gt;"",IF($W$7:$W$35&lt;&gt;"",ROW($W$7:$W$35)-MIN(ROW($W$7:$W$35))+1,""),""),ROW()-ROW(A$37)+1))),","),"")</f>
        <v>0</v>
      </c>
      <c r="X56">
        <f t="array" ref="X56">IFERROR(CONCATENATE(TEXT(INDEX($W$7:$W$35,SMALL(IF($Z$7:$Z$35&lt;&gt;"",IF($W$7:$W$35&lt;&gt;"",ROW($W$7:$W$35)-MIN(ROW($W$7:$W$35))+1,""),""),ROW()-ROW(A$37)+1)),"##0"),","),"")</f>
        <v>0</v>
      </c>
      <c r="Y56">
        <f t="array" ref="Y56">IFERROR(CONCATENATE((INDEX($A$7:$A$35,SMALL(IF($Z$7:$Z$35&lt;&gt;"",IF($W$7:$W$35&lt;&gt;"",ROW($W$7:$W$35)-MIN(ROW($W$7:$W$35))+1,""),""),ROW()-ROW(A$37)+1))),),"")</f>
        <v>0</v>
      </c>
    </row>
    <row r="57" spans="11:25">
      <c r="K57">
        <f t="array" ref="K57">IFERROR(CONCATENATE(TEXT(INDEX($K$7:$K$35,SMALL(IF($N$7:$N$35&lt;&gt;"",IF($K$7:$K$35&lt;&gt;"",ROW($K$7:$K$35)-MIN(ROW($K$7:$K$35))+1,""),""),ROW()-ROW(A$37)+1)),"##0"),","),"")</f>
        <v>0</v>
      </c>
      <c r="L57">
        <f t="array" ref="L57">IFERROR(CONCATENATE((INDEX($N$7:$N$35,SMALL(IF($N$7:$N$35&lt;&gt;"",IF($K$7:$K$35&lt;&gt;"",ROW($K$7:$K$35)-MIN(ROW($K$7:$K$35))+1,""),""),ROW()-ROW(A$37)+1))),","),"")</f>
        <v>0</v>
      </c>
      <c r="M57">
        <f t="array" ref="M57">IFERROR(CONCATENATE((INDEX($A$7:$A$35,SMALL(IF($N$7:$N$35&lt;&gt;"",IF($K$7:$K$35&lt;&gt;"",ROW($K$7:$K$35)-MIN(ROW($K$7:$K$35))+1,""),""),ROW()-ROW(A$37)+1))),),"")</f>
        <v>0</v>
      </c>
      <c r="Q57">
        <f t="array" ref="Q57">IFERROR(CONCATENATE((INDEX($T$7:$T$35,SMALL(IF($T$7:$T$35&lt;&gt;"",IF($Q$7:$Q$35&lt;&gt;"",ROW($Q$7:$Q$35)-MIN(ROW($Q$7:$Q$35))+1,""),""),ROW()-ROW(A$37)+1)))," "),"")</f>
        <v>0</v>
      </c>
      <c r="R57">
        <f t="array" ref="R57">IFERROR(CONCATENATE(TEXT(INDEX($Q$7:$Q$35,SMALL(IF($T$7:$T$35&lt;&gt;"",IF($Q$7:$Q$35&lt;&gt;"",ROW($Q$7:$Q$35)-MIN(ROW($Q$7:$Q$35))+1,""),""),ROW()-ROW(A$37)+1)),"##0")," "),"")</f>
        <v>0</v>
      </c>
      <c r="S57">
        <f t="array" ref="S57">IFERROR(CONCATENATE((INDEX($A$7:$A$35,SMALL(IF($T$7:$T$35&lt;&gt;"",IF($Q$7:$Q$35&lt;&gt;"",ROW($Q$7:$Q$35)-MIN(ROW($Q$7:$Q$35))+1,""),""),ROW()-ROW(A$37)+1))),),"")</f>
        <v>0</v>
      </c>
      <c r="W57">
        <f t="array" ref="W57">IFERROR(CONCATENATE((INDEX($Z$7:$Z$35,SMALL(IF($Z$7:$Z$35&lt;&gt;"",IF($W$7:$W$35&lt;&gt;"",ROW($W$7:$W$35)-MIN(ROW($W$7:$W$35))+1,""),""),ROW()-ROW(A$37)+1))),","),"")</f>
        <v>0</v>
      </c>
      <c r="X57">
        <f t="array" ref="X57">IFERROR(CONCATENATE(TEXT(INDEX($W$7:$W$35,SMALL(IF($Z$7:$Z$35&lt;&gt;"",IF($W$7:$W$35&lt;&gt;"",ROW($W$7:$W$35)-MIN(ROW($W$7:$W$35))+1,""),""),ROW()-ROW(A$37)+1)),"##0"),","),"")</f>
        <v>0</v>
      </c>
      <c r="Y57">
        <f t="array" ref="Y57">IFERROR(CONCATENATE((INDEX($A$7:$A$35,SMALL(IF($Z$7:$Z$35&lt;&gt;"",IF($W$7:$W$35&lt;&gt;"",ROW($W$7:$W$35)-MIN(ROW($W$7:$W$35))+1,""),""),ROW()-ROW(A$37)+1))),),"")</f>
        <v>0</v>
      </c>
    </row>
    <row r="58" spans="11:25">
      <c r="K58">
        <f t="array" ref="K58">IFERROR(CONCATENATE(TEXT(INDEX($K$7:$K$35,SMALL(IF($N$7:$N$35&lt;&gt;"",IF($K$7:$K$35&lt;&gt;"",ROW($K$7:$K$35)-MIN(ROW($K$7:$K$35))+1,""),""),ROW()-ROW(A$37)+1)),"##0"),","),"")</f>
        <v>0</v>
      </c>
      <c r="L58">
        <f t="array" ref="L58">IFERROR(CONCATENATE((INDEX($N$7:$N$35,SMALL(IF($N$7:$N$35&lt;&gt;"",IF($K$7:$K$35&lt;&gt;"",ROW($K$7:$K$35)-MIN(ROW($K$7:$K$35))+1,""),""),ROW()-ROW(A$37)+1))),","),"")</f>
        <v>0</v>
      </c>
      <c r="M58">
        <f t="array" ref="M58">IFERROR(CONCATENATE((INDEX($A$7:$A$35,SMALL(IF($N$7:$N$35&lt;&gt;"",IF($K$7:$K$35&lt;&gt;"",ROW($K$7:$K$35)-MIN(ROW($K$7:$K$35))+1,""),""),ROW()-ROW(A$37)+1))),),"")</f>
        <v>0</v>
      </c>
      <c r="Q58">
        <f t="array" ref="Q58">IFERROR(CONCATENATE((INDEX($T$7:$T$35,SMALL(IF($T$7:$T$35&lt;&gt;"",IF($Q$7:$Q$35&lt;&gt;"",ROW($Q$7:$Q$35)-MIN(ROW($Q$7:$Q$35))+1,""),""),ROW()-ROW(A$37)+1)))," "),"")</f>
        <v>0</v>
      </c>
      <c r="R58">
        <f t="array" ref="R58">IFERROR(CONCATENATE(TEXT(INDEX($Q$7:$Q$35,SMALL(IF($T$7:$T$35&lt;&gt;"",IF($Q$7:$Q$35&lt;&gt;"",ROW($Q$7:$Q$35)-MIN(ROW($Q$7:$Q$35))+1,""),""),ROW()-ROW(A$37)+1)),"##0")," "),"")</f>
        <v>0</v>
      </c>
      <c r="S58">
        <f t="array" ref="S58">IFERROR(CONCATENATE((INDEX($A$7:$A$35,SMALL(IF($T$7:$T$35&lt;&gt;"",IF($Q$7:$Q$35&lt;&gt;"",ROW($Q$7:$Q$35)-MIN(ROW($Q$7:$Q$35))+1,""),""),ROW()-ROW(A$37)+1))),),"")</f>
        <v>0</v>
      </c>
      <c r="W58">
        <f t="array" ref="W58">IFERROR(CONCATENATE((INDEX($Z$7:$Z$35,SMALL(IF($Z$7:$Z$35&lt;&gt;"",IF($W$7:$W$35&lt;&gt;"",ROW($W$7:$W$35)-MIN(ROW($W$7:$W$35))+1,""),""),ROW()-ROW(A$37)+1))),","),"")</f>
        <v>0</v>
      </c>
      <c r="X58">
        <f t="array" ref="X58">IFERROR(CONCATENATE(TEXT(INDEX($W$7:$W$35,SMALL(IF($Z$7:$Z$35&lt;&gt;"",IF($W$7:$W$35&lt;&gt;"",ROW($W$7:$W$35)-MIN(ROW($W$7:$W$35))+1,""),""),ROW()-ROW(A$37)+1)),"##0"),","),"")</f>
        <v>0</v>
      </c>
      <c r="Y58">
        <f t="array" ref="Y58">IFERROR(CONCATENATE((INDEX($A$7:$A$35,SMALL(IF($Z$7:$Z$35&lt;&gt;"",IF($W$7:$W$35&lt;&gt;"",ROW($W$7:$W$35)-MIN(ROW($W$7:$W$35))+1,""),""),ROW()-ROW(A$37)+1))),),"")</f>
        <v>0</v>
      </c>
    </row>
    <row r="59" spans="11:25">
      <c r="K59">
        <f t="array" ref="K59">IFERROR(CONCATENATE(TEXT(INDEX($K$7:$K$35,SMALL(IF($N$7:$N$35&lt;&gt;"",IF($K$7:$K$35&lt;&gt;"",ROW($K$7:$K$35)-MIN(ROW($K$7:$K$35))+1,""),""),ROW()-ROW(A$37)+1)),"##0"),","),"")</f>
        <v>0</v>
      </c>
      <c r="L59">
        <f t="array" ref="L59">IFERROR(CONCATENATE((INDEX($N$7:$N$35,SMALL(IF($N$7:$N$35&lt;&gt;"",IF($K$7:$K$35&lt;&gt;"",ROW($K$7:$K$35)-MIN(ROW($K$7:$K$35))+1,""),""),ROW()-ROW(A$37)+1))),","),"")</f>
        <v>0</v>
      </c>
      <c r="M59">
        <f t="array" ref="M59">IFERROR(CONCATENATE((INDEX($A$7:$A$35,SMALL(IF($N$7:$N$35&lt;&gt;"",IF($K$7:$K$35&lt;&gt;"",ROW($K$7:$K$35)-MIN(ROW($K$7:$K$35))+1,""),""),ROW()-ROW(A$37)+1))),),"")</f>
        <v>0</v>
      </c>
      <c r="Q59">
        <f t="array" ref="Q59">IFERROR(CONCATENATE((INDEX($T$7:$T$35,SMALL(IF($T$7:$T$35&lt;&gt;"",IF($Q$7:$Q$35&lt;&gt;"",ROW($Q$7:$Q$35)-MIN(ROW($Q$7:$Q$35))+1,""),""),ROW()-ROW(A$37)+1)))," "),"")</f>
        <v>0</v>
      </c>
      <c r="R59">
        <f t="array" ref="R59">IFERROR(CONCATENATE(TEXT(INDEX($Q$7:$Q$35,SMALL(IF($T$7:$T$35&lt;&gt;"",IF($Q$7:$Q$35&lt;&gt;"",ROW($Q$7:$Q$35)-MIN(ROW($Q$7:$Q$35))+1,""),""),ROW()-ROW(A$37)+1)),"##0")," "),"")</f>
        <v>0</v>
      </c>
      <c r="S59">
        <f t="array" ref="S59">IFERROR(CONCATENATE((INDEX($A$7:$A$35,SMALL(IF($T$7:$T$35&lt;&gt;"",IF($Q$7:$Q$35&lt;&gt;"",ROW($Q$7:$Q$35)-MIN(ROW($Q$7:$Q$35))+1,""),""),ROW()-ROW(A$37)+1))),),"")</f>
        <v>0</v>
      </c>
      <c r="W59">
        <f t="array" ref="W59">IFERROR(CONCATENATE((INDEX($Z$7:$Z$35,SMALL(IF($Z$7:$Z$35&lt;&gt;"",IF($W$7:$W$35&lt;&gt;"",ROW($W$7:$W$35)-MIN(ROW($W$7:$W$35))+1,""),""),ROW()-ROW(A$37)+1))),","),"")</f>
        <v>0</v>
      </c>
      <c r="X59">
        <f t="array" ref="X59">IFERROR(CONCATENATE(TEXT(INDEX($W$7:$W$35,SMALL(IF($Z$7:$Z$35&lt;&gt;"",IF($W$7:$W$35&lt;&gt;"",ROW($W$7:$W$35)-MIN(ROW($W$7:$W$35))+1,""),""),ROW()-ROW(A$37)+1)),"##0"),","),"")</f>
        <v>0</v>
      </c>
      <c r="Y59">
        <f t="array" ref="Y59">IFERROR(CONCATENATE((INDEX($A$7:$A$35,SMALL(IF($Z$7:$Z$35&lt;&gt;"",IF($W$7:$W$35&lt;&gt;"",ROW($W$7:$W$35)-MIN(ROW($W$7:$W$35))+1,""),""),ROW()-ROW(A$37)+1))),),"")</f>
        <v>0</v>
      </c>
    </row>
    <row r="60" spans="11:25">
      <c r="K60">
        <f t="array" ref="K60">IFERROR(CONCATENATE(TEXT(INDEX($K$7:$K$35,SMALL(IF($N$7:$N$35&lt;&gt;"",IF($K$7:$K$35&lt;&gt;"",ROW($K$7:$K$35)-MIN(ROW($K$7:$K$35))+1,""),""),ROW()-ROW(A$37)+1)),"##0"),","),"")</f>
        <v>0</v>
      </c>
      <c r="L60">
        <f t="array" ref="L60">IFERROR(CONCATENATE((INDEX($N$7:$N$35,SMALL(IF($N$7:$N$35&lt;&gt;"",IF($K$7:$K$35&lt;&gt;"",ROW($K$7:$K$35)-MIN(ROW($K$7:$K$35))+1,""),""),ROW()-ROW(A$37)+1))),","),"")</f>
        <v>0</v>
      </c>
      <c r="M60">
        <f t="array" ref="M60">IFERROR(CONCATENATE((INDEX($A$7:$A$35,SMALL(IF($N$7:$N$35&lt;&gt;"",IF($K$7:$K$35&lt;&gt;"",ROW($K$7:$K$35)-MIN(ROW($K$7:$K$35))+1,""),""),ROW()-ROW(A$37)+1))),),"")</f>
        <v>0</v>
      </c>
      <c r="Q60">
        <f t="array" ref="Q60">IFERROR(CONCATENATE((INDEX($T$7:$T$35,SMALL(IF($T$7:$T$35&lt;&gt;"",IF($Q$7:$Q$35&lt;&gt;"",ROW($Q$7:$Q$35)-MIN(ROW($Q$7:$Q$35))+1,""),""),ROW()-ROW(A$37)+1)))," "),"")</f>
        <v>0</v>
      </c>
      <c r="R60">
        <f t="array" ref="R60">IFERROR(CONCATENATE(TEXT(INDEX($Q$7:$Q$35,SMALL(IF($T$7:$T$35&lt;&gt;"",IF($Q$7:$Q$35&lt;&gt;"",ROW($Q$7:$Q$35)-MIN(ROW($Q$7:$Q$35))+1,""),""),ROW()-ROW(A$37)+1)),"##0")," "),"")</f>
        <v>0</v>
      </c>
      <c r="S60">
        <f t="array" ref="S60">IFERROR(CONCATENATE((INDEX($A$7:$A$35,SMALL(IF($T$7:$T$35&lt;&gt;"",IF($Q$7:$Q$35&lt;&gt;"",ROW($Q$7:$Q$35)-MIN(ROW($Q$7:$Q$35))+1,""),""),ROW()-ROW(A$37)+1))),),"")</f>
        <v>0</v>
      </c>
      <c r="W60">
        <f t="array" ref="W60">IFERROR(CONCATENATE((INDEX($Z$7:$Z$35,SMALL(IF($Z$7:$Z$35&lt;&gt;"",IF($W$7:$W$35&lt;&gt;"",ROW($W$7:$W$35)-MIN(ROW($W$7:$W$35))+1,""),""),ROW()-ROW(A$37)+1))),","),"")</f>
        <v>0</v>
      </c>
      <c r="X60">
        <f t="array" ref="X60">IFERROR(CONCATENATE(TEXT(INDEX($W$7:$W$35,SMALL(IF($Z$7:$Z$35&lt;&gt;"",IF($W$7:$W$35&lt;&gt;"",ROW($W$7:$W$35)-MIN(ROW($W$7:$W$35))+1,""),""),ROW()-ROW(A$37)+1)),"##0"),","),"")</f>
        <v>0</v>
      </c>
      <c r="Y60">
        <f t="array" ref="Y60">IFERROR(CONCATENATE((INDEX($A$7:$A$35,SMALL(IF($Z$7:$Z$35&lt;&gt;"",IF($W$7:$W$35&lt;&gt;"",ROW($W$7:$W$35)-MIN(ROW($W$7:$W$35))+1,""),""),ROW()-ROW(A$37)+1))),),"")</f>
        <v>0</v>
      </c>
    </row>
    <row r="61" spans="11:25">
      <c r="K61">
        <f t="array" ref="K61">IFERROR(CONCATENATE(TEXT(INDEX($K$7:$K$35,SMALL(IF($N$7:$N$35&lt;&gt;"",IF($K$7:$K$35&lt;&gt;"",ROW($K$7:$K$35)-MIN(ROW($K$7:$K$35))+1,""),""),ROW()-ROW(A$37)+1)),"##0"),","),"")</f>
        <v>0</v>
      </c>
      <c r="L61">
        <f t="array" ref="L61">IFERROR(CONCATENATE((INDEX($N$7:$N$35,SMALL(IF($N$7:$N$35&lt;&gt;"",IF($K$7:$K$35&lt;&gt;"",ROW($K$7:$K$35)-MIN(ROW($K$7:$K$35))+1,""),""),ROW()-ROW(A$37)+1))),","),"")</f>
        <v>0</v>
      </c>
      <c r="M61">
        <f t="array" ref="M61">IFERROR(CONCATENATE((INDEX($A$7:$A$35,SMALL(IF($N$7:$N$35&lt;&gt;"",IF($K$7:$K$35&lt;&gt;"",ROW($K$7:$K$35)-MIN(ROW($K$7:$K$35))+1,""),""),ROW()-ROW(A$37)+1))),),"")</f>
        <v>0</v>
      </c>
      <c r="Q61">
        <f t="array" ref="Q61">IFERROR(CONCATENATE((INDEX($T$7:$T$35,SMALL(IF($T$7:$T$35&lt;&gt;"",IF($Q$7:$Q$35&lt;&gt;"",ROW($Q$7:$Q$35)-MIN(ROW($Q$7:$Q$35))+1,""),""),ROW()-ROW(A$37)+1)))," "),"")</f>
        <v>0</v>
      </c>
      <c r="R61">
        <f t="array" ref="R61">IFERROR(CONCATENATE(TEXT(INDEX($Q$7:$Q$35,SMALL(IF($T$7:$T$35&lt;&gt;"",IF($Q$7:$Q$35&lt;&gt;"",ROW($Q$7:$Q$35)-MIN(ROW($Q$7:$Q$35))+1,""),""),ROW()-ROW(A$37)+1)),"##0")," "),"")</f>
        <v>0</v>
      </c>
      <c r="S61">
        <f t="array" ref="S61">IFERROR(CONCATENATE((INDEX($A$7:$A$35,SMALL(IF($T$7:$T$35&lt;&gt;"",IF($Q$7:$Q$35&lt;&gt;"",ROW($Q$7:$Q$35)-MIN(ROW($Q$7:$Q$35))+1,""),""),ROW()-ROW(A$37)+1))),),"")</f>
        <v>0</v>
      </c>
      <c r="W61">
        <f t="array" ref="W61">IFERROR(CONCATENATE((INDEX($Z$7:$Z$35,SMALL(IF($Z$7:$Z$35&lt;&gt;"",IF($W$7:$W$35&lt;&gt;"",ROW($W$7:$W$35)-MIN(ROW($W$7:$W$35))+1,""),""),ROW()-ROW(A$37)+1))),","),"")</f>
        <v>0</v>
      </c>
      <c r="X61">
        <f t="array" ref="X61">IFERROR(CONCATENATE(TEXT(INDEX($W$7:$W$35,SMALL(IF($Z$7:$Z$35&lt;&gt;"",IF($W$7:$W$35&lt;&gt;"",ROW($W$7:$W$35)-MIN(ROW($W$7:$W$35))+1,""),""),ROW()-ROW(A$37)+1)),"##0"),","),"")</f>
        <v>0</v>
      </c>
      <c r="Y61">
        <f t="array" ref="Y61">IFERROR(CONCATENATE((INDEX($A$7:$A$35,SMALL(IF($Z$7:$Z$35&lt;&gt;"",IF($W$7:$W$35&lt;&gt;"",ROW($W$7:$W$35)-MIN(ROW($W$7:$W$35))+1,""),""),ROW()-ROW(A$37)+1))),),"")</f>
        <v>0</v>
      </c>
    </row>
    <row r="62" spans="11:25">
      <c r="K62">
        <f t="array" ref="K62">IFERROR(CONCATENATE(TEXT(INDEX($K$7:$K$35,SMALL(IF($N$7:$N$35&lt;&gt;"",IF($K$7:$K$35&lt;&gt;"",ROW($K$7:$K$35)-MIN(ROW($K$7:$K$35))+1,""),""),ROW()-ROW(A$37)+1)),"##0"),","),"")</f>
        <v>0</v>
      </c>
      <c r="L62">
        <f t="array" ref="L62">IFERROR(CONCATENATE((INDEX($N$7:$N$35,SMALL(IF($N$7:$N$35&lt;&gt;"",IF($K$7:$K$35&lt;&gt;"",ROW($K$7:$K$35)-MIN(ROW($K$7:$K$35))+1,""),""),ROW()-ROW(A$37)+1))),","),"")</f>
        <v>0</v>
      </c>
      <c r="M62">
        <f t="array" ref="M62">IFERROR(CONCATENATE((INDEX($A$7:$A$35,SMALL(IF($N$7:$N$35&lt;&gt;"",IF($K$7:$K$35&lt;&gt;"",ROW($K$7:$K$35)-MIN(ROW($K$7:$K$35))+1,""),""),ROW()-ROW(A$37)+1))),),"")</f>
        <v>0</v>
      </c>
      <c r="Q62">
        <f t="array" ref="Q62">IFERROR(CONCATENATE((INDEX($T$7:$T$35,SMALL(IF($T$7:$T$35&lt;&gt;"",IF($Q$7:$Q$35&lt;&gt;"",ROW($Q$7:$Q$35)-MIN(ROW($Q$7:$Q$35))+1,""),""),ROW()-ROW(A$37)+1)))," "),"")</f>
        <v>0</v>
      </c>
      <c r="R62">
        <f t="array" ref="R62">IFERROR(CONCATENATE(TEXT(INDEX($Q$7:$Q$35,SMALL(IF($T$7:$T$35&lt;&gt;"",IF($Q$7:$Q$35&lt;&gt;"",ROW($Q$7:$Q$35)-MIN(ROW($Q$7:$Q$35))+1,""),""),ROW()-ROW(A$37)+1)),"##0")," "),"")</f>
        <v>0</v>
      </c>
      <c r="S62">
        <f t="array" ref="S62">IFERROR(CONCATENATE((INDEX($A$7:$A$35,SMALL(IF($T$7:$T$35&lt;&gt;"",IF($Q$7:$Q$35&lt;&gt;"",ROW($Q$7:$Q$35)-MIN(ROW($Q$7:$Q$35))+1,""),""),ROW()-ROW(A$37)+1))),),"")</f>
        <v>0</v>
      </c>
      <c r="W62">
        <f t="array" ref="W62">IFERROR(CONCATENATE((INDEX($Z$7:$Z$35,SMALL(IF($Z$7:$Z$35&lt;&gt;"",IF($W$7:$W$35&lt;&gt;"",ROW($W$7:$W$35)-MIN(ROW($W$7:$W$35))+1,""),""),ROW()-ROW(A$37)+1))),","),"")</f>
        <v>0</v>
      </c>
      <c r="X62">
        <f t="array" ref="X62">IFERROR(CONCATENATE(TEXT(INDEX($W$7:$W$35,SMALL(IF($Z$7:$Z$35&lt;&gt;"",IF($W$7:$W$35&lt;&gt;"",ROW($W$7:$W$35)-MIN(ROW($W$7:$W$35))+1,""),""),ROW()-ROW(A$37)+1)),"##0"),","),"")</f>
        <v>0</v>
      </c>
      <c r="Y62">
        <f t="array" ref="Y62">IFERROR(CONCATENATE((INDEX($A$7:$A$35,SMALL(IF($Z$7:$Z$35&lt;&gt;"",IF($W$7:$W$35&lt;&gt;"",ROW($W$7:$W$35)-MIN(ROW($W$7:$W$35))+1,""),""),ROW()-ROW(A$37)+1))),),"")</f>
        <v>0</v>
      </c>
    </row>
    <row r="63" spans="11:25">
      <c r="K63">
        <f t="array" ref="K63">IFERROR(CONCATENATE(TEXT(INDEX($K$7:$K$35,SMALL(IF($N$7:$N$35&lt;&gt;"",IF($K$7:$K$35&lt;&gt;"",ROW($K$7:$K$35)-MIN(ROW($K$7:$K$35))+1,""),""),ROW()-ROW(A$37)+1)),"##0"),","),"")</f>
        <v>0</v>
      </c>
      <c r="L63">
        <f t="array" ref="L63">IFERROR(CONCATENATE((INDEX($N$7:$N$35,SMALL(IF($N$7:$N$35&lt;&gt;"",IF($K$7:$K$35&lt;&gt;"",ROW($K$7:$K$35)-MIN(ROW($K$7:$K$35))+1,""),""),ROW()-ROW(A$37)+1))),","),"")</f>
        <v>0</v>
      </c>
      <c r="M63">
        <f t="array" ref="M63">IFERROR(CONCATENATE((INDEX($A$7:$A$35,SMALL(IF($N$7:$N$35&lt;&gt;"",IF($K$7:$K$35&lt;&gt;"",ROW($K$7:$K$35)-MIN(ROW($K$7:$K$35))+1,""),""),ROW()-ROW(A$37)+1))),),"")</f>
        <v>0</v>
      </c>
      <c r="Q63">
        <f t="array" ref="Q63">IFERROR(CONCATENATE((INDEX($T$7:$T$35,SMALL(IF($T$7:$T$35&lt;&gt;"",IF($Q$7:$Q$35&lt;&gt;"",ROW($Q$7:$Q$35)-MIN(ROW($Q$7:$Q$35))+1,""),""),ROW()-ROW(A$37)+1)))," "),"")</f>
        <v>0</v>
      </c>
      <c r="R63">
        <f t="array" ref="R63">IFERROR(CONCATENATE(TEXT(INDEX($Q$7:$Q$35,SMALL(IF($T$7:$T$35&lt;&gt;"",IF($Q$7:$Q$35&lt;&gt;"",ROW($Q$7:$Q$35)-MIN(ROW($Q$7:$Q$35))+1,""),""),ROW()-ROW(A$37)+1)),"##0")," "),"")</f>
        <v>0</v>
      </c>
      <c r="S63">
        <f t="array" ref="S63">IFERROR(CONCATENATE((INDEX($A$7:$A$35,SMALL(IF($T$7:$T$35&lt;&gt;"",IF($Q$7:$Q$35&lt;&gt;"",ROW($Q$7:$Q$35)-MIN(ROW($Q$7:$Q$35))+1,""),""),ROW()-ROW(A$37)+1))),),"")</f>
        <v>0</v>
      </c>
      <c r="W63">
        <f t="array" ref="W63">IFERROR(CONCATENATE((INDEX($Z$7:$Z$35,SMALL(IF($Z$7:$Z$35&lt;&gt;"",IF($W$7:$W$35&lt;&gt;"",ROW($W$7:$W$35)-MIN(ROW($W$7:$W$35))+1,""),""),ROW()-ROW(A$37)+1))),","),"")</f>
        <v>0</v>
      </c>
      <c r="X63">
        <f t="array" ref="X63">IFERROR(CONCATENATE(TEXT(INDEX($W$7:$W$35,SMALL(IF($Z$7:$Z$35&lt;&gt;"",IF($W$7:$W$35&lt;&gt;"",ROW($W$7:$W$35)-MIN(ROW($W$7:$W$35))+1,""),""),ROW()-ROW(A$37)+1)),"##0"),","),"")</f>
        <v>0</v>
      </c>
      <c r="Y63">
        <f t="array" ref="Y63">IFERROR(CONCATENATE((INDEX($A$7:$A$35,SMALL(IF($Z$7:$Z$35&lt;&gt;"",IF($W$7:$W$35&lt;&gt;"",ROW($W$7:$W$35)-MIN(ROW($W$7:$W$35))+1,""),""),ROW()-ROW(A$37)+1))),),"")</f>
        <v>0</v>
      </c>
    </row>
    <row r="64" spans="11:25">
      <c r="K64">
        <f t="array" ref="K64">IFERROR(CONCATENATE(TEXT(INDEX($K$7:$K$35,SMALL(IF($N$7:$N$35&lt;&gt;"",IF($K$7:$K$35&lt;&gt;"",ROW($K$7:$K$35)-MIN(ROW($K$7:$K$35))+1,""),""),ROW()-ROW(A$37)+1)),"##0"),","),"")</f>
        <v>0</v>
      </c>
      <c r="L64">
        <f t="array" ref="L64">IFERROR(CONCATENATE((INDEX($N$7:$N$35,SMALL(IF($N$7:$N$35&lt;&gt;"",IF($K$7:$K$35&lt;&gt;"",ROW($K$7:$K$35)-MIN(ROW($K$7:$K$35))+1,""),""),ROW()-ROW(A$37)+1))),","),"")</f>
        <v>0</v>
      </c>
      <c r="M64">
        <f t="array" ref="M64">IFERROR(CONCATENATE((INDEX($A$7:$A$35,SMALL(IF($N$7:$N$35&lt;&gt;"",IF($K$7:$K$35&lt;&gt;"",ROW($K$7:$K$35)-MIN(ROW($K$7:$K$35))+1,""),""),ROW()-ROW(A$37)+1))),),"")</f>
        <v>0</v>
      </c>
      <c r="Q64">
        <f t="array" ref="Q64">IFERROR(CONCATENATE((INDEX($T$7:$T$35,SMALL(IF($T$7:$T$35&lt;&gt;"",IF($Q$7:$Q$35&lt;&gt;"",ROW($Q$7:$Q$35)-MIN(ROW($Q$7:$Q$35))+1,""),""),ROW()-ROW(A$37)+1)))," "),"")</f>
        <v>0</v>
      </c>
      <c r="R64">
        <f t="array" ref="R64">IFERROR(CONCATENATE(TEXT(INDEX($Q$7:$Q$35,SMALL(IF($T$7:$T$35&lt;&gt;"",IF($Q$7:$Q$35&lt;&gt;"",ROW($Q$7:$Q$35)-MIN(ROW($Q$7:$Q$35))+1,""),""),ROW()-ROW(A$37)+1)),"##0")," "),"")</f>
        <v>0</v>
      </c>
      <c r="S64">
        <f t="array" ref="S64">IFERROR(CONCATENATE((INDEX($A$7:$A$35,SMALL(IF($T$7:$T$35&lt;&gt;"",IF($Q$7:$Q$35&lt;&gt;"",ROW($Q$7:$Q$35)-MIN(ROW($Q$7:$Q$35))+1,""),""),ROW()-ROW(A$37)+1))),),"")</f>
        <v>0</v>
      </c>
      <c r="W64">
        <f t="array" ref="W64">IFERROR(CONCATENATE((INDEX($Z$7:$Z$35,SMALL(IF($Z$7:$Z$35&lt;&gt;"",IF($W$7:$W$35&lt;&gt;"",ROW($W$7:$W$35)-MIN(ROW($W$7:$W$35))+1,""),""),ROW()-ROW(A$37)+1))),","),"")</f>
        <v>0</v>
      </c>
      <c r="X64">
        <f t="array" ref="X64">IFERROR(CONCATENATE(TEXT(INDEX($W$7:$W$35,SMALL(IF($Z$7:$Z$35&lt;&gt;"",IF($W$7:$W$35&lt;&gt;"",ROW($W$7:$W$35)-MIN(ROW($W$7:$W$35))+1,""),""),ROW()-ROW(A$37)+1)),"##0"),","),"")</f>
        <v>0</v>
      </c>
      <c r="Y64">
        <f t="array" ref="Y64">IFERROR(CONCATENATE((INDEX($A$7:$A$35,SMALL(IF($Z$7:$Z$35&lt;&gt;"",IF($W$7:$W$35&lt;&gt;"",ROW($W$7:$W$35)-MIN(ROW($W$7:$W$35))+1,""),""),ROW()-ROW(A$37)+1))),),"")</f>
        <v>0</v>
      </c>
    </row>
    <row r="65" spans="11:25">
      <c r="K65">
        <f t="array" ref="K65">IFERROR(CONCATENATE(TEXT(INDEX($K$7:$K$35,SMALL(IF($N$7:$N$35&lt;&gt;"",IF($K$7:$K$35&lt;&gt;"",ROW($K$7:$K$35)-MIN(ROW($K$7:$K$35))+1,""),""),ROW()-ROW(A$37)+1)),"##0"),","),"")</f>
        <v>0</v>
      </c>
      <c r="L65">
        <f t="array" ref="L65">IFERROR(CONCATENATE((INDEX($N$7:$N$35,SMALL(IF($N$7:$N$35&lt;&gt;"",IF($K$7:$K$35&lt;&gt;"",ROW($K$7:$K$35)-MIN(ROW($K$7:$K$35))+1,""),""),ROW()-ROW(A$37)+1))),","),"")</f>
        <v>0</v>
      </c>
      <c r="M65">
        <f t="array" ref="M65">IFERROR(CONCATENATE((INDEX($A$7:$A$35,SMALL(IF($N$7:$N$35&lt;&gt;"",IF($K$7:$K$35&lt;&gt;"",ROW($K$7:$K$35)-MIN(ROW($K$7:$K$35))+1,""),""),ROW()-ROW(A$37)+1))),),"")</f>
        <v>0</v>
      </c>
      <c r="Q65">
        <f t="array" ref="Q65">IFERROR(CONCATENATE((INDEX($T$7:$T$35,SMALL(IF($T$7:$T$35&lt;&gt;"",IF($Q$7:$Q$35&lt;&gt;"",ROW($Q$7:$Q$35)-MIN(ROW($Q$7:$Q$35))+1,""),""),ROW()-ROW(A$37)+1)))," "),"")</f>
        <v>0</v>
      </c>
      <c r="R65">
        <f t="array" ref="R65">IFERROR(CONCATENATE(TEXT(INDEX($Q$7:$Q$35,SMALL(IF($T$7:$T$35&lt;&gt;"",IF($Q$7:$Q$35&lt;&gt;"",ROW($Q$7:$Q$35)-MIN(ROW($Q$7:$Q$35))+1,""),""),ROW()-ROW(A$37)+1)),"##0")," "),"")</f>
        <v>0</v>
      </c>
      <c r="S65">
        <f t="array" ref="S65">IFERROR(CONCATENATE((INDEX($A$7:$A$35,SMALL(IF($T$7:$T$35&lt;&gt;"",IF($Q$7:$Q$35&lt;&gt;"",ROW($Q$7:$Q$35)-MIN(ROW($Q$7:$Q$35))+1,""),""),ROW()-ROW(A$37)+1))),),"")</f>
        <v>0</v>
      </c>
      <c r="W65">
        <f t="array" ref="W65">IFERROR(CONCATENATE((INDEX($Z$7:$Z$35,SMALL(IF($Z$7:$Z$35&lt;&gt;"",IF($W$7:$W$35&lt;&gt;"",ROW($W$7:$W$35)-MIN(ROW($W$7:$W$35))+1,""),""),ROW()-ROW(A$37)+1))),","),"")</f>
        <v>0</v>
      </c>
      <c r="X65">
        <f t="array" ref="X65">IFERROR(CONCATENATE(TEXT(INDEX($W$7:$W$35,SMALL(IF($Z$7:$Z$35&lt;&gt;"",IF($W$7:$W$35&lt;&gt;"",ROW($W$7:$W$35)-MIN(ROW($W$7:$W$35))+1,""),""),ROW()-ROW(A$37)+1)),"##0"),","),"")</f>
        <v>0</v>
      </c>
      <c r="Y65">
        <f t="array" ref="Y65">IFERROR(CONCATENATE((INDEX($A$7:$A$35,SMALL(IF($Z$7:$Z$35&lt;&gt;"",IF($W$7:$W$35&lt;&gt;"",ROW($W$7:$W$35)-MIN(ROW($W$7:$W$35))+1,""),""),ROW()-ROW(A$37)+1))),),"")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5" operator="lessThanOrEqual">
      <formula>H10</formula>
    </cfRule>
  </conditionalFormatting>
  <conditionalFormatting sqref="L11">
    <cfRule type="cellIs" dxfId="0" priority="7" operator="lessThanOrEqual">
      <formula>H11</formula>
    </cfRule>
  </conditionalFormatting>
  <conditionalFormatting sqref="L12">
    <cfRule type="cellIs" dxfId="0" priority="9" operator="lessThanOrEqual">
      <formula>H12</formula>
    </cfRule>
  </conditionalFormatting>
  <conditionalFormatting sqref="L13">
    <cfRule type="cellIs" dxfId="0" priority="11" operator="lessThanOrEqual">
      <formula>H13</formula>
    </cfRule>
  </conditionalFormatting>
  <conditionalFormatting sqref="L14">
    <cfRule type="cellIs" dxfId="0" priority="13" operator="lessThanOrEqual">
      <formula>H14</formula>
    </cfRule>
  </conditionalFormatting>
  <conditionalFormatting sqref="L15">
    <cfRule type="cellIs" dxfId="0" priority="15" operator="lessThanOrEqual">
      <formula>H15</formula>
    </cfRule>
  </conditionalFormatting>
  <conditionalFormatting sqref="L16">
    <cfRule type="cellIs" dxfId="0" priority="17" operator="lessThanOrEqual">
      <formula>H16</formula>
    </cfRule>
  </conditionalFormatting>
  <conditionalFormatting sqref="L17">
    <cfRule type="cellIs" dxfId="0" priority="19" operator="lessThanOrEqual">
      <formula>H17</formula>
    </cfRule>
  </conditionalFormatting>
  <conditionalFormatting sqref="L18">
    <cfRule type="cellIs" dxfId="0" priority="21" operator="lessThanOrEqual">
      <formula>H18</formula>
    </cfRule>
  </conditionalFormatting>
  <conditionalFormatting sqref="L19">
    <cfRule type="cellIs" dxfId="0" priority="23" operator="lessThanOrEqual">
      <formula>H19</formula>
    </cfRule>
  </conditionalFormatting>
  <conditionalFormatting sqref="L20">
    <cfRule type="cellIs" dxfId="0" priority="25" operator="lessThanOrEqual">
      <formula>H20</formula>
    </cfRule>
  </conditionalFormatting>
  <conditionalFormatting sqref="L21">
    <cfRule type="cellIs" dxfId="0" priority="27" operator="lessThanOrEqual">
      <formula>H21</formula>
    </cfRule>
  </conditionalFormatting>
  <conditionalFormatting sqref="L22">
    <cfRule type="cellIs" dxfId="0" priority="29" operator="lessThanOrEqual">
      <formula>H22</formula>
    </cfRule>
  </conditionalFormatting>
  <conditionalFormatting sqref="L23">
    <cfRule type="cellIs" dxfId="0" priority="31" operator="lessThanOrEqual">
      <formula>H23</formula>
    </cfRule>
  </conditionalFormatting>
  <conditionalFormatting sqref="L24">
    <cfRule type="cellIs" dxfId="0" priority="33" operator="lessThanOrEqual">
      <formula>H24</formula>
    </cfRule>
  </conditionalFormatting>
  <conditionalFormatting sqref="L25">
    <cfRule type="cellIs" dxfId="0" priority="35" operator="lessThanOrEqual">
      <formula>H25</formula>
    </cfRule>
  </conditionalFormatting>
  <conditionalFormatting sqref="L26">
    <cfRule type="cellIs" dxfId="0" priority="37" operator="lessThanOrEqual">
      <formula>H26</formula>
    </cfRule>
  </conditionalFormatting>
  <conditionalFormatting sqref="L27">
    <cfRule type="cellIs" dxfId="0" priority="39" operator="lessThanOrEqual">
      <formula>H27</formula>
    </cfRule>
  </conditionalFormatting>
  <conditionalFormatting sqref="L28">
    <cfRule type="cellIs" dxfId="0" priority="41" operator="lessThanOrEqual">
      <formula>H28</formula>
    </cfRule>
  </conditionalFormatting>
  <conditionalFormatting sqref="L29">
    <cfRule type="cellIs" dxfId="0" priority="43" operator="lessThanOrEqual">
      <formula>H29</formula>
    </cfRule>
  </conditionalFormatting>
  <conditionalFormatting sqref="L30">
    <cfRule type="cellIs" dxfId="0" priority="45" operator="lessThanOrEqual">
      <formula>H30</formula>
    </cfRule>
  </conditionalFormatting>
  <conditionalFormatting sqref="L31">
    <cfRule type="cellIs" dxfId="0" priority="47" operator="lessThanOrEqual">
      <formula>H31</formula>
    </cfRule>
  </conditionalFormatting>
  <conditionalFormatting sqref="L32">
    <cfRule type="cellIs" dxfId="0" priority="49" operator="lessThanOrEqual">
      <formula>H32</formula>
    </cfRule>
  </conditionalFormatting>
  <conditionalFormatting sqref="L33">
    <cfRule type="cellIs" dxfId="0" priority="51" operator="lessThanOrEqual">
      <formula>H33</formula>
    </cfRule>
  </conditionalFormatting>
  <conditionalFormatting sqref="L34">
    <cfRule type="cellIs" dxfId="0" priority="53" operator="lessThanOrEqual">
      <formula>H34</formula>
    </cfRule>
  </conditionalFormatting>
  <conditionalFormatting sqref="L7">
    <cfRule type="cellIs" dxfId="0" priority="1" operator="lessThanOrEqual">
      <formula>H7</formula>
    </cfRule>
  </conditionalFormatting>
  <conditionalFormatting sqref="L9">
    <cfRule type="cellIs" dxfId="0" priority="3" operator="lessThanOrEqual">
      <formula>H9</formula>
    </cfRule>
  </conditionalFormatting>
  <conditionalFormatting sqref="M10">
    <cfRule type="cellIs" dxfId="0" priority="6" operator="lessThanOrEqual">
      <formula>I10</formula>
    </cfRule>
  </conditionalFormatting>
  <conditionalFormatting sqref="M11">
    <cfRule type="cellIs" dxfId="0" priority="8" operator="lessThanOrEqual">
      <formula>I11</formula>
    </cfRule>
  </conditionalFormatting>
  <conditionalFormatting sqref="M12">
    <cfRule type="cellIs" dxfId="0" priority="10" operator="lessThanOrEqual">
      <formula>I12</formula>
    </cfRule>
  </conditionalFormatting>
  <conditionalFormatting sqref="M13">
    <cfRule type="cellIs" dxfId="0" priority="12" operator="lessThanOrEqual">
      <formula>I13</formula>
    </cfRule>
  </conditionalFormatting>
  <conditionalFormatting sqref="M14">
    <cfRule type="cellIs" dxfId="0" priority="14" operator="lessThanOrEqual">
      <formula>I14</formula>
    </cfRule>
  </conditionalFormatting>
  <conditionalFormatting sqref="M15">
    <cfRule type="cellIs" dxfId="0" priority="16" operator="lessThanOrEqual">
      <formula>I15</formula>
    </cfRule>
  </conditionalFormatting>
  <conditionalFormatting sqref="M16">
    <cfRule type="cellIs" dxfId="0" priority="18" operator="lessThanOrEqual">
      <formula>I16</formula>
    </cfRule>
  </conditionalFormatting>
  <conditionalFormatting sqref="M17">
    <cfRule type="cellIs" dxfId="0" priority="20" operator="lessThanOrEqual">
      <formula>I17</formula>
    </cfRule>
  </conditionalFormatting>
  <conditionalFormatting sqref="M18">
    <cfRule type="cellIs" dxfId="0" priority="22" operator="lessThanOrEqual">
      <formula>I18</formula>
    </cfRule>
  </conditionalFormatting>
  <conditionalFormatting sqref="M19">
    <cfRule type="cellIs" dxfId="0" priority="24" operator="lessThanOrEqual">
      <formula>I19</formula>
    </cfRule>
  </conditionalFormatting>
  <conditionalFormatting sqref="M20">
    <cfRule type="cellIs" dxfId="0" priority="26" operator="lessThanOrEqual">
      <formula>I20</formula>
    </cfRule>
  </conditionalFormatting>
  <conditionalFormatting sqref="M21">
    <cfRule type="cellIs" dxfId="0" priority="28" operator="lessThanOrEqual">
      <formula>I21</formula>
    </cfRule>
  </conditionalFormatting>
  <conditionalFormatting sqref="M22">
    <cfRule type="cellIs" dxfId="0" priority="30" operator="lessThanOrEqual">
      <formula>I22</formula>
    </cfRule>
  </conditionalFormatting>
  <conditionalFormatting sqref="M23">
    <cfRule type="cellIs" dxfId="0" priority="32" operator="lessThanOrEqual">
      <formula>I23</formula>
    </cfRule>
  </conditionalFormatting>
  <conditionalFormatting sqref="M24">
    <cfRule type="cellIs" dxfId="0" priority="34" operator="lessThanOrEqual">
      <formula>I24</formula>
    </cfRule>
  </conditionalFormatting>
  <conditionalFormatting sqref="M25">
    <cfRule type="cellIs" dxfId="0" priority="36" operator="lessThanOrEqual">
      <formula>I25</formula>
    </cfRule>
  </conditionalFormatting>
  <conditionalFormatting sqref="M26">
    <cfRule type="cellIs" dxfId="0" priority="38" operator="lessThanOrEqual">
      <formula>I26</formula>
    </cfRule>
  </conditionalFormatting>
  <conditionalFormatting sqref="M27">
    <cfRule type="cellIs" dxfId="0" priority="40" operator="lessThanOrEqual">
      <formula>I27</formula>
    </cfRule>
  </conditionalFormatting>
  <conditionalFormatting sqref="M28">
    <cfRule type="cellIs" dxfId="0" priority="42" operator="lessThanOrEqual">
      <formula>I28</formula>
    </cfRule>
  </conditionalFormatting>
  <conditionalFormatting sqref="M29">
    <cfRule type="cellIs" dxfId="0" priority="44" operator="lessThanOrEqual">
      <formula>I29</formula>
    </cfRule>
  </conditionalFormatting>
  <conditionalFormatting sqref="M30">
    <cfRule type="cellIs" dxfId="0" priority="46" operator="lessThanOrEqual">
      <formula>I30</formula>
    </cfRule>
  </conditionalFormatting>
  <conditionalFormatting sqref="M31">
    <cfRule type="cellIs" dxfId="0" priority="48" operator="lessThanOrEqual">
      <formula>I31</formula>
    </cfRule>
  </conditionalFormatting>
  <conditionalFormatting sqref="M32">
    <cfRule type="cellIs" dxfId="0" priority="50" operator="lessThanOrEqual">
      <formula>I32</formula>
    </cfRule>
  </conditionalFormatting>
  <conditionalFormatting sqref="M33">
    <cfRule type="cellIs" dxfId="0" priority="52" operator="lessThanOrEqual">
      <formula>I33</formula>
    </cfRule>
  </conditionalFormatting>
  <conditionalFormatting sqref="M34">
    <cfRule type="cellIs" dxfId="0" priority="54" operator="lessThanOrEqual">
      <formula>I34</formula>
    </cfRule>
  </conditionalFormatting>
  <conditionalFormatting sqref="M7">
    <cfRule type="cellIs" dxfId="0" priority="2" operator="lessThanOrEqual">
      <formula>I7</formula>
    </cfRule>
  </conditionalFormatting>
  <conditionalFormatting sqref="M9">
    <cfRule type="cellIs" dxfId="0" priority="4" operator="lessThanOrEqual">
      <formula>I9</formula>
    </cfRule>
  </conditionalFormatting>
  <conditionalFormatting sqref="R10">
    <cfRule type="cellIs" dxfId="0" priority="59" operator="lessThanOrEqual">
      <formula>H10</formula>
    </cfRule>
  </conditionalFormatting>
  <conditionalFormatting sqref="R11">
    <cfRule type="cellIs" dxfId="0" priority="61" operator="lessThanOrEqual">
      <formula>H11</formula>
    </cfRule>
  </conditionalFormatting>
  <conditionalFormatting sqref="R12">
    <cfRule type="cellIs" dxfId="0" priority="63" operator="lessThanOrEqual">
      <formula>H12</formula>
    </cfRule>
  </conditionalFormatting>
  <conditionalFormatting sqref="R13">
    <cfRule type="cellIs" dxfId="0" priority="65" operator="lessThanOrEqual">
      <formula>H13</formula>
    </cfRule>
  </conditionalFormatting>
  <conditionalFormatting sqref="R14">
    <cfRule type="cellIs" dxfId="0" priority="67" operator="lessThanOrEqual">
      <formula>H14</formula>
    </cfRule>
  </conditionalFormatting>
  <conditionalFormatting sqref="R15">
    <cfRule type="cellIs" dxfId="0" priority="69" operator="lessThanOrEqual">
      <formula>H15</formula>
    </cfRule>
  </conditionalFormatting>
  <conditionalFormatting sqref="R16">
    <cfRule type="cellIs" dxfId="0" priority="71" operator="lessThanOrEqual">
      <formula>H16</formula>
    </cfRule>
  </conditionalFormatting>
  <conditionalFormatting sqref="R17">
    <cfRule type="cellIs" dxfId="0" priority="73" operator="lessThanOrEqual">
      <formula>H17</formula>
    </cfRule>
  </conditionalFormatting>
  <conditionalFormatting sqref="R18">
    <cfRule type="cellIs" dxfId="0" priority="75" operator="lessThanOrEqual">
      <formula>H18</formula>
    </cfRule>
  </conditionalFormatting>
  <conditionalFormatting sqref="R20">
    <cfRule type="cellIs" dxfId="0" priority="77" operator="lessThanOrEqual">
      <formula>H20</formula>
    </cfRule>
  </conditionalFormatting>
  <conditionalFormatting sqref="R21">
    <cfRule type="cellIs" dxfId="0" priority="79" operator="lessThanOrEqual">
      <formula>H21</formula>
    </cfRule>
  </conditionalFormatting>
  <conditionalFormatting sqref="R22">
    <cfRule type="cellIs" dxfId="0" priority="81" operator="lessThanOrEqual">
      <formula>H22</formula>
    </cfRule>
  </conditionalFormatting>
  <conditionalFormatting sqref="R23">
    <cfRule type="cellIs" dxfId="0" priority="83" operator="lessThanOrEqual">
      <formula>H23</formula>
    </cfRule>
  </conditionalFormatting>
  <conditionalFormatting sqref="R25">
    <cfRule type="cellIs" dxfId="0" priority="85" operator="lessThanOrEqual">
      <formula>H25</formula>
    </cfRule>
  </conditionalFormatting>
  <conditionalFormatting sqref="R26">
    <cfRule type="cellIs" dxfId="0" priority="87" operator="lessThanOrEqual">
      <formula>H26</formula>
    </cfRule>
  </conditionalFormatting>
  <conditionalFormatting sqref="R27">
    <cfRule type="cellIs" dxfId="0" priority="89" operator="lessThanOrEqual">
      <formula>H27</formula>
    </cfRule>
  </conditionalFormatting>
  <conditionalFormatting sqref="R28">
    <cfRule type="cellIs" dxfId="0" priority="91" operator="lessThanOrEqual">
      <formula>H28</formula>
    </cfRule>
  </conditionalFormatting>
  <conditionalFormatting sqref="R29">
    <cfRule type="cellIs" dxfId="0" priority="93" operator="lessThanOrEqual">
      <formula>H29</formula>
    </cfRule>
  </conditionalFormatting>
  <conditionalFormatting sqref="R30">
    <cfRule type="cellIs" dxfId="0" priority="95" operator="lessThanOrEqual">
      <formula>H30</formula>
    </cfRule>
  </conditionalFormatting>
  <conditionalFormatting sqref="R31">
    <cfRule type="cellIs" dxfId="0" priority="97" operator="lessThanOrEqual">
      <formula>H31</formula>
    </cfRule>
  </conditionalFormatting>
  <conditionalFormatting sqref="R32">
    <cfRule type="cellIs" dxfId="0" priority="99" operator="lessThanOrEqual">
      <formula>H32</formula>
    </cfRule>
  </conditionalFormatting>
  <conditionalFormatting sqref="R33">
    <cfRule type="cellIs" dxfId="0" priority="101" operator="lessThanOrEqual">
      <formula>H33</formula>
    </cfRule>
  </conditionalFormatting>
  <conditionalFormatting sqref="R34">
    <cfRule type="cellIs" dxfId="0" priority="103" operator="lessThanOrEqual">
      <formula>H34</formula>
    </cfRule>
  </conditionalFormatting>
  <conditionalFormatting sqref="R35">
    <cfRule type="cellIs" dxfId="0" priority="105" operator="lessThanOrEqual">
      <formula>H35</formula>
    </cfRule>
  </conditionalFormatting>
  <conditionalFormatting sqref="R7">
    <cfRule type="cellIs" dxfId="0" priority="55" operator="lessThanOrEqual">
      <formula>H7</formula>
    </cfRule>
  </conditionalFormatting>
  <conditionalFormatting sqref="R9">
    <cfRule type="cellIs" dxfId="0" priority="57" operator="lessThanOrEqual">
      <formula>H9</formula>
    </cfRule>
  </conditionalFormatting>
  <conditionalFormatting sqref="S10">
    <cfRule type="cellIs" dxfId="0" priority="60" operator="lessThanOrEqual">
      <formula>I10</formula>
    </cfRule>
  </conditionalFormatting>
  <conditionalFormatting sqref="S11">
    <cfRule type="cellIs" dxfId="0" priority="62" operator="lessThanOrEqual">
      <formula>I11</formula>
    </cfRule>
  </conditionalFormatting>
  <conditionalFormatting sqref="S12">
    <cfRule type="cellIs" dxfId="0" priority="64" operator="lessThanOrEqual">
      <formula>I12</formula>
    </cfRule>
  </conditionalFormatting>
  <conditionalFormatting sqref="S13">
    <cfRule type="cellIs" dxfId="0" priority="66" operator="lessThanOrEqual">
      <formula>I13</formula>
    </cfRule>
  </conditionalFormatting>
  <conditionalFormatting sqref="S14">
    <cfRule type="cellIs" dxfId="0" priority="68" operator="lessThanOrEqual">
      <formula>I14</formula>
    </cfRule>
  </conditionalFormatting>
  <conditionalFormatting sqref="S15">
    <cfRule type="cellIs" dxfId="0" priority="70" operator="lessThanOrEqual">
      <formula>I15</formula>
    </cfRule>
  </conditionalFormatting>
  <conditionalFormatting sqref="S16">
    <cfRule type="cellIs" dxfId="0" priority="72" operator="lessThanOrEqual">
      <formula>I16</formula>
    </cfRule>
  </conditionalFormatting>
  <conditionalFormatting sqref="S17">
    <cfRule type="cellIs" dxfId="0" priority="74" operator="lessThanOrEqual">
      <formula>I17</formula>
    </cfRule>
  </conditionalFormatting>
  <conditionalFormatting sqref="S18">
    <cfRule type="cellIs" dxfId="0" priority="76" operator="lessThanOrEqual">
      <formula>I18</formula>
    </cfRule>
  </conditionalFormatting>
  <conditionalFormatting sqref="S20">
    <cfRule type="cellIs" dxfId="0" priority="78" operator="lessThanOrEqual">
      <formula>I20</formula>
    </cfRule>
  </conditionalFormatting>
  <conditionalFormatting sqref="S21">
    <cfRule type="cellIs" dxfId="0" priority="80" operator="lessThanOrEqual">
      <formula>I21</formula>
    </cfRule>
  </conditionalFormatting>
  <conditionalFormatting sqref="S22">
    <cfRule type="cellIs" dxfId="0" priority="82" operator="lessThanOrEqual">
      <formula>I22</formula>
    </cfRule>
  </conditionalFormatting>
  <conditionalFormatting sqref="S23">
    <cfRule type="cellIs" dxfId="0" priority="84" operator="lessThanOrEqual">
      <formula>I23</formula>
    </cfRule>
  </conditionalFormatting>
  <conditionalFormatting sqref="S25">
    <cfRule type="cellIs" dxfId="0" priority="86" operator="lessThanOrEqual">
      <formula>I25</formula>
    </cfRule>
  </conditionalFormatting>
  <conditionalFormatting sqref="S26">
    <cfRule type="cellIs" dxfId="0" priority="88" operator="lessThanOrEqual">
      <formula>I26</formula>
    </cfRule>
  </conditionalFormatting>
  <conditionalFormatting sqref="S27">
    <cfRule type="cellIs" dxfId="0" priority="90" operator="lessThanOrEqual">
      <formula>I27</formula>
    </cfRule>
  </conditionalFormatting>
  <conditionalFormatting sqref="S28">
    <cfRule type="cellIs" dxfId="0" priority="92" operator="lessThanOrEqual">
      <formula>I28</formula>
    </cfRule>
  </conditionalFormatting>
  <conditionalFormatting sqref="S29">
    <cfRule type="cellIs" dxfId="0" priority="94" operator="lessThanOrEqual">
      <formula>I29</formula>
    </cfRule>
  </conditionalFormatting>
  <conditionalFormatting sqref="S30">
    <cfRule type="cellIs" dxfId="0" priority="96" operator="lessThanOrEqual">
      <formula>I30</formula>
    </cfRule>
  </conditionalFormatting>
  <conditionalFormatting sqref="S31">
    <cfRule type="cellIs" dxfId="0" priority="98" operator="lessThanOrEqual">
      <formula>I31</formula>
    </cfRule>
  </conditionalFormatting>
  <conditionalFormatting sqref="S32">
    <cfRule type="cellIs" dxfId="0" priority="100" operator="lessThanOrEqual">
      <formula>I32</formula>
    </cfRule>
  </conditionalFormatting>
  <conditionalFormatting sqref="S33">
    <cfRule type="cellIs" dxfId="0" priority="102" operator="lessThanOrEqual">
      <formula>I33</formula>
    </cfRule>
  </conditionalFormatting>
  <conditionalFormatting sqref="S34">
    <cfRule type="cellIs" dxfId="0" priority="104" operator="lessThanOrEqual">
      <formula>I34</formula>
    </cfRule>
  </conditionalFormatting>
  <conditionalFormatting sqref="S35">
    <cfRule type="cellIs" dxfId="0" priority="106" operator="lessThanOrEqual">
      <formula>I35</formula>
    </cfRule>
  </conditionalFormatting>
  <conditionalFormatting sqref="S7">
    <cfRule type="cellIs" dxfId="0" priority="56" operator="lessThanOrEqual">
      <formula>I7</formula>
    </cfRule>
  </conditionalFormatting>
  <conditionalFormatting sqref="S9">
    <cfRule type="cellIs" dxfId="0" priority="58" operator="lessThanOrEqual">
      <formula>I9</formula>
    </cfRule>
  </conditionalFormatting>
  <conditionalFormatting sqref="X17">
    <cfRule type="cellIs" dxfId="0" priority="109" operator="lessThanOrEqual">
      <formula>H17</formula>
    </cfRule>
  </conditionalFormatting>
  <conditionalFormatting sqref="X18">
    <cfRule type="cellIs" dxfId="0" priority="111" operator="lessThanOrEqual">
      <formula>H18</formula>
    </cfRule>
  </conditionalFormatting>
  <conditionalFormatting sqref="X22">
    <cfRule type="cellIs" dxfId="0" priority="113" operator="lessThanOrEqual">
      <formula>H22</formula>
    </cfRule>
  </conditionalFormatting>
  <conditionalFormatting sqref="X33">
    <cfRule type="cellIs" dxfId="0" priority="115" operator="lessThanOrEqual">
      <formula>H33</formula>
    </cfRule>
  </conditionalFormatting>
  <conditionalFormatting sqref="X34">
    <cfRule type="cellIs" dxfId="0" priority="117" operator="lessThanOrEqual">
      <formula>H34</formula>
    </cfRule>
  </conditionalFormatting>
  <conditionalFormatting sqref="X7">
    <cfRule type="cellIs" dxfId="0" priority="107" operator="lessThanOrEqual">
      <formula>H7</formula>
    </cfRule>
  </conditionalFormatting>
  <conditionalFormatting sqref="Y17">
    <cfRule type="cellIs" dxfId="0" priority="110" operator="lessThanOrEqual">
      <formula>I17</formula>
    </cfRule>
  </conditionalFormatting>
  <conditionalFormatting sqref="Y18">
    <cfRule type="cellIs" dxfId="0" priority="112" operator="lessThanOrEqual">
      <formula>I18</formula>
    </cfRule>
  </conditionalFormatting>
  <conditionalFormatting sqref="Y22">
    <cfRule type="cellIs" dxfId="0" priority="114" operator="lessThanOrEqual">
      <formula>I22</formula>
    </cfRule>
  </conditionalFormatting>
  <conditionalFormatting sqref="Y33">
    <cfRule type="cellIs" dxfId="0" priority="116" operator="lessThanOrEqual">
      <formula>I33</formula>
    </cfRule>
  </conditionalFormatting>
  <conditionalFormatting sqref="Y34">
    <cfRule type="cellIs" dxfId="0" priority="118" operator="lessThanOrEqual">
      <formula>I34</formula>
    </cfRule>
  </conditionalFormatting>
  <conditionalFormatting sqref="Y7">
    <cfRule type="cellIs" dxfId="0" priority="108" operator="lessThanOrEqual">
      <formula>I7</formula>
    </cfRule>
  </conditionalFormatting>
  <hyperlinks>
    <hyperlink ref="O7" r:id="rId1"/>
    <hyperlink ref="U7" r:id="rId2"/>
    <hyperlink ref="AA7" r:id="rId3"/>
    <hyperlink ref="O9" r:id="rId4"/>
    <hyperlink ref="U9" r:id="rId5"/>
    <hyperlink ref="AA9" r:id="rId6"/>
    <hyperlink ref="O10" r:id="rId7"/>
    <hyperlink ref="U10" r:id="rId8"/>
    <hyperlink ref="O11" r:id="rId9"/>
    <hyperlink ref="U11" r:id="rId10"/>
    <hyperlink ref="O12" r:id="rId11"/>
    <hyperlink ref="U12" r:id="rId12"/>
    <hyperlink ref="O13" r:id="rId13"/>
    <hyperlink ref="U13" r:id="rId14"/>
    <hyperlink ref="O14" r:id="rId15"/>
    <hyperlink ref="U14" r:id="rId16"/>
    <hyperlink ref="O15" r:id="rId17"/>
    <hyperlink ref="U15" r:id="rId18"/>
    <hyperlink ref="O16" r:id="rId19"/>
    <hyperlink ref="U16" r:id="rId20"/>
    <hyperlink ref="O17" r:id="rId21"/>
    <hyperlink ref="U17" r:id="rId22"/>
    <hyperlink ref="AA17" r:id="rId23"/>
    <hyperlink ref="O18" r:id="rId24"/>
    <hyperlink ref="U18" r:id="rId25"/>
    <hyperlink ref="AA18" r:id="rId26"/>
    <hyperlink ref="O19" r:id="rId27"/>
    <hyperlink ref="O20" r:id="rId28"/>
    <hyperlink ref="U20" r:id="rId29"/>
    <hyperlink ref="O21" r:id="rId30"/>
    <hyperlink ref="U21" r:id="rId31"/>
    <hyperlink ref="O22" r:id="rId32"/>
    <hyperlink ref="U22" r:id="rId33"/>
    <hyperlink ref="AA22" r:id="rId34"/>
    <hyperlink ref="O23" r:id="rId35"/>
    <hyperlink ref="U23" r:id="rId36"/>
    <hyperlink ref="O24" r:id="rId37"/>
    <hyperlink ref="O25" r:id="rId38"/>
    <hyperlink ref="U25" r:id="rId39"/>
    <hyperlink ref="O26" r:id="rId40"/>
    <hyperlink ref="U26" r:id="rId41"/>
    <hyperlink ref="AA26" r:id="rId42"/>
    <hyperlink ref="O27" r:id="rId43"/>
    <hyperlink ref="U27" r:id="rId44"/>
    <hyperlink ref="O28" r:id="rId45"/>
    <hyperlink ref="U28" r:id="rId46"/>
    <hyperlink ref="O29" r:id="rId47"/>
    <hyperlink ref="U29" r:id="rId48"/>
    <hyperlink ref="O30" r:id="rId49"/>
    <hyperlink ref="U30" r:id="rId50"/>
    <hyperlink ref="O31" r:id="rId51"/>
    <hyperlink ref="U31" r:id="rId52"/>
    <hyperlink ref="O32" r:id="rId53"/>
    <hyperlink ref="U32" r:id="rId54"/>
    <hyperlink ref="O33" r:id="rId55"/>
    <hyperlink ref="U33" r:id="rId56"/>
    <hyperlink ref="AA33" r:id="rId57"/>
    <hyperlink ref="O34" r:id="rId58"/>
    <hyperlink ref="U34" r:id="rId59"/>
    <hyperlink ref="AA34" r:id="rId60"/>
    <hyperlink ref="U35" r:id="rId61"/>
  </hyperlinks>
  <pageMargins left="0.7" right="0.7" top="0.75" bottom="0.75" header="0.3" footer="0.3"/>
  <legacy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KiCost</vt:lpstr>
      <vt:lpstr>BoardQty</vt:lpstr>
      <vt:lpstr>digikey_part_data</vt:lpstr>
      <vt:lpstr>global_part_data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2016-12-28T15:20:54Z</dcterms:created>
  <dcterms:modified xsi:type="dcterms:W3CDTF">2016-12-28T15:20:54Z</dcterms:modified>
</cp:coreProperties>
</file>