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896" windowHeight="6756"/>
  </bookViews>
  <sheets>
    <sheet name="LaserTag" sheetId="2" r:id="rId1"/>
    <sheet name="Mirroir" sheetId="1" r:id="rId2"/>
    <sheet name="_Data" sheetId="3" r:id="rId3"/>
  </sheets>
  <definedNames>
    <definedName name="USER">_Data!$A$2:$A$5</definedName>
  </definedNames>
  <calcPr calcId="145621"/>
</workbook>
</file>

<file path=xl/calcChain.xml><?xml version="1.0" encoding="utf-8"?>
<calcChain xmlns="http://schemas.openxmlformats.org/spreadsheetml/2006/main">
  <c r="B39" i="2" l="1"/>
  <c r="C39" i="2" s="1"/>
  <c r="B40" i="2"/>
  <c r="C40" i="2" s="1"/>
  <c r="B41" i="2"/>
  <c r="C41" i="2" s="1"/>
  <c r="C11" i="2"/>
  <c r="C12" i="2"/>
  <c r="C13" i="2"/>
  <c r="E43" i="2"/>
  <c r="F24" i="2" l="1"/>
  <c r="F28" i="2"/>
  <c r="F18" i="2"/>
  <c r="F19" i="2"/>
  <c r="F27" i="2"/>
  <c r="F17" i="2"/>
  <c r="F23" i="2"/>
  <c r="F33" i="2"/>
  <c r="F30" i="2"/>
  <c r="F26" i="2"/>
  <c r="F21" i="2"/>
  <c r="F22" i="2"/>
  <c r="F31" i="2"/>
  <c r="F32" i="2"/>
  <c r="F29" i="2"/>
  <c r="F25" i="2"/>
  <c r="B11" i="2" s="1"/>
  <c r="F20" i="2"/>
  <c r="E15" i="2"/>
  <c r="B13" i="2" l="1"/>
  <c r="B12" i="2"/>
  <c r="F15" i="2"/>
  <c r="I24" i="1"/>
  <c r="L24" i="1" s="1"/>
  <c r="J22" i="1"/>
  <c r="I22" i="1"/>
  <c r="H22" i="1"/>
  <c r="G22" i="1"/>
  <c r="F22" i="1"/>
  <c r="E22" i="1"/>
  <c r="L22" i="1" s="1"/>
  <c r="J20" i="1"/>
  <c r="I20" i="1"/>
  <c r="H20" i="1"/>
  <c r="G20" i="1"/>
  <c r="F20" i="1"/>
  <c r="E20" i="1"/>
  <c r="J19" i="1"/>
  <c r="I19" i="1"/>
  <c r="H19" i="1"/>
  <c r="G19" i="1"/>
  <c r="F19" i="1"/>
  <c r="E19" i="1"/>
  <c r="J18" i="1"/>
  <c r="I18" i="1"/>
  <c r="H18" i="1"/>
  <c r="G18" i="1"/>
  <c r="F18" i="1"/>
  <c r="E18" i="1"/>
  <c r="J17" i="1"/>
  <c r="I17" i="1"/>
  <c r="H17" i="1"/>
  <c r="G17" i="1"/>
  <c r="F17" i="1"/>
  <c r="E17" i="1"/>
  <c r="J16" i="1"/>
  <c r="I16" i="1"/>
  <c r="H16" i="1"/>
  <c r="G16" i="1"/>
  <c r="F16" i="1"/>
  <c r="E16" i="1"/>
  <c r="J15" i="1"/>
  <c r="I15" i="1"/>
  <c r="H15" i="1"/>
  <c r="G15" i="1"/>
  <c r="F15" i="1"/>
  <c r="E15" i="1"/>
  <c r="J14" i="1"/>
  <c r="J21" i="1" s="1"/>
  <c r="I14" i="1"/>
  <c r="I21" i="1" s="1"/>
  <c r="H14" i="1"/>
  <c r="H21" i="1" s="1"/>
  <c r="G14" i="1"/>
  <c r="G21" i="1" s="1"/>
  <c r="F14" i="1"/>
  <c r="F21" i="1" s="1"/>
  <c r="E14" i="1"/>
  <c r="E21" i="1" s="1"/>
  <c r="C14" i="1"/>
  <c r="B5" i="2" l="1"/>
  <c r="B6" i="2"/>
  <c r="B7" i="2"/>
  <c r="C9" i="2"/>
  <c r="I25" i="1"/>
  <c r="J25" i="1"/>
  <c r="J29" i="1" s="1"/>
  <c r="F29" i="1" s="1"/>
  <c r="J31" i="1"/>
  <c r="E25" i="1"/>
  <c r="L21" i="1"/>
  <c r="F25" i="1"/>
  <c r="F30" i="1" s="1"/>
  <c r="F31" i="1" s="1"/>
  <c r="G25" i="1"/>
  <c r="G30" i="1" s="1"/>
  <c r="G31" i="1" s="1"/>
  <c r="H25" i="1"/>
  <c r="H28" i="1" s="1"/>
  <c r="I28" i="1" s="1"/>
  <c r="H31" i="1" l="1"/>
  <c r="E30" i="1"/>
  <c r="E31" i="1" s="1"/>
  <c r="L25" i="1"/>
  <c r="I30" i="1"/>
  <c r="I31" i="1" s="1"/>
  <c r="L31" i="1" l="1"/>
</calcChain>
</file>

<file path=xl/sharedStrings.xml><?xml version="1.0" encoding="utf-8"?>
<sst xmlns="http://schemas.openxmlformats.org/spreadsheetml/2006/main" count="116" uniqueCount="70">
  <si>
    <t>Tableau pour le remboursement</t>
  </si>
  <si>
    <t>a vérifier :</t>
  </si>
  <si>
    <t>- êtes vous d'accord pour la répartition ? est-ce que j'ai rien oublié ?</t>
  </si>
  <si>
    <t>Qui a utilisé ? (en quelle quantité)</t>
  </si>
  <si>
    <t>Quoi</t>
  </si>
  <si>
    <t>Combien</t>
  </si>
  <si>
    <t>Qui a acheté?</t>
  </si>
  <si>
    <t>Yoann</t>
  </si>
  <si>
    <t>Seb</t>
  </si>
  <si>
    <t>Nabil</t>
  </si>
  <si>
    <t>Julien</t>
  </si>
  <si>
    <t>Maxime</t>
  </si>
  <si>
    <t>Eva</t>
  </si>
  <si>
    <t>Grosjean</t>
  </si>
  <si>
    <t>Mirroir</t>
  </si>
  <si>
    <t>Film sans teint</t>
  </si>
  <si>
    <t>Verre</t>
  </si>
  <si>
    <t>Cadres</t>
  </si>
  <si>
    <t>LEDs</t>
  </si>
  <si>
    <t>Bois + colle …</t>
  </si>
  <si>
    <t>Coût détaillé</t>
  </si>
  <si>
    <t>Vérifications ?</t>
  </si>
  <si>
    <t>Total coût</t>
  </si>
  <si>
    <t>Total dépensé</t>
  </si>
  <si>
    <t>1 ruban</t>
  </si>
  <si>
    <t>Déjà remboursé</t>
  </si>
  <si>
    <t>(ok si = 0)</t>
  </si>
  <si>
    <t>A rembourser</t>
  </si>
  <si>
    <t>- 1 ruban</t>
  </si>
  <si>
    <t>Remboursement fait?</t>
  </si>
  <si>
    <t>Remboursements prévus</t>
  </si>
  <si>
    <t>Nouveau total</t>
  </si>
  <si>
    <t>Achat non comptabilisés</t>
  </si>
  <si>
    <t>Scie</t>
  </si>
  <si>
    <t>(car gardée)</t>
  </si>
  <si>
    <t>Alimentation</t>
  </si>
  <si>
    <t>Chacun se débrouille</t>
  </si>
  <si>
    <t>PROJET LASER TAG</t>
  </si>
  <si>
    <t>Date</t>
  </si>
  <si>
    <t>From</t>
  </si>
  <si>
    <t>To</t>
  </si>
  <si>
    <t>Libellé</t>
  </si>
  <si>
    <t>Montant</t>
  </si>
  <si>
    <t>USER</t>
  </si>
  <si>
    <t>Magasin</t>
  </si>
  <si>
    <t>Dettes</t>
  </si>
  <si>
    <t>Nom</t>
  </si>
  <si>
    <t>Remboursement</t>
  </si>
  <si>
    <t>Total des dépenses</t>
  </si>
  <si>
    <t>Led émétrice (120) - RS</t>
  </si>
  <si>
    <t>Cartes ST Nucléo (8) - Digikey</t>
  </si>
  <si>
    <t>Récepteurs IR  (120) - Newark</t>
  </si>
  <si>
    <t>Frais de douane récepteurs IR - Newark (USA)</t>
  </si>
  <si>
    <t>Checksum</t>
  </si>
  <si>
    <t>Tubes PVC</t>
  </si>
  <si>
    <t>Lentilles (40) + plaques proto (20) - Aliexpress</t>
  </si>
  <si>
    <t>Nbr Kit</t>
  </si>
  <si>
    <t>pneu</t>
  </si>
  <si>
    <t>flemme</t>
  </si>
  <si>
    <t>emblask</t>
  </si>
  <si>
    <t>Rbt / kit</t>
  </si>
  <si>
    <t>Frais de livraison (autre moitié)</t>
  </si>
  <si>
    <t>Liste des dépenses non-partagés</t>
  </si>
  <si>
    <t>Frais de livraison (Moitié payée par flemme, total 120€)</t>
  </si>
  <si>
    <t>Liste des dépenses partagés</t>
  </si>
  <si>
    <t>TOTAL</t>
  </si>
  <si>
    <t>Dépenses</t>
  </si>
  <si>
    <t>Supplément</t>
  </si>
  <si>
    <t>Sup/Kit</t>
  </si>
  <si>
    <t>Dépenses supplémentaires non-partagés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</si>
</sst>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€&quot;_-;\-* #,##0.00\ &quot;€&quot;_-;_-* &quot;-&quot;??\ &quot;€&quot;_-;_-@_-"/>
    <numFmt numFmtId="164" formatCode="#,##0.00\ [$€-1]"/>
    <numFmt numFmtId="165" formatCode="#,##0&quot;€&quot;"/>
  </numFmts>
  <fonts count="11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b/>
      <sz val="12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i/>
      <sz val="10"/>
      <color rgb="FF000000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4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64" fontId="2" fillId="0" borderId="0" xfId="0" applyNumberFormat="1" applyFo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/>
    <xf numFmtId="165" fontId="2" fillId="0" borderId="0" xfId="0" applyNumberFormat="1" applyFont="1" applyAlignment="1"/>
    <xf numFmtId="0" fontId="4" fillId="0" borderId="0" xfId="0" applyFont="1" applyAlignment="1"/>
    <xf numFmtId="0" fontId="5" fillId="0" borderId="0" xfId="0" applyFont="1" applyAlignment="1"/>
    <xf numFmtId="44" fontId="5" fillId="0" borderId="0" xfId="1" applyFont="1" applyAlignme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  <xf numFmtId="14" fontId="0" fillId="0" borderId="0" xfId="0" applyNumberFormat="1" applyFont="1" applyAlignment="1">
      <alignment horizontal="right"/>
    </xf>
    <xf numFmtId="14" fontId="5" fillId="0" borderId="0" xfId="0" applyNumberFormat="1" applyFont="1" applyAlignment="1">
      <alignment horizontal="right"/>
    </xf>
    <xf numFmtId="44" fontId="0" fillId="0" borderId="0" xfId="1" applyFont="1" applyAlignment="1">
      <alignment horizontal="right"/>
    </xf>
    <xf numFmtId="44" fontId="6" fillId="0" borderId="0" xfId="1" applyFont="1" applyAlignment="1">
      <alignment horizontal="right"/>
    </xf>
    <xf numFmtId="44" fontId="1" fillId="0" borderId="0" xfId="1" applyFont="1" applyAlignment="1">
      <alignment horizontal="right"/>
    </xf>
    <xf numFmtId="44" fontId="2" fillId="0" borderId="0" xfId="1" applyFont="1" applyAlignment="1">
      <alignment horizontal="right"/>
    </xf>
    <xf numFmtId="0" fontId="7" fillId="0" borderId="0" xfId="0" applyFont="1" applyAlignment="1"/>
    <xf numFmtId="0" fontId="0" fillId="0" borderId="0" xfId="0" applyFont="1" applyAlignment="1">
      <alignment horizontal="right"/>
    </xf>
    <xf numFmtId="44" fontId="2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44" fontId="6" fillId="0" borderId="0" xfId="1" applyNumberFormat="1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44" fontId="9" fillId="0" borderId="0" xfId="1" applyFont="1" applyAlignment="1">
      <alignment horizontal="left"/>
    </xf>
    <xf numFmtId="1" fontId="0" fillId="0" borderId="0" xfId="0" applyNumberFormat="1" applyFont="1" applyAlignment="1"/>
    <xf numFmtId="1" fontId="2" fillId="0" borderId="0" xfId="0" applyNumberFormat="1" applyFont="1" applyAlignment="1"/>
    <xf numFmtId="164" fontId="1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44" fontId="2" fillId="0" borderId="0" xfId="0" applyNumberFormat="1" applyFont="1" applyAlignment="1">
      <alignment horizontal="right"/>
    </xf>
    <xf numFmtId="0" fontId="10" fillId="0" borderId="0" xfId="0" applyFont="1" applyAlignment="1">
      <alignment horizontal="right"/>
    </xf>
    <xf numFmtId="44" fontId="10" fillId="0" borderId="0" xfId="1" applyFont="1" applyAlignment="1">
      <alignment horizontal="left"/>
    </xf>
    <xf numFmtId="44" fontId="0" fillId="0" borderId="0" xfId="1" applyFont="1" applyAlignment="1"/>
    <xf numFmtId="44" fontId="2" fillId="0" borderId="0" xfId="1" applyFont="1" applyAlignment="1"/>
  </cellXfs>
  <cellStyles count="2">
    <cellStyle name="Monétaire" xfId="1" builtinId="4"/>
    <cellStyle name="Normal" xfId="0" builtinId="0"/>
  </cellStyles>
  <dxfs count="16"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4" formatCode="_-* #,##0.00\ &quot;€&quot;_-;\-* #,##0.00\ &quot;€&quot;_-;_-* &quot;-&quot;??\ &quot;€&quot;_-;_-@_-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9" formatCode="dd/mm/yyyy"/>
      <alignment horizontal="right" vertical="bottom" textRotation="0" wrapText="0" indent="0" justifyLastLine="0" shrinkToFit="0" readingOrder="0"/>
    </dxf>
    <dxf>
      <numFmt numFmtId="34" formatCode="_-* #,##0.00\ &quot;€&quot;_-;\-* #,##0.00\ &quot;€&quot;_-;_-* &quot;-&quot;??\ &quot;€&quot;_-;_-@_-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6:F33" totalsRowShown="0">
  <autoFilter ref="A16:F33"/>
  <tableColumns count="6">
    <tableColumn id="1" name="Date" dataDxfId="8"/>
    <tableColumn id="2" name="From" dataDxfId="7"/>
    <tableColumn id="3" name="To" dataDxfId="6"/>
    <tableColumn id="4" name="Libellé" dataDxfId="5"/>
    <tableColumn id="5" name="Montant" dataDxfId="4"/>
    <tableColumn id="8" name="Rbt / kit" dataDxfId="3">
      <calculatedColumnFormula>Table1[[#This Row],[Montant]]/SUM(Table2[Nbr Kit])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0:C13" totalsRowShown="0">
  <autoFilter ref="A10:C13"/>
  <sortState ref="A12:C14">
    <sortCondition descending="1" ref="A11:A14"/>
  </sortState>
  <tableColumns count="3">
    <tableColumn id="1" name="Nom"/>
    <tableColumn id="2" name="Dettes" dataDxfId="14">
      <calculatedColumnFormula>SUMIF(Table1[To],Table2[[#This Row],[Nom]],Table1[Montant])-SUMIF(Table1[From],Table2[[#This Row],[Nom]],Table1[Montant])+SUM(Table1[Rbt / kit])*Table2[[#This Row],[Nbr Kit]]</calculatedColumnFormula>
    </tableColumn>
    <tableColumn id="3" name="Nbr Kit" dataDxfId="15">
      <calculatedColumnFormula>INDEX(Table26[],MATCH(Table2[[#This Row],[Nom]],Table26[Nom],0),MATCH(Table26[[#Headers],[Nbr Kit]],Table26[#Headers],0))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au3" displayName="Tableau3" ref="A44:E46" totalsRowShown="0" headerRowDxfId="9">
  <autoFilter ref="A44:E46"/>
  <sortState ref="A31:E36">
    <sortCondition ref="A30:A36"/>
  </sortState>
  <tableColumns count="5">
    <tableColumn id="1" name="Date" dataDxfId="13"/>
    <tableColumn id="2" name="From" dataDxfId="12"/>
    <tableColumn id="3" name="To"/>
    <tableColumn id="4" name="Libellé" dataDxfId="11"/>
    <tableColumn id="5" name="Montant" dataDxfId="10" dataCellStyle="Monétair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25" displayName="Table25" ref="A38:C41" totalsRowShown="0">
  <autoFilter ref="A38:C41"/>
  <tableColumns count="3">
    <tableColumn id="1" name="Nom"/>
    <tableColumn id="2" name="Supplément" dataDxfId="0">
      <calculatedColumnFormula>(-SUMIF(Tableau3[To],Table25[[#This Row],[Nom]],Tableau3[Montant])+SUMIF(Tableau3[From],Table25[[#This Row],[Nom]],Tableau3[Montant]))</calculatedColumnFormula>
    </tableColumn>
    <tableColumn id="4" name="Sup/Kit" dataCellStyle="Monétaire">
      <calculatedColumnFormula>Table25[[#This Row],[Supplément]]/INDEX(Table26[],MATCH(Table25[[#This Row],[Nom]],Table26[Nom],0),MATCH(Table26[[#Headers],[Nbr Kit]],Table26[#Headers],0))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26" displayName="Table26" ref="A4:C7" totalsRowShown="0">
  <autoFilter ref="A4:C7"/>
  <tableColumns count="3">
    <tableColumn id="1" name="Nom"/>
    <tableColumn id="2" name="Dépenses" dataDxfId="1">
      <calculatedColumnFormula>$F$15*Table26[Nbr Kit]+INDEX(Table25[],MATCH(Table26[[#This Row],[Nom]],Table25[Nom],0),MATCH(Table25[[#Headers],[Supplément]],Table25[#Headers],0))</calculatedColumnFormula>
    </tableColumn>
    <tableColumn id="3" name="Nbr Kit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topLeftCell="A19" workbookViewId="0">
      <selection activeCell="A37" sqref="A37"/>
    </sheetView>
  </sheetViews>
  <sheetFormatPr baseColWidth="10" defaultColWidth="14.44140625" defaultRowHeight="15.75" customHeight="1" x14ac:dyDescent="0.25"/>
  <cols>
    <col min="1" max="1" width="16.33203125" customWidth="1"/>
    <col min="2" max="2" width="11.109375" customWidth="1"/>
    <col min="3" max="3" width="9.6640625" bestFit="1" customWidth="1"/>
    <col min="4" max="4" width="58.44140625" customWidth="1"/>
    <col min="5" max="5" width="11.109375" customWidth="1"/>
    <col min="6" max="6" width="10.109375" bestFit="1" customWidth="1"/>
  </cols>
  <sheetData>
    <row r="1" spans="1:9" ht="15.75" customHeight="1" x14ac:dyDescent="0.3">
      <c r="A1" s="9" t="s">
        <v>37</v>
      </c>
    </row>
    <row r="2" spans="1:9" ht="15.75" customHeight="1" x14ac:dyDescent="0.3">
      <c r="A2" s="9"/>
    </row>
    <row r="3" spans="1:9" ht="15.75" customHeight="1" x14ac:dyDescent="0.25">
      <c r="A3" s="22" t="s">
        <v>65</v>
      </c>
      <c r="B3" s="28"/>
      <c r="C3" s="29"/>
    </row>
    <row r="4" spans="1:9" ht="15.75" customHeight="1" x14ac:dyDescent="0.25">
      <c r="A4" s="10" t="s">
        <v>46</v>
      </c>
      <c r="B4" s="10" t="s">
        <v>66</v>
      </c>
      <c r="C4" t="s">
        <v>56</v>
      </c>
    </row>
    <row r="5" spans="1:9" ht="15.75" customHeight="1" x14ac:dyDescent="0.25">
      <c r="A5" t="s">
        <v>57</v>
      </c>
      <c r="B5" s="11">
        <f>$F$15*Table26[Nbr Kit]+INDEX(Table25[],MATCH(Table26[[#This Row],[Nom]],Table25[Nom],0),MATCH(Table25[[#Headers],[Supplément]],Table25[#Headers],0))</f>
        <v>120.79875</v>
      </c>
      <c r="C5" s="31">
        <v>3</v>
      </c>
    </row>
    <row r="6" spans="1:9" ht="15.75" customHeight="1" x14ac:dyDescent="0.25">
      <c r="A6" t="s">
        <v>58</v>
      </c>
      <c r="B6" s="11">
        <f>$F$15*Table26[Nbr Kit]+INDEX(Table25[],MATCH(Table26[[#This Row],[Nom]],Table25[Nom],0),MATCH(Table25[[#Headers],[Supplément]],Table25[#Headers],0))</f>
        <v>140.79874999999998</v>
      </c>
      <c r="C6" s="32">
        <v>3</v>
      </c>
      <c r="G6" s="2"/>
      <c r="H6" s="2"/>
      <c r="I6" s="2"/>
    </row>
    <row r="7" spans="1:9" ht="15.75" customHeight="1" x14ac:dyDescent="0.25">
      <c r="A7" t="s">
        <v>59</v>
      </c>
      <c r="B7" s="11">
        <f>$F$15*Table26[Nbr Kit]+INDEX(Table25[],MATCH(Table26[[#This Row],[Nom]],Table25[Nom],0),MATCH(Table25[[#Headers],[Supplément]],Table25[#Headers],0))</f>
        <v>80.532499999999999</v>
      </c>
      <c r="C7" s="32">
        <v>2</v>
      </c>
      <c r="G7" s="2"/>
      <c r="H7" s="2"/>
      <c r="I7" s="2"/>
    </row>
    <row r="8" spans="1:9" ht="15.75" customHeight="1" x14ac:dyDescent="0.25">
      <c r="B8" s="11"/>
      <c r="C8" s="32"/>
      <c r="G8" s="2"/>
      <c r="H8" s="2"/>
      <c r="I8" s="2"/>
    </row>
    <row r="9" spans="1:9" ht="15.75" customHeight="1" x14ac:dyDescent="0.25">
      <c r="A9" s="22" t="s">
        <v>47</v>
      </c>
      <c r="B9" s="28" t="s">
        <v>53</v>
      </c>
      <c r="C9" s="29">
        <f>SUM(Table2[Dettes])</f>
        <v>0</v>
      </c>
    </row>
    <row r="10" spans="1:9" ht="15.75" customHeight="1" x14ac:dyDescent="0.25">
      <c r="A10" s="10" t="s">
        <v>46</v>
      </c>
      <c r="B10" s="10" t="s">
        <v>45</v>
      </c>
      <c r="C10" t="s">
        <v>56</v>
      </c>
    </row>
    <row r="11" spans="1:9" ht="15.75" customHeight="1" x14ac:dyDescent="0.25">
      <c r="A11" t="s">
        <v>57</v>
      </c>
      <c r="B11" s="11">
        <f>SUMIF(Table1[To],Table2[[#This Row],[Nom]],Table1[Montant])-SUMIF(Table1[From],Table2[[#This Row],[Nom]],Table1[Montant])+SUM(Table1[Rbt / kit])*Table2[[#This Row],[Nbr Kit]]</f>
        <v>97.428749999999994</v>
      </c>
      <c r="C11" s="31">
        <f>INDEX(Table26[],MATCH(Table2[[#This Row],[Nom]],Table26[Nom],0),MATCH(Table26[[#Headers],[Nbr Kit]],Table26[#Headers],0))</f>
        <v>3</v>
      </c>
    </row>
    <row r="12" spans="1:9" ht="15.75" customHeight="1" x14ac:dyDescent="0.25">
      <c r="A12" t="s">
        <v>58</v>
      </c>
      <c r="B12" s="11">
        <f>SUMIF(Table1[To],Table2[[#This Row],[Nom]],Table1[Montant])-SUMIF(Table1[From],Table2[[#This Row],[Nom]],Table1[Montant])+SUM(Table1[Rbt / kit])*Table2[[#This Row],[Nbr Kit]]</f>
        <v>-177.96125000000001</v>
      </c>
      <c r="C12" s="31">
        <f>INDEX(Table26[],MATCH(Table2[[#This Row],[Nom]],Table26[Nom],0),MATCH(Table26[[#Headers],[Nbr Kit]],Table26[#Headers],0))</f>
        <v>3</v>
      </c>
      <c r="G12" s="2"/>
      <c r="H12" s="2"/>
      <c r="I12" s="2"/>
    </row>
    <row r="13" spans="1:9" ht="15.75" customHeight="1" x14ac:dyDescent="0.25">
      <c r="A13" t="s">
        <v>59</v>
      </c>
      <c r="B13" s="11">
        <f>SUMIF(Table1[To],Table2[[#This Row],[Nom]],Table1[Montant])-SUMIF(Table1[From],Table2[[#This Row],[Nom]],Table1[Montant])+SUM(Table1[Rbt / kit])*Table2[[#This Row],[Nbr Kit]]</f>
        <v>80.532499999999999</v>
      </c>
      <c r="C13" s="31">
        <f>INDEX(Table26[],MATCH(Table2[[#This Row],[Nom]],Table26[Nom],0),MATCH(Table26[[#Headers],[Nbr Kit]],Table26[#Headers],0))</f>
        <v>2</v>
      </c>
      <c r="G13" s="2"/>
      <c r="H13" s="2"/>
      <c r="I13" s="2"/>
    </row>
    <row r="14" spans="1:9" ht="15.75" customHeight="1" x14ac:dyDescent="0.25">
      <c r="A14" s="10"/>
      <c r="B14" s="1"/>
      <c r="C14" s="3"/>
      <c r="G14" s="2"/>
      <c r="H14" s="2"/>
      <c r="I14" s="2"/>
    </row>
    <row r="15" spans="1:9" ht="15.75" customHeight="1" x14ac:dyDescent="0.25">
      <c r="A15" s="22" t="s">
        <v>64</v>
      </c>
      <c r="B15" s="1"/>
      <c r="C15" s="3"/>
      <c r="D15" s="36" t="s">
        <v>48</v>
      </c>
      <c r="E15" s="37">
        <f>SUM(Table1[Montant])</f>
        <v>322.13</v>
      </c>
      <c r="F15" s="37">
        <f>SUM(Table1[Rbt / kit])</f>
        <v>40.266249999999999</v>
      </c>
      <c r="G15" s="2"/>
      <c r="H15" s="2"/>
      <c r="I15" s="2"/>
    </row>
    <row r="16" spans="1:9" ht="15.75" customHeight="1" x14ac:dyDescent="0.25">
      <c r="A16" s="10" t="s">
        <v>38</v>
      </c>
      <c r="B16" s="10" t="s">
        <v>39</v>
      </c>
      <c r="C16" s="10" t="s">
        <v>40</v>
      </c>
      <c r="D16" s="10" t="s">
        <v>41</v>
      </c>
      <c r="E16" s="10" t="s">
        <v>42</v>
      </c>
      <c r="F16" s="10" t="s">
        <v>60</v>
      </c>
      <c r="H16" s="2"/>
    </row>
    <row r="17" spans="1:12" ht="15.75" customHeight="1" x14ac:dyDescent="0.25">
      <c r="A17" s="16">
        <v>42709</v>
      </c>
      <c r="B17" s="14" t="s">
        <v>57</v>
      </c>
      <c r="C17" s="14" t="s">
        <v>44</v>
      </c>
      <c r="D17" s="12" t="s">
        <v>55</v>
      </c>
      <c r="E17" s="18">
        <v>23.37</v>
      </c>
      <c r="F17" s="18">
        <f>Table1[[#This Row],[Montant]]/SUM(Table2[Nbr Kit])</f>
        <v>2.9212500000000001</v>
      </c>
      <c r="G17" s="2"/>
      <c r="H17" s="2"/>
      <c r="I17" s="2"/>
    </row>
    <row r="18" spans="1:12" ht="15.75" customHeight="1" x14ac:dyDescent="0.25">
      <c r="A18" s="17">
        <v>42709</v>
      </c>
      <c r="B18" s="13" t="s">
        <v>58</v>
      </c>
      <c r="C18" s="13" t="s">
        <v>44</v>
      </c>
      <c r="D18" s="13" t="s">
        <v>51</v>
      </c>
      <c r="E18" s="19">
        <v>64.08</v>
      </c>
      <c r="F18" s="19">
        <f>Table1[[#This Row],[Montant]]/SUM(Table2[Nbr Kit])</f>
        <v>8.01</v>
      </c>
      <c r="G18" s="2"/>
      <c r="I18" s="2"/>
    </row>
    <row r="19" spans="1:12" ht="15.75" customHeight="1" x14ac:dyDescent="0.25">
      <c r="A19" s="17">
        <v>42709</v>
      </c>
      <c r="B19" s="13" t="s">
        <v>58</v>
      </c>
      <c r="C19" s="15" t="s">
        <v>44</v>
      </c>
      <c r="D19" s="13" t="s">
        <v>50</v>
      </c>
      <c r="E19" s="19">
        <v>82.88</v>
      </c>
      <c r="F19" s="21">
        <f>Table1[[#This Row],[Montant]]/SUM(Table2[Nbr Kit])</f>
        <v>10.36</v>
      </c>
      <c r="G19" s="2"/>
      <c r="I19" s="2"/>
    </row>
    <row r="20" spans="1:12" ht="15.75" customHeight="1" x14ac:dyDescent="0.25">
      <c r="A20" s="17">
        <v>42709</v>
      </c>
      <c r="B20" s="12" t="s">
        <v>57</v>
      </c>
      <c r="C20" s="15" t="s">
        <v>44</v>
      </c>
      <c r="D20" s="13" t="s">
        <v>49</v>
      </c>
      <c r="E20" s="19">
        <v>0</v>
      </c>
      <c r="F20" s="21">
        <f>Table1[[#This Row],[Montant]]/SUM(Table2[Nbr Kit])</f>
        <v>0</v>
      </c>
      <c r="G20" s="3"/>
      <c r="H20" s="3"/>
      <c r="I20" s="3"/>
    </row>
    <row r="21" spans="1:12" ht="15.75" customHeight="1" x14ac:dyDescent="0.25">
      <c r="A21" s="17">
        <v>42712</v>
      </c>
      <c r="B21" s="12" t="s">
        <v>58</v>
      </c>
      <c r="C21" s="12" t="s">
        <v>44</v>
      </c>
      <c r="D21" s="12" t="s">
        <v>52</v>
      </c>
      <c r="E21" s="19">
        <v>51.8</v>
      </c>
      <c r="F21" s="21">
        <f>Table1[[#This Row],[Montant]]/SUM(Table2[Nbr Kit])</f>
        <v>6.4749999999999996</v>
      </c>
      <c r="G21" s="3"/>
      <c r="H21" s="3"/>
      <c r="I21" s="3"/>
    </row>
    <row r="22" spans="1:12" ht="15.75" customHeight="1" x14ac:dyDescent="0.25">
      <c r="A22" s="17">
        <v>42730</v>
      </c>
      <c r="B22" s="12" t="s">
        <v>58</v>
      </c>
      <c r="C22" s="12" t="s">
        <v>44</v>
      </c>
      <c r="D22" s="12" t="s">
        <v>63</v>
      </c>
      <c r="E22" s="19">
        <v>100</v>
      </c>
      <c r="F22" s="21">
        <f>Table1[[#This Row],[Montant]]/SUM(Table2[Nbr Kit])</f>
        <v>12.5</v>
      </c>
      <c r="G22" s="3"/>
      <c r="H22" s="3"/>
      <c r="I22" s="3"/>
    </row>
    <row r="23" spans="1:12" ht="15.75" customHeight="1" x14ac:dyDescent="0.25">
      <c r="A23" s="23"/>
      <c r="B23" s="14" t="s">
        <v>57</v>
      </c>
      <c r="C23" s="14" t="s">
        <v>44</v>
      </c>
      <c r="D23" s="14" t="s">
        <v>54</v>
      </c>
      <c r="E23" s="21"/>
      <c r="F23" s="24">
        <f>Table1[[#This Row],[Montant]]/SUM(Table2[Nbr Kit])</f>
        <v>0</v>
      </c>
      <c r="G23" s="3"/>
      <c r="H23" s="3"/>
      <c r="I23" s="3"/>
    </row>
    <row r="24" spans="1:12" ht="15.75" customHeight="1" x14ac:dyDescent="0.25">
      <c r="A24" s="23"/>
      <c r="B24" s="14"/>
      <c r="C24" s="14"/>
      <c r="D24" s="14"/>
      <c r="E24" s="21"/>
      <c r="F24" s="24">
        <f>Table1[[#This Row],[Montant]]/SUM(Table2[Nbr Kit])</f>
        <v>0</v>
      </c>
      <c r="G24" s="3"/>
      <c r="H24" s="3"/>
      <c r="I24" s="3"/>
    </row>
    <row r="25" spans="1:12" ht="15.75" customHeight="1" x14ac:dyDescent="0.25">
      <c r="A25" s="23"/>
      <c r="B25" s="14"/>
      <c r="C25" s="14"/>
      <c r="D25" s="14"/>
      <c r="E25" s="21"/>
      <c r="F25" s="24">
        <f>Table1[[#This Row],[Montant]]/SUM(Table2[Nbr Kit])</f>
        <v>0</v>
      </c>
      <c r="G25" s="3"/>
      <c r="H25" s="3"/>
      <c r="I25" s="3"/>
    </row>
    <row r="26" spans="1:12" ht="15.75" customHeight="1" x14ac:dyDescent="0.25">
      <c r="A26" s="23"/>
      <c r="B26" s="14"/>
      <c r="C26" s="14"/>
      <c r="D26" s="14"/>
      <c r="E26" s="21"/>
      <c r="F26" s="24">
        <f>Table1[[#This Row],[Montant]]/SUM(Table2[Nbr Kit])</f>
        <v>0</v>
      </c>
      <c r="G26" s="3"/>
      <c r="H26" s="3"/>
      <c r="I26" s="3"/>
      <c r="K26" s="2"/>
    </row>
    <row r="27" spans="1:12" ht="15.75" customHeight="1" x14ac:dyDescent="0.25">
      <c r="A27" s="23"/>
      <c r="B27" s="14"/>
      <c r="C27" s="14"/>
      <c r="D27" s="25"/>
      <c r="E27" s="21"/>
      <c r="F27" s="27">
        <f>Table1[[#This Row],[Montant]]/SUM(Table2[Nbr Kit])</f>
        <v>0</v>
      </c>
      <c r="G27" s="3"/>
      <c r="H27" s="3"/>
      <c r="I27" s="3"/>
      <c r="K27" s="4"/>
    </row>
    <row r="28" spans="1:12" ht="15.75" customHeight="1" x14ac:dyDescent="0.25">
      <c r="A28" s="23"/>
      <c r="B28" s="14"/>
      <c r="C28" s="14"/>
      <c r="D28" s="25"/>
      <c r="E28" s="21"/>
      <c r="F28" s="27">
        <f>Table1[[#This Row],[Montant]]/SUM(Table2[Nbr Kit])</f>
        <v>0</v>
      </c>
      <c r="G28" s="3"/>
      <c r="H28" s="3"/>
      <c r="I28" s="3"/>
      <c r="K28" s="3"/>
    </row>
    <row r="29" spans="1:12" ht="15.75" customHeight="1" x14ac:dyDescent="0.25">
      <c r="A29" s="23"/>
      <c r="B29" s="14"/>
      <c r="C29" s="14"/>
      <c r="D29" s="25"/>
      <c r="E29" s="21"/>
      <c r="F29" s="27">
        <f>Table1[[#This Row],[Montant]]/SUM(Table2[Nbr Kit])</f>
        <v>0</v>
      </c>
      <c r="G29" s="3"/>
      <c r="H29" s="3"/>
      <c r="I29" s="3"/>
      <c r="J29" s="2"/>
      <c r="K29" s="3"/>
      <c r="L29" s="2"/>
    </row>
    <row r="30" spans="1:12" ht="15.75" customHeight="1" x14ac:dyDescent="0.25">
      <c r="A30" s="23"/>
      <c r="B30" s="14"/>
      <c r="C30" s="14"/>
      <c r="D30" s="26"/>
      <c r="E30" s="20"/>
      <c r="F30" s="27">
        <f>Table1[[#This Row],[Montant]]/SUM(Table2[Nbr Kit])</f>
        <v>0</v>
      </c>
      <c r="G30" s="7"/>
      <c r="H30" s="7"/>
      <c r="I30" s="7"/>
      <c r="K30" s="3"/>
      <c r="L30" s="2"/>
    </row>
    <row r="31" spans="1:12" ht="15.75" customHeight="1" x14ac:dyDescent="0.25">
      <c r="A31" s="23"/>
      <c r="B31" s="14"/>
      <c r="C31" s="14"/>
      <c r="D31" s="26"/>
      <c r="E31" s="33"/>
      <c r="F31" s="35">
        <f>Table1[[#This Row],[Montant]]/SUM(Table2[Nbr Kit])</f>
        <v>0</v>
      </c>
      <c r="G31" s="7"/>
      <c r="H31" s="7"/>
      <c r="I31" s="7"/>
      <c r="K31" s="3"/>
      <c r="L31" s="2"/>
    </row>
    <row r="32" spans="1:12" ht="13.2" x14ac:dyDescent="0.25">
      <c r="A32" s="23"/>
      <c r="B32" s="14"/>
      <c r="C32" s="14"/>
      <c r="D32" s="14"/>
      <c r="E32" s="23"/>
      <c r="F32" s="35">
        <f>Table1[[#This Row],[Montant]]/SUM(Table2[Nbr Kit])</f>
        <v>0</v>
      </c>
      <c r="J32" s="2"/>
    </row>
    <row r="33" spans="1:11" ht="13.2" x14ac:dyDescent="0.25">
      <c r="A33" s="23"/>
      <c r="B33" s="14"/>
      <c r="C33" s="14"/>
      <c r="D33" s="25"/>
      <c r="E33" s="34"/>
      <c r="F33" s="35">
        <f>Table1[[#This Row],[Montant]]/SUM(Table2[Nbr Kit])</f>
        <v>0</v>
      </c>
      <c r="G33" s="4"/>
      <c r="H33" s="3"/>
      <c r="I33" s="4"/>
      <c r="J33" s="2"/>
    </row>
    <row r="34" spans="1:11" ht="13.2" x14ac:dyDescent="0.25">
      <c r="A34" s="23"/>
      <c r="B34" s="14"/>
      <c r="C34" s="14"/>
      <c r="D34" s="25"/>
      <c r="E34" s="34"/>
      <c r="F34" s="35"/>
      <c r="G34" s="4"/>
      <c r="H34" s="3"/>
      <c r="I34" s="4"/>
      <c r="J34" s="2"/>
    </row>
    <row r="35" spans="1:11" ht="13.2" x14ac:dyDescent="0.25">
      <c r="A35" s="23"/>
      <c r="B35" s="14"/>
      <c r="C35" s="14"/>
      <c r="D35" s="25"/>
      <c r="E35" s="34"/>
      <c r="F35" s="35"/>
      <c r="G35" s="4"/>
      <c r="H35" s="3"/>
      <c r="I35" s="4"/>
      <c r="J35" s="2"/>
    </row>
    <row r="37" spans="1:11" ht="15.75" customHeight="1" x14ac:dyDescent="0.25">
      <c r="A37" s="22" t="s">
        <v>69</v>
      </c>
    </row>
    <row r="38" spans="1:11" ht="15.75" customHeight="1" x14ac:dyDescent="0.25">
      <c r="A38" s="10" t="s">
        <v>46</v>
      </c>
      <c r="B38" s="10" t="s">
        <v>67</v>
      </c>
      <c r="C38" s="10" t="s">
        <v>68</v>
      </c>
    </row>
    <row r="39" spans="1:11" ht="15.75" customHeight="1" x14ac:dyDescent="0.25">
      <c r="A39" t="s">
        <v>57</v>
      </c>
      <c r="B39" s="11">
        <f>(-SUMIF(Tableau3[To],Table25[[#This Row],[Nom]],Tableau3[Montant])+SUMIF(Tableau3[From],Table25[[#This Row],[Nom]],Tableau3[Montant]))</f>
        <v>0</v>
      </c>
      <c r="C39" s="38">
        <f>Table25[[#This Row],[Supplément]]/INDEX(Table26[],MATCH(Table25[[#This Row],[Nom]],Table26[Nom],0),MATCH(Table26[[#Headers],[Nbr Kit]],Table26[#Headers],0))</f>
        <v>0</v>
      </c>
    </row>
    <row r="40" spans="1:11" ht="15.75" customHeight="1" x14ac:dyDescent="0.25">
      <c r="A40" t="s">
        <v>58</v>
      </c>
      <c r="B40" s="11">
        <f>(-SUMIF(Tableau3[To],Table25[[#This Row],[Nom]],Tableau3[Montant])+SUMIF(Tableau3[From],Table25[[#This Row],[Nom]],Tableau3[Montant]))</f>
        <v>20</v>
      </c>
      <c r="C40" s="39">
        <f>Table25[[#This Row],[Supplément]]/INDEX(Table26[],MATCH(Table25[[#This Row],[Nom]],Table26[Nom],0),MATCH(Table26[[#Headers],[Nbr Kit]],Table26[#Headers],0))</f>
        <v>6.666666666666667</v>
      </c>
      <c r="G40" s="2"/>
      <c r="H40" s="2"/>
      <c r="I40" s="2"/>
    </row>
    <row r="41" spans="1:11" ht="15.75" customHeight="1" x14ac:dyDescent="0.25">
      <c r="A41" t="s">
        <v>59</v>
      </c>
      <c r="B41" s="11">
        <f>(-SUMIF(Tableau3[To],Table25[[#This Row],[Nom]],Tableau3[Montant])+SUMIF(Tableau3[From],Table25[[#This Row],[Nom]],Tableau3[Montant]))</f>
        <v>0</v>
      </c>
      <c r="C41" s="39">
        <f>Table25[[#This Row],[Supplément]]/INDEX(Table26[],MATCH(Table25[[#This Row],[Nom]],Table26[Nom],0),MATCH(Table26[[#Headers],[Nbr Kit]],Table26[#Headers],0))</f>
        <v>0</v>
      </c>
      <c r="G41" s="2"/>
      <c r="H41" s="2"/>
      <c r="I41" s="2"/>
    </row>
    <row r="42" spans="1:11" ht="13.2" x14ac:dyDescent="0.25">
      <c r="D42" s="5"/>
      <c r="E42" s="4"/>
      <c r="F42" s="4"/>
      <c r="G42" s="4"/>
      <c r="H42" s="3"/>
      <c r="I42" s="4"/>
      <c r="J42" s="2"/>
    </row>
    <row r="43" spans="1:11" ht="13.2" x14ac:dyDescent="0.25">
      <c r="A43" s="22" t="s">
        <v>62</v>
      </c>
      <c r="B43" s="1"/>
      <c r="C43" s="3"/>
      <c r="D43" s="36" t="s">
        <v>48</v>
      </c>
      <c r="E43" s="37">
        <f>SUM(Tableau3[Montant])</f>
        <v>20</v>
      </c>
      <c r="F43" s="30"/>
      <c r="G43" s="4"/>
      <c r="H43" s="4"/>
      <c r="I43" s="3"/>
      <c r="J43" s="2"/>
    </row>
    <row r="44" spans="1:11" ht="13.2" x14ac:dyDescent="0.25">
      <c r="A44" s="10" t="s">
        <v>38</v>
      </c>
      <c r="B44" s="10" t="s">
        <v>39</v>
      </c>
      <c r="C44" s="10" t="s">
        <v>40</v>
      </c>
      <c r="D44" s="10" t="s">
        <v>41</v>
      </c>
      <c r="E44" s="10" t="s">
        <v>42</v>
      </c>
      <c r="F44" s="10"/>
      <c r="G44" s="3"/>
      <c r="H44" s="4"/>
      <c r="I44" s="4"/>
    </row>
    <row r="45" spans="1:11" ht="13.2" x14ac:dyDescent="0.25">
      <c r="A45" s="17">
        <v>42730</v>
      </c>
      <c r="B45" s="12" t="s">
        <v>58</v>
      </c>
      <c r="C45" s="12" t="s">
        <v>44</v>
      </c>
      <c r="D45" s="12" t="s">
        <v>61</v>
      </c>
      <c r="E45" s="19">
        <v>20</v>
      </c>
      <c r="F45" s="18"/>
      <c r="G45" s="4"/>
      <c r="H45" s="4"/>
      <c r="I45" s="4"/>
      <c r="K45" s="4"/>
    </row>
    <row r="46" spans="1:11" ht="13.2" x14ac:dyDescent="0.25">
      <c r="A46" s="16"/>
      <c r="B46" s="14"/>
      <c r="C46" s="14"/>
      <c r="D46" s="12"/>
      <c r="E46" s="18"/>
      <c r="F46" s="19"/>
    </row>
    <row r="47" spans="1:11" ht="13.2" x14ac:dyDescent="0.25">
      <c r="A47" s="17"/>
      <c r="B47" s="13"/>
      <c r="C47" s="13"/>
      <c r="D47" s="13"/>
      <c r="E47" s="19"/>
      <c r="F47" s="21"/>
    </row>
    <row r="48" spans="1:11" ht="13.2" x14ac:dyDescent="0.25">
      <c r="A48" s="17"/>
      <c r="B48" s="13"/>
      <c r="C48" s="15"/>
      <c r="D48" s="13"/>
      <c r="E48" s="19"/>
      <c r="F48" s="21"/>
    </row>
    <row r="49" spans="1:6" ht="13.2" x14ac:dyDescent="0.25">
      <c r="A49" s="17"/>
      <c r="B49" s="12"/>
      <c r="C49" s="15"/>
      <c r="D49" s="13"/>
      <c r="E49" s="19"/>
      <c r="F49" s="21"/>
    </row>
    <row r="50" spans="1:6" ht="15.75" customHeight="1" x14ac:dyDescent="0.25">
      <c r="A50" s="17"/>
      <c r="B50" s="12"/>
      <c r="C50" s="12"/>
      <c r="D50" s="12"/>
      <c r="E50" s="19"/>
      <c r="F50" s="21"/>
    </row>
  </sheetData>
  <dataValidations count="1">
    <dataValidation type="list" allowBlank="1" showInputMessage="1" showErrorMessage="1" sqref="B45:C46 A11:A13 B17:C35 A39:A41 A5:A8">
      <formula1>USER</formula1>
    </dataValidation>
  </dataValidations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opLeftCell="A6" workbookViewId="0">
      <selection activeCell="J7" sqref="J7"/>
    </sheetView>
  </sheetViews>
  <sheetFormatPr baseColWidth="10" defaultColWidth="14.44140625" defaultRowHeight="15.75" customHeight="1" x14ac:dyDescent="0.25"/>
  <sheetData>
    <row r="1" spans="1:11" ht="15.75" customHeight="1" x14ac:dyDescent="0.25">
      <c r="A1" s="1" t="s">
        <v>0</v>
      </c>
    </row>
    <row r="2" spans="1:11" ht="15.75" customHeight="1" x14ac:dyDescent="0.25">
      <c r="A2" s="2" t="s">
        <v>1</v>
      </c>
    </row>
    <row r="3" spans="1:11" ht="15.75" customHeight="1" x14ac:dyDescent="0.25">
      <c r="B3" s="2" t="s">
        <v>2</v>
      </c>
    </row>
    <row r="5" spans="1:11" ht="15.75" customHeight="1" x14ac:dyDescent="0.25">
      <c r="E5" s="2" t="s">
        <v>3</v>
      </c>
    </row>
    <row r="6" spans="1:11" ht="15.75" customHeight="1" x14ac:dyDescent="0.25">
      <c r="B6" s="1" t="s">
        <v>4</v>
      </c>
      <c r="C6" s="1" t="s">
        <v>5</v>
      </c>
      <c r="D6" s="1" t="s">
        <v>6</v>
      </c>
      <c r="E6" s="1" t="s">
        <v>7</v>
      </c>
      <c r="F6" s="1" t="s">
        <v>8</v>
      </c>
      <c r="G6" s="1" t="s">
        <v>9</v>
      </c>
      <c r="H6" s="1" t="s">
        <v>10</v>
      </c>
      <c r="I6" s="1" t="s">
        <v>11</v>
      </c>
      <c r="J6" s="1" t="s">
        <v>12</v>
      </c>
      <c r="K6" s="2" t="s">
        <v>13</v>
      </c>
    </row>
    <row r="7" spans="1:11" ht="15.75" customHeight="1" x14ac:dyDescent="0.25">
      <c r="B7" s="1" t="s">
        <v>14</v>
      </c>
      <c r="C7" s="3">
        <v>15</v>
      </c>
      <c r="D7" s="2" t="s">
        <v>12</v>
      </c>
      <c r="E7" s="2">
        <v>2</v>
      </c>
      <c r="F7" s="2">
        <v>1</v>
      </c>
      <c r="G7" s="2">
        <v>1</v>
      </c>
      <c r="H7" s="2">
        <v>2</v>
      </c>
      <c r="I7" s="2">
        <v>1</v>
      </c>
      <c r="J7" s="2">
        <v>1</v>
      </c>
    </row>
    <row r="8" spans="1:11" ht="15.75" customHeight="1" x14ac:dyDescent="0.25">
      <c r="B8" s="1" t="s">
        <v>15</v>
      </c>
      <c r="C8" s="3">
        <v>25</v>
      </c>
      <c r="D8" s="2" t="s">
        <v>8</v>
      </c>
      <c r="E8" s="2">
        <v>2</v>
      </c>
      <c r="F8" s="2">
        <v>1</v>
      </c>
      <c r="G8" s="2">
        <v>1</v>
      </c>
      <c r="H8" s="2">
        <v>2</v>
      </c>
      <c r="I8" s="2">
        <v>1</v>
      </c>
      <c r="J8" s="2">
        <v>1</v>
      </c>
    </row>
    <row r="9" spans="1:11" ht="15.75" customHeight="1" x14ac:dyDescent="0.25">
      <c r="B9" s="1" t="s">
        <v>16</v>
      </c>
      <c r="C9" s="3">
        <v>27</v>
      </c>
      <c r="D9" s="2" t="s">
        <v>11</v>
      </c>
      <c r="E9" s="2">
        <v>2</v>
      </c>
      <c r="F9" s="2">
        <v>1</v>
      </c>
      <c r="G9" s="2">
        <v>1</v>
      </c>
      <c r="H9" s="2">
        <v>2</v>
      </c>
      <c r="I9" s="2">
        <v>1</v>
      </c>
      <c r="J9" s="2">
        <v>1</v>
      </c>
    </row>
    <row r="10" spans="1:11" ht="15.75" customHeight="1" x14ac:dyDescent="0.25">
      <c r="B10" s="1" t="s">
        <v>17</v>
      </c>
      <c r="C10" s="3">
        <v>27</v>
      </c>
      <c r="D10" s="2" t="s">
        <v>11</v>
      </c>
      <c r="H10" s="2">
        <v>2</v>
      </c>
      <c r="I10" s="2">
        <v>1</v>
      </c>
    </row>
    <row r="11" spans="1:11" ht="15.75" customHeight="1" x14ac:dyDescent="0.25">
      <c r="B11" s="1" t="s">
        <v>18</v>
      </c>
      <c r="C11" s="3">
        <v>15</v>
      </c>
      <c r="D11" s="2" t="s">
        <v>11</v>
      </c>
      <c r="E11" s="2">
        <v>2</v>
      </c>
      <c r="F11" s="2">
        <v>1</v>
      </c>
      <c r="G11" s="2">
        <v>1</v>
      </c>
      <c r="H11" s="2">
        <v>2</v>
      </c>
      <c r="I11" s="2">
        <v>1</v>
      </c>
      <c r="J11" s="2">
        <v>1</v>
      </c>
    </row>
    <row r="12" spans="1:11" ht="15.75" customHeight="1" x14ac:dyDescent="0.25">
      <c r="B12" s="1" t="s">
        <v>19</v>
      </c>
      <c r="C12" s="3">
        <v>21.47</v>
      </c>
      <c r="D12" s="2" t="s">
        <v>9</v>
      </c>
      <c r="E12" s="2">
        <v>2</v>
      </c>
      <c r="F12" s="2">
        <v>1</v>
      </c>
      <c r="G12" s="2">
        <v>1</v>
      </c>
      <c r="J12" s="2">
        <v>1</v>
      </c>
    </row>
    <row r="13" spans="1:11" ht="15.75" customHeight="1" x14ac:dyDescent="0.25">
      <c r="B13" s="1" t="s">
        <v>19</v>
      </c>
      <c r="C13" s="3">
        <v>20</v>
      </c>
      <c r="D13" s="2" t="s">
        <v>7</v>
      </c>
      <c r="E13" s="2">
        <v>2</v>
      </c>
      <c r="F13" s="2">
        <v>1</v>
      </c>
      <c r="G13" s="2">
        <v>1</v>
      </c>
      <c r="J13" s="2">
        <v>1</v>
      </c>
    </row>
    <row r="14" spans="1:11" ht="15.75" customHeight="1" x14ac:dyDescent="0.25">
      <c r="C14" s="4">
        <f>SUM(C7:C13)</f>
        <v>150.47</v>
      </c>
      <c r="D14" s="5" t="s">
        <v>20</v>
      </c>
      <c r="E14" s="3">
        <f t="shared" ref="E14:J14" si="0">E7*$C7/SUM($E7:$J7)</f>
        <v>3.75</v>
      </c>
      <c r="F14" s="3">
        <f t="shared" si="0"/>
        <v>1.875</v>
      </c>
      <c r="G14" s="3">
        <f t="shared" si="0"/>
        <v>1.875</v>
      </c>
      <c r="H14" s="3">
        <f t="shared" si="0"/>
        <v>3.75</v>
      </c>
      <c r="I14" s="3">
        <f t="shared" si="0"/>
        <v>1.875</v>
      </c>
      <c r="J14" s="3">
        <f t="shared" si="0"/>
        <v>1.875</v>
      </c>
    </row>
    <row r="15" spans="1:11" ht="15.75" customHeight="1" x14ac:dyDescent="0.25">
      <c r="E15" s="3">
        <f t="shared" ref="E15:J15" si="1">E8*$C8/SUM($E8:$J8)</f>
        <v>6.25</v>
      </c>
      <c r="F15" s="3">
        <f t="shared" si="1"/>
        <v>3.125</v>
      </c>
      <c r="G15" s="3">
        <f t="shared" si="1"/>
        <v>3.125</v>
      </c>
      <c r="H15" s="3">
        <f t="shared" si="1"/>
        <v>6.25</v>
      </c>
      <c r="I15" s="3">
        <f t="shared" si="1"/>
        <v>3.125</v>
      </c>
      <c r="J15" s="3">
        <f t="shared" si="1"/>
        <v>3.125</v>
      </c>
    </row>
    <row r="16" spans="1:11" ht="15.75" customHeight="1" x14ac:dyDescent="0.25">
      <c r="E16" s="3">
        <f t="shared" ref="E16:J16" si="2">E9*$C9/SUM($E9:$J9)</f>
        <v>6.75</v>
      </c>
      <c r="F16" s="3">
        <f t="shared" si="2"/>
        <v>3.375</v>
      </c>
      <c r="G16" s="3">
        <f t="shared" si="2"/>
        <v>3.375</v>
      </c>
      <c r="H16" s="3">
        <f t="shared" si="2"/>
        <v>6.75</v>
      </c>
      <c r="I16" s="3">
        <f t="shared" si="2"/>
        <v>3.375</v>
      </c>
      <c r="J16" s="3">
        <f t="shared" si="2"/>
        <v>3.375</v>
      </c>
    </row>
    <row r="17" spans="2:13" ht="15.75" customHeight="1" x14ac:dyDescent="0.25">
      <c r="E17" s="3">
        <f t="shared" ref="E17:J17" si="3">E10*$C10/SUM($E10:$J10)</f>
        <v>0</v>
      </c>
      <c r="F17" s="3">
        <f t="shared" si="3"/>
        <v>0</v>
      </c>
      <c r="G17" s="3">
        <f t="shared" si="3"/>
        <v>0</v>
      </c>
      <c r="H17" s="3">
        <f t="shared" si="3"/>
        <v>18</v>
      </c>
      <c r="I17" s="3">
        <f t="shared" si="3"/>
        <v>9</v>
      </c>
      <c r="J17" s="3">
        <f t="shared" si="3"/>
        <v>0</v>
      </c>
    </row>
    <row r="18" spans="2:13" ht="15.75" customHeight="1" x14ac:dyDescent="0.25">
      <c r="E18" s="3">
        <f t="shared" ref="E18:J18" si="4">E11*$C11/SUM($E11:$J11)</f>
        <v>3.75</v>
      </c>
      <c r="F18" s="3">
        <f t="shared" si="4"/>
        <v>1.875</v>
      </c>
      <c r="G18" s="3">
        <f t="shared" si="4"/>
        <v>1.875</v>
      </c>
      <c r="H18" s="3">
        <f t="shared" si="4"/>
        <v>3.75</v>
      </c>
      <c r="I18" s="3">
        <f t="shared" si="4"/>
        <v>1.875</v>
      </c>
      <c r="J18" s="3">
        <f t="shared" si="4"/>
        <v>1.875</v>
      </c>
    </row>
    <row r="19" spans="2:13" ht="15.75" customHeight="1" x14ac:dyDescent="0.25">
      <c r="E19" s="3">
        <f t="shared" ref="E19:J19" si="5">E12*$C12/SUM($E12:$J12)</f>
        <v>8.5879999999999992</v>
      </c>
      <c r="F19" s="3">
        <f t="shared" si="5"/>
        <v>4.2939999999999996</v>
      </c>
      <c r="G19" s="3">
        <f t="shared" si="5"/>
        <v>4.2939999999999996</v>
      </c>
      <c r="H19" s="3">
        <f t="shared" si="5"/>
        <v>0</v>
      </c>
      <c r="I19" s="3">
        <f t="shared" si="5"/>
        <v>0</v>
      </c>
      <c r="J19" s="3">
        <f t="shared" si="5"/>
        <v>4.2939999999999996</v>
      </c>
    </row>
    <row r="20" spans="2:13" ht="15.75" customHeight="1" x14ac:dyDescent="0.25">
      <c r="E20" s="3">
        <f t="shared" ref="E20:J20" si="6">E13*$C13/SUM($E13:$J13)</f>
        <v>8</v>
      </c>
      <c r="F20" s="3">
        <f t="shared" si="6"/>
        <v>4</v>
      </c>
      <c r="G20" s="3">
        <f t="shared" si="6"/>
        <v>4</v>
      </c>
      <c r="H20" s="3">
        <f t="shared" si="6"/>
        <v>0</v>
      </c>
      <c r="I20" s="3">
        <f t="shared" si="6"/>
        <v>0</v>
      </c>
      <c r="J20" s="3">
        <f t="shared" si="6"/>
        <v>4</v>
      </c>
      <c r="L20" s="2" t="s">
        <v>21</v>
      </c>
    </row>
    <row r="21" spans="2:13" ht="15.75" customHeight="1" x14ac:dyDescent="0.25">
      <c r="D21" s="5" t="s">
        <v>22</v>
      </c>
      <c r="E21" s="3">
        <f t="shared" ref="E21:J21" si="7">SUM(E14:E20)</f>
        <v>37.088000000000001</v>
      </c>
      <c r="F21" s="3">
        <f t="shared" si="7"/>
        <v>18.544</v>
      </c>
      <c r="G21" s="3">
        <f t="shared" si="7"/>
        <v>18.544</v>
      </c>
      <c r="H21" s="3">
        <f t="shared" si="7"/>
        <v>38.5</v>
      </c>
      <c r="I21" s="3">
        <f t="shared" si="7"/>
        <v>19.25</v>
      </c>
      <c r="J21" s="3">
        <f t="shared" si="7"/>
        <v>18.544</v>
      </c>
      <c r="L21" s="4">
        <f t="shared" ref="L21:L22" si="8">SUM(E21:J21)</f>
        <v>150.47</v>
      </c>
    </row>
    <row r="22" spans="2:13" ht="15.75" customHeight="1" x14ac:dyDescent="0.25">
      <c r="D22" s="5" t="s">
        <v>23</v>
      </c>
      <c r="E22" s="3">
        <f>C13</f>
        <v>20</v>
      </c>
      <c r="F22" s="3">
        <f>C8</f>
        <v>25</v>
      </c>
      <c r="G22" s="3">
        <f>C12</f>
        <v>21.47</v>
      </c>
      <c r="H22" s="3">
        <f>0</f>
        <v>0</v>
      </c>
      <c r="I22" s="3">
        <f>C9+C10+C11</f>
        <v>69</v>
      </c>
      <c r="J22" s="3">
        <f>C7</f>
        <v>15</v>
      </c>
      <c r="L22" s="3">
        <f t="shared" si="8"/>
        <v>150.47</v>
      </c>
    </row>
    <row r="23" spans="2:13" ht="15.75" customHeight="1" x14ac:dyDescent="0.25">
      <c r="D23" s="5"/>
      <c r="E23" s="3"/>
      <c r="F23" s="3" t="s">
        <v>24</v>
      </c>
      <c r="G23" s="3"/>
      <c r="H23" s="3"/>
      <c r="I23" s="3"/>
      <c r="J23" s="3"/>
      <c r="K23" s="2" t="s">
        <v>24</v>
      </c>
      <c r="L23" s="3"/>
      <c r="M23" s="2"/>
    </row>
    <row r="24" spans="2:13" ht="15.75" customHeight="1" x14ac:dyDescent="0.25">
      <c r="D24" s="6" t="s">
        <v>25</v>
      </c>
      <c r="E24" s="7">
        <v>5</v>
      </c>
      <c r="F24" s="7">
        <v>-3.5</v>
      </c>
      <c r="G24" s="7"/>
      <c r="H24" s="7">
        <v>38.5</v>
      </c>
      <c r="I24" s="7">
        <f>-25 - 13.5-5</f>
        <v>-43.5</v>
      </c>
      <c r="J24" s="7">
        <v>3.5</v>
      </c>
      <c r="L24" s="3">
        <f t="shared" ref="L24:L25" si="9">SUM(E24:J24)</f>
        <v>0</v>
      </c>
      <c r="M24" s="2" t="s">
        <v>26</v>
      </c>
    </row>
    <row r="25" spans="2:13" ht="15.75" customHeight="1" x14ac:dyDescent="0.25">
      <c r="D25" s="6" t="s">
        <v>27</v>
      </c>
      <c r="E25" s="7">
        <f t="shared" ref="E25:J25" si="10">E21-E22-E24</f>
        <v>12.088000000000001</v>
      </c>
      <c r="F25" s="7">
        <f t="shared" si="10"/>
        <v>-2.9559999999999995</v>
      </c>
      <c r="G25" s="7">
        <f t="shared" si="10"/>
        <v>-2.9259999999999984</v>
      </c>
      <c r="H25" s="7">
        <f t="shared" si="10"/>
        <v>0</v>
      </c>
      <c r="I25" s="7">
        <f t="shared" si="10"/>
        <v>-6.25</v>
      </c>
      <c r="J25" s="7">
        <f t="shared" si="10"/>
        <v>4.4000000000000483E-2</v>
      </c>
      <c r="L25" s="3">
        <f t="shared" si="9"/>
        <v>3.5527136788005009E-15</v>
      </c>
      <c r="M25" s="2" t="s">
        <v>26</v>
      </c>
    </row>
    <row r="26" spans="2:13" ht="13.2" x14ac:dyDescent="0.25">
      <c r="F26" s="2" t="s">
        <v>28</v>
      </c>
      <c r="K26" s="2" t="s">
        <v>28</v>
      </c>
    </row>
    <row r="27" spans="2:13" ht="13.2" x14ac:dyDescent="0.25">
      <c r="D27" s="5"/>
      <c r="E27" s="4"/>
      <c r="F27" s="4"/>
      <c r="G27" s="4"/>
      <c r="H27" s="3"/>
      <c r="I27" s="3"/>
      <c r="J27" s="4"/>
      <c r="K27" s="2" t="s">
        <v>29</v>
      </c>
    </row>
    <row r="28" spans="2:13" ht="13.2" x14ac:dyDescent="0.25">
      <c r="D28" s="5" t="s">
        <v>30</v>
      </c>
      <c r="E28" s="4"/>
      <c r="F28" s="4"/>
      <c r="G28" s="4"/>
      <c r="H28" s="3">
        <f>H25</f>
        <v>0</v>
      </c>
      <c r="I28" s="3">
        <f>-H28</f>
        <v>0</v>
      </c>
      <c r="J28" s="4"/>
      <c r="K28" s="2"/>
    </row>
    <row r="29" spans="2:13" ht="13.2" x14ac:dyDescent="0.25">
      <c r="E29" s="4"/>
      <c r="F29" s="3">
        <f>-J29</f>
        <v>-4.4000000000000483E-2</v>
      </c>
      <c r="G29" s="4"/>
      <c r="H29" s="4"/>
      <c r="I29" s="4"/>
      <c r="J29" s="3">
        <f>J25</f>
        <v>4.4000000000000483E-2</v>
      </c>
      <c r="K29" s="2"/>
    </row>
    <row r="30" spans="2:13" ht="13.2" x14ac:dyDescent="0.25">
      <c r="E30" s="3">
        <f>E25</f>
        <v>12.088000000000001</v>
      </c>
      <c r="F30" s="4">
        <f>F25-F29</f>
        <v>-2.911999999999999</v>
      </c>
      <c r="G30" s="3">
        <f>G25</f>
        <v>-2.9259999999999984</v>
      </c>
      <c r="H30" s="4"/>
      <c r="I30" s="4">
        <f>I25-I28</f>
        <v>-6.25</v>
      </c>
      <c r="J30" s="4"/>
    </row>
    <row r="31" spans="2:13" ht="13.2" x14ac:dyDescent="0.25">
      <c r="B31" s="1"/>
      <c r="D31" s="2" t="s">
        <v>31</v>
      </c>
      <c r="E31" s="4">
        <f t="shared" ref="E31:J31" si="11">E21-E22-E24-SUM(E28:E30)</f>
        <v>0</v>
      </c>
      <c r="F31" s="4">
        <f t="shared" si="11"/>
        <v>0</v>
      </c>
      <c r="G31" s="4">
        <f t="shared" si="11"/>
        <v>0</v>
      </c>
      <c r="H31" s="4">
        <f t="shared" si="11"/>
        <v>0</v>
      </c>
      <c r="I31" s="4">
        <f t="shared" si="11"/>
        <v>0</v>
      </c>
      <c r="J31" s="4">
        <f t="shared" si="11"/>
        <v>0</v>
      </c>
      <c r="L31" s="4">
        <f>SUM(E31:J31)</f>
        <v>0</v>
      </c>
    </row>
    <row r="32" spans="2:13" ht="13.2" x14ac:dyDescent="0.25">
      <c r="B32" s="1"/>
    </row>
    <row r="33" spans="2:5" ht="13.2" x14ac:dyDescent="0.25">
      <c r="B33" s="1" t="s">
        <v>32</v>
      </c>
    </row>
    <row r="34" spans="2:5" ht="13.2" x14ac:dyDescent="0.25">
      <c r="B34" s="2" t="s">
        <v>33</v>
      </c>
      <c r="C34" s="8">
        <v>5</v>
      </c>
      <c r="D34" s="2" t="s">
        <v>12</v>
      </c>
      <c r="E34" s="2" t="s">
        <v>34</v>
      </c>
    </row>
    <row r="35" spans="2:5" ht="13.2" x14ac:dyDescent="0.25">
      <c r="B35" s="2" t="s">
        <v>35</v>
      </c>
      <c r="C35" s="2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11" sqref="C11"/>
    </sheetView>
  </sheetViews>
  <sheetFormatPr baseColWidth="10" defaultColWidth="8.88671875" defaultRowHeight="13.2" x14ac:dyDescent="0.25"/>
  <sheetData>
    <row r="1" spans="1:1" x14ac:dyDescent="0.25">
      <c r="A1" s="10" t="s">
        <v>43</v>
      </c>
    </row>
    <row r="2" spans="1:1" x14ac:dyDescent="0.25">
      <c r="A2" s="10" t="s">
        <v>58</v>
      </c>
    </row>
    <row r="3" spans="1:1" x14ac:dyDescent="0.25">
      <c r="A3" s="10" t="s">
        <v>57</v>
      </c>
    </row>
    <row r="4" spans="1:1" x14ac:dyDescent="0.25">
      <c r="A4" s="10" t="s">
        <v>59</v>
      </c>
    </row>
    <row r="5" spans="1:1" x14ac:dyDescent="0.25">
      <c r="A5" s="10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LaserTag</vt:lpstr>
      <vt:lpstr>Mirroir</vt:lpstr>
      <vt:lpstr>_Data</vt:lpstr>
      <vt:lpstr>USER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Eva</cp:lastModifiedBy>
  <dcterms:modified xsi:type="dcterms:W3CDTF">2017-01-27T16:51:20Z</dcterms:modified>
</cp:coreProperties>
</file>