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emedina3_bryant_edu/Documents/Desktop/GSCM 330/Module08 - Scheduling Problem/"/>
    </mc:Choice>
  </mc:AlternateContent>
  <xr:revisionPtr revIDLastSave="1257" documentId="8_{4024CA97-3759-41E7-BF64-18EB388D420E}" xr6:coauthVersionLast="47" xr6:coauthVersionMax="47" xr10:uidLastSave="{E21B7854-6014-4CF6-8B67-112BCBE9E209}"/>
  <bookViews>
    <workbookView xWindow="-110" yWindow="-110" windowWidth="19420" windowHeight="10300" activeTab="2" xr2:uid="{3B0F03D7-7CDF-4833-9A21-87A948E23C7A}"/>
  </bookViews>
  <sheets>
    <sheet name="Model Stipulation 2" sheetId="4" r:id="rId1"/>
    <sheet name="Model Stipulation" sheetId="3" r:id="rId2"/>
    <sheet name="Model" sheetId="1" r:id="rId3"/>
    <sheet name="Data" sheetId="2" r:id="rId4"/>
  </sheets>
  <definedNames>
    <definedName name="solver_adj" localSheetId="2" hidden="1">Model!$P$4:$P$10</definedName>
    <definedName name="solver_adj" localSheetId="1" hidden="1">'Model Stipulation'!$P$4:$P$10</definedName>
    <definedName name="solver_adj" localSheetId="0" hidden="1">'Model Stipulation 2'!$P$4:$P$10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2" hidden="1">Model!$D$11:$O$11</definedName>
    <definedName name="solver_lhs1" localSheetId="1" hidden="1">'Model Stipulation'!$D$11:$O$11</definedName>
    <definedName name="solver_lhs1" localSheetId="0" hidden="1">'Model Stipulation 2'!$D$11:$O$11</definedName>
    <definedName name="solver_lhs2" localSheetId="2" hidden="1">Model!$P$4:$P$10</definedName>
    <definedName name="solver_lhs2" localSheetId="1" hidden="1">'Model Stipulation'!$P$4</definedName>
    <definedName name="solver_lhs2" localSheetId="0" hidden="1">'Model Stipulation 2'!$P$4:$P$10</definedName>
    <definedName name="solver_lhs3" localSheetId="2" hidden="1">Model!$P$4:$P$10</definedName>
    <definedName name="solver_lhs3" localSheetId="1" hidden="1">'Model Stipulation'!$P$4:$P$10</definedName>
    <definedName name="solver_lhs3" localSheetId="0" hidden="1">'Model Stipulation 2'!$P$4:$P$10</definedName>
    <definedName name="solver_lhs4" localSheetId="2" hidden="1">Model!$P$4:$P$10</definedName>
    <definedName name="solver_lhs4" localSheetId="1" hidden="1">'Model Stipulation'!$P$4:$P$10</definedName>
    <definedName name="solver_lhs4" localSheetId="0" hidden="1">'Model Stipulation 2'!$P$5:$P$10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3</definedName>
    <definedName name="solver_num" localSheetId="1" hidden="1">4</definedName>
    <definedName name="solver_num" localSheetId="0" hidden="1">3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Model!$R$12</definedName>
    <definedName name="solver_opt" localSheetId="1" hidden="1">'Model Stipulation'!$R$12</definedName>
    <definedName name="solver_opt" localSheetId="0" hidden="1">'Model Stipulation 2'!$R$12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2" hidden="1">3</definedName>
    <definedName name="solver_rel1" localSheetId="1" hidden="1">3</definedName>
    <definedName name="solver_rel1" localSheetId="0" hidden="1">3</definedName>
    <definedName name="solver_rel2" localSheetId="2" hidden="1">4</definedName>
    <definedName name="solver_rel2" localSheetId="1" hidden="1">1</definedName>
    <definedName name="solver_rel2" localSheetId="0" hidden="1">4</definedName>
    <definedName name="solver_rel3" localSheetId="2" hidden="1">3</definedName>
    <definedName name="solver_rel3" localSheetId="1" hidden="1">4</definedName>
    <definedName name="solver_rel3" localSheetId="0" hidden="1">3</definedName>
    <definedName name="solver_rel4" localSheetId="2" hidden="1">3</definedName>
    <definedName name="solver_rel4" localSheetId="1" hidden="1">3</definedName>
    <definedName name="solver_rel4" localSheetId="0" hidden="1">2</definedName>
    <definedName name="solver_rhs1" localSheetId="2" hidden="1">Model!$D$12:$O$12</definedName>
    <definedName name="solver_rhs1" localSheetId="1" hidden="1">'Model Stipulation'!$D$12:$O$12</definedName>
    <definedName name="solver_rhs1" localSheetId="0" hidden="1">'Model Stipulation 2'!$D$12:$O$12</definedName>
    <definedName name="solver_rhs2" localSheetId="2" hidden="1">"integer"</definedName>
    <definedName name="solver_rhs2" localSheetId="1" hidden="1">'Model Stipulation'!$R$4</definedName>
    <definedName name="solver_rhs2" localSheetId="0" hidden="1">"integer"</definedName>
    <definedName name="solver_rhs3" localSheetId="2" hidden="1">0</definedName>
    <definedName name="solver_rhs3" localSheetId="1" hidden="1">"integer"</definedName>
    <definedName name="solver_rhs3" localSheetId="0" hidden="1">0</definedName>
    <definedName name="solver_rhs4" localSheetId="2" hidden="1">0</definedName>
    <definedName name="solver_rhs4" localSheetId="1" hidden="1">0</definedName>
    <definedName name="solver_rhs4" localSheetId="0" hidden="1">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</definedName>
    <definedName name="solver_tol" localSheetId="1" hidden="1">0</definedName>
    <definedName name="solver_tol" localSheetId="0" hidden="1">0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0" hidden="1">50780052.74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3" l="1"/>
  <c r="O15" i="4"/>
  <c r="P15" i="4"/>
  <c r="D12" i="4" a="1"/>
  <c r="D12" i="4" s="1"/>
  <c r="O11" i="4"/>
  <c r="N11" i="4"/>
  <c r="M11" i="4"/>
  <c r="L11" i="4"/>
  <c r="K11" i="4"/>
  <c r="J11" i="4"/>
  <c r="I11" i="4"/>
  <c r="H11" i="4"/>
  <c r="G11" i="4"/>
  <c r="F11" i="4"/>
  <c r="E11" i="4"/>
  <c r="D11" i="4"/>
  <c r="Q10" i="4"/>
  <c r="Q9" i="4"/>
  <c r="Q8" i="4"/>
  <c r="Q7" i="4"/>
  <c r="Q6" i="4"/>
  <c r="Q5" i="4"/>
  <c r="Q4" i="4"/>
  <c r="R12" i="4" s="1"/>
  <c r="D12" i="3" a="1"/>
  <c r="D12" i="3" s="1"/>
  <c r="O11" i="3"/>
  <c r="N11" i="3"/>
  <c r="M11" i="3"/>
  <c r="L11" i="3"/>
  <c r="K11" i="3"/>
  <c r="J11" i="3"/>
  <c r="I11" i="3"/>
  <c r="H11" i="3"/>
  <c r="G11" i="3"/>
  <c r="F11" i="3"/>
  <c r="E11" i="3"/>
  <c r="D11" i="3"/>
  <c r="Q10" i="3"/>
  <c r="Q9" i="3"/>
  <c r="Q8" i="3"/>
  <c r="Q7" i="3"/>
  <c r="Q6" i="3"/>
  <c r="Q5" i="3"/>
  <c r="R4" i="3"/>
  <c r="Q4" i="3"/>
  <c r="R12" i="3" s="1"/>
  <c r="O3" i="2"/>
  <c r="O4" i="2"/>
  <c r="O5" i="2"/>
  <c r="O6" i="2"/>
  <c r="O7" i="2"/>
  <c r="O2" i="2"/>
  <c r="Q4" i="2"/>
  <c r="Q3" i="2"/>
  <c r="H5" i="2"/>
  <c r="I5" i="2" s="1"/>
  <c r="H4" i="2"/>
  <c r="I4" i="2" s="1"/>
  <c r="R12" i="1"/>
  <c r="Q8" i="1"/>
  <c r="Q10" i="1"/>
  <c r="Q9" i="1"/>
  <c r="Q7" i="1"/>
  <c r="Q6" i="1"/>
  <c r="Q5" i="1"/>
  <c r="Q4" i="1"/>
  <c r="D12" i="1" a="1"/>
  <c r="D12" i="1" s="1"/>
  <c r="E11" i="1"/>
  <c r="F11" i="1"/>
  <c r="G11" i="1"/>
  <c r="H11" i="1"/>
  <c r="I11" i="1"/>
  <c r="J11" i="1"/>
  <c r="K11" i="1"/>
  <c r="L11" i="1"/>
  <c r="M11" i="1"/>
  <c r="N11" i="1"/>
  <c r="O11" i="1"/>
  <c r="D11" i="1"/>
  <c r="Q2" i="2"/>
  <c r="H3" i="2"/>
  <c r="I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<sst xmlns="http://schemas.openxmlformats.org/spreadsheetml/2006/main" count="211" uniqueCount="144">
  <si>
    <t>month</t>
  </si>
  <si>
    <t>foot_traffic</t>
  </si>
  <si>
    <t>employee</t>
  </si>
  <si>
    <t>monthly_salary</t>
  </si>
  <si>
    <t>Whirly Winnie</t>
  </si>
  <si>
    <t>Gumdrop Grace</t>
  </si>
  <si>
    <t>Tootsie McGiggly</t>
  </si>
  <si>
    <t>Candy Carmichael</t>
  </si>
  <si>
    <t>Pixie Peppermint</t>
  </si>
  <si>
    <t>Crispy Crumbcatcher</t>
  </si>
  <si>
    <t>Sprinkle Bea</t>
  </si>
  <si>
    <t>Bubbles Butterbean</t>
  </si>
  <si>
    <t>Wiggles Wafflecone</t>
  </si>
  <si>
    <t>Misty Mallow</t>
  </si>
  <si>
    <t>Tina Tootsie</t>
  </si>
  <si>
    <t>Fizzwick Frost</t>
  </si>
  <si>
    <t>Taffy Twinkleton</t>
  </si>
  <si>
    <t>Sparkle Sundae</t>
  </si>
  <si>
    <t>Poppi Lollipop</t>
  </si>
  <si>
    <t>Jiggly Juliebean</t>
  </si>
  <si>
    <t>Zippy Licorice</t>
  </si>
  <si>
    <t>Twirly Tina</t>
  </si>
  <si>
    <t>Twizzle Taffeta</t>
  </si>
  <si>
    <t>Lolly McSprinkle</t>
  </si>
  <si>
    <t>Sugarplum Sally</t>
  </si>
  <si>
    <t>Nougat Nelly</t>
  </si>
  <si>
    <t>Benny Bonbon</t>
  </si>
  <si>
    <t>Candyfloss Claire</t>
  </si>
  <si>
    <t>Caramel Clementine</t>
  </si>
  <si>
    <t>Nifty Nougatine</t>
  </si>
  <si>
    <t>Twinkle Taffybell</t>
  </si>
  <si>
    <t>Bonbon Bella</t>
  </si>
  <si>
    <t>Ginger Gumdrop</t>
  </si>
  <si>
    <t>Jellybean Juniper</t>
  </si>
  <si>
    <t>Maple Marshmallow</t>
  </si>
  <si>
    <t>Gummy Gus</t>
  </si>
  <si>
    <t>Scooter Snickerdoodle</t>
  </si>
  <si>
    <t>Cocoa Clement</t>
  </si>
  <si>
    <t>Truffle Tilda</t>
  </si>
  <si>
    <t>Lulu Licorice</t>
  </si>
  <si>
    <t>Marshmallow Molly</t>
  </si>
  <si>
    <t>Gingersnap Gwen</t>
  </si>
  <si>
    <t>Dizzy Dandelion</t>
  </si>
  <si>
    <t>Chompers McSweet</t>
  </si>
  <si>
    <t>Sassy Sourstripe</t>
  </si>
  <si>
    <t>Cherry Chewella</t>
  </si>
  <si>
    <t>Fizzabelle Pop</t>
  </si>
  <si>
    <t>Dottie Dotsworth</t>
  </si>
  <si>
    <t>Sunny Sassafras</t>
  </si>
  <si>
    <t>Chuckles Choco</t>
  </si>
  <si>
    <t>Chuck ChocoChip</t>
  </si>
  <si>
    <t>Snickersnack Sam</t>
  </si>
  <si>
    <t>agency</t>
  </si>
  <si>
    <t>beginning_month_of_service</t>
  </si>
  <si>
    <t>duration_of_service</t>
  </si>
  <si>
    <t>Fudge &amp; Frolic</t>
  </si>
  <si>
    <t>Bonbon Boulevard</t>
  </si>
  <si>
    <t>Snickerdoodle Street</t>
  </si>
  <si>
    <t>Tootie Fruity Trading Co.</t>
  </si>
  <si>
    <t>The Gummy Gazette</t>
  </si>
  <si>
    <t>The Jelly Jubilee</t>
  </si>
  <si>
    <t>Mean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</si>
  <si>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</si>
  <si>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</si>
  <si>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</si>
  <si>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</si>
  <si>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</si>
  <si>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</si>
  <si>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</si>
  <si>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</si>
  <si>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</si>
  <si>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</si>
  <si>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</si>
  <si>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</si>
  <si>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</si>
  <si>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</si>
  <si>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</si>
  <si>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</si>
  <si>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</si>
  <si>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</si>
  <si>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</si>
  <si>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</si>
  <si>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</si>
  <si>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</si>
  <si>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</si>
  <si>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</si>
  <si>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</si>
  <si>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</si>
  <si>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</si>
  <si>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</si>
  <si>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</si>
  <si>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</si>
  <si>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</si>
  <si>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</si>
  <si>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</si>
  <si>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</si>
  <si>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</si>
  <si>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</si>
  <si>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</si>
  <si>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</si>
  <si>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</si>
  <si>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</si>
  <si>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</si>
  <si>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</si>
  <si>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</si>
  <si>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</si>
  <si>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</si>
  <si>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</si>
  <si>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</si>
  <si>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</si>
  <si>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Workers Schedule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</si>
  <si>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</si>
  <si>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</si>
  <si>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</si>
  <si>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</si>
  <si>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</si>
  <si>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</si>
  <si>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</si>
  <si>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</si>
  <si>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</si>
  <si>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</si>
  <si>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</si>
  <si>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</si>
  <si>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Fulltime</t>
  </si>
  <si>
    <t xml:space="preserve">Full &amp; Temp </t>
  </si>
  <si>
    <t>Workers</t>
  </si>
  <si>
    <t>Available</t>
  </si>
  <si>
    <t>Required</t>
  </si>
  <si>
    <t>Total</t>
  </si>
  <si>
    <t>Year</t>
  </si>
  <si>
    <t>Max</t>
  </si>
  <si>
    <t>Min</t>
  </si>
  <si>
    <t>Month</t>
  </si>
  <si>
    <t>Salary Paid for Duration</t>
  </si>
  <si>
    <t>Full-Time</t>
  </si>
  <si>
    <t>Agency</t>
  </si>
  <si>
    <t>Monthly Salary</t>
  </si>
  <si>
    <t>Months off</t>
  </si>
  <si>
    <t>Mar-Dec</t>
  </si>
  <si>
    <t>Apr-Jan</t>
  </si>
  <si>
    <t>Oct-Jul</t>
  </si>
  <si>
    <t>Jul-Mar</t>
  </si>
  <si>
    <t>Oct-Jun</t>
  </si>
  <si>
    <t>Jan-Sep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</si>
</sst>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quotePrefix="1" applyNumberFormat="1" applyAlignment="1">
      <alignment horizontal="center"/>
    </xf>
    <xf numFmtId="44" fontId="0" fillId="0" borderId="0" xfId="1" applyFont="1"/>
    <xf numFmtId="0" fontId="0" fillId="0" borderId="0" xfId="0" quotePrefix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44" fontId="5" fillId="4" borderId="19" xfId="1" applyFont="1" applyFill="1" applyBorder="1"/>
    <xf numFmtId="44" fontId="5" fillId="4" borderId="19" xfId="1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44" fontId="5" fillId="4" borderId="21" xfId="1" applyFont="1" applyFill="1" applyBorder="1" applyAlignment="1">
      <alignment horizontal="center"/>
    </xf>
    <xf numFmtId="0" fontId="2" fillId="4" borderId="22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44" fontId="2" fillId="2" borderId="25" xfId="1" applyFont="1" applyFill="1" applyBorder="1"/>
    <xf numFmtId="16" fontId="0" fillId="0" borderId="0" xfId="0" applyNumberFormat="1" applyAlignment="1">
      <alignment horizontal="center"/>
    </xf>
    <xf numFmtId="0" fontId="0" fillId="6" borderId="8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2" fillId="5" borderId="8" xfId="0" applyFont="1" applyFill="1" applyBorder="1" applyAlignment="1">
      <alignment horizontal="center"/>
    </xf>
    <xf numFmtId="0" fontId="2" fillId="5" borderId="8" xfId="0" applyFont="1" applyFill="1" applyBorder="1"/>
    <xf numFmtId="44" fontId="2" fillId="0" borderId="0" xfId="0" applyNumberFormat="1" applyFont="1" applyAlignment="1">
      <alignment horizontal="center"/>
    </xf>
    <xf numFmtId="0" fontId="4" fillId="4" borderId="16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0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Foot Traffic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Data!$B$2:$B$13</c:f>
              <c:numCache>
                <c:formatCode>General</c:formatCode>
                <c:ptCount val="12"/>
                <c:pt idx="0">
                  <c:v>300</c:v>
                </c:pt>
                <c:pt idx="1">
                  <c:v>410</c:v>
                </c:pt>
                <c:pt idx="2">
                  <c:v>566</c:v>
                </c:pt>
                <c:pt idx="3">
                  <c:v>634</c:v>
                </c:pt>
                <c:pt idx="4">
                  <c:v>556</c:v>
                </c:pt>
                <c:pt idx="5">
                  <c:v>410</c:v>
                </c:pt>
                <c:pt idx="6">
                  <c:v>342</c:v>
                </c:pt>
                <c:pt idx="7">
                  <c:v>431</c:v>
                </c:pt>
                <c:pt idx="8">
                  <c:v>612</c:v>
                </c:pt>
                <c:pt idx="9">
                  <c:v>730</c:v>
                </c:pt>
                <c:pt idx="10">
                  <c:v>682</c:v>
                </c:pt>
                <c:pt idx="11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F-4CD2-B38C-740EB8ACC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488176"/>
        <c:axId val="821487096"/>
      </c:lineChart>
      <c:catAx>
        <c:axId val="82148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87096"/>
        <c:crosses val="autoZero"/>
        <c:auto val="1"/>
        <c:lblAlgn val="ctr"/>
        <c:lblOffset val="100"/>
        <c:noMultiLvlLbl val="0"/>
      </c:catAx>
      <c:valAx>
        <c:axId val="8214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Foot</a:t>
                </a:r>
                <a:r>
                  <a:rPr lang="en-US" baseline="0"/>
                  <a:t> Traffic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8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0</xdr:rowOff>
    </xdr:from>
    <xdr:to>
      <xdr:col>12</xdr:col>
      <xdr:colOff>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27ACA-36B0-25A6-36F5-5E6A0CA2F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E9D8-1F94-4DF3-8203-EF31CE2444A4}">
  <dimension ref="B1:R15"/>
  <sheetViews>
    <sheetView zoomScale="76" zoomScaleNormal="55" workbookViewId="0">
      <selection activeCell="S10" sqref="S10"/>
    </sheetView>
  </sheetViews>
  <sheetFormatPr defaultRowHeight="14.5" x14ac:dyDescent="0.35"/>
  <cols>
    <col min="3" max="3" width="20.36328125" bestFit="1" customWidth="1"/>
    <col min="4" max="11" width="9" customWidth="1"/>
    <col min="12" max="12" width="10" bestFit="1" customWidth="1"/>
    <col min="13" max="13" width="9" customWidth="1"/>
    <col min="14" max="14" width="9.36328125" bestFit="1" customWidth="1"/>
    <col min="15" max="15" width="11" bestFit="1" customWidth="1"/>
    <col min="16" max="16" width="16.7265625" bestFit="1" customWidth="1"/>
    <col min="17" max="17" width="11.81640625" bestFit="1" customWidth="1"/>
    <col min="18" max="18" width="16" bestFit="1" customWidth="1"/>
  </cols>
  <sheetData>
    <row r="1" spans="2:18" ht="15" thickBot="1" x14ac:dyDescent="0.4"/>
    <row r="2" spans="2:18" ht="15.5" thickTop="1" thickBot="1" x14ac:dyDescent="0.4">
      <c r="P2" s="44" t="s">
        <v>110</v>
      </c>
      <c r="Q2" s="46" t="s">
        <v>124</v>
      </c>
      <c r="R2" s="48"/>
    </row>
    <row r="3" spans="2:18" ht="15.5" thickTop="1" thickBot="1" x14ac:dyDescent="0.4">
      <c r="C3" s="16" t="s">
        <v>125</v>
      </c>
      <c r="D3" s="19" t="s">
        <v>111</v>
      </c>
      <c r="E3" s="20" t="s">
        <v>112</v>
      </c>
      <c r="F3" s="20" t="s">
        <v>113</v>
      </c>
      <c r="G3" s="20" t="s">
        <v>114</v>
      </c>
      <c r="H3" s="20" t="s">
        <v>115</v>
      </c>
      <c r="I3" s="20" t="s">
        <v>116</v>
      </c>
      <c r="J3" s="20" t="s">
        <v>117</v>
      </c>
      <c r="K3" s="20" t="s">
        <v>118</v>
      </c>
      <c r="L3" s="20" t="s">
        <v>119</v>
      </c>
      <c r="M3" s="20" t="s">
        <v>120</v>
      </c>
      <c r="N3" s="20" t="s">
        <v>121</v>
      </c>
      <c r="O3" s="21" t="s">
        <v>122</v>
      </c>
      <c r="P3" s="45"/>
      <c r="Q3" s="47"/>
      <c r="R3" s="48"/>
    </row>
    <row r="4" spans="2:18" ht="15" thickTop="1" x14ac:dyDescent="0.35">
      <c r="B4" s="7"/>
      <c r="C4" s="17" t="s">
        <v>123</v>
      </c>
      <c r="D4" s="11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8">
        <v>1</v>
      </c>
      <c r="P4" s="22">
        <v>566</v>
      </c>
      <c r="Q4" s="23">
        <f>6449.001875*12</f>
        <v>77388.022499999992</v>
      </c>
      <c r="R4" s="6"/>
    </row>
    <row r="5" spans="2:18" x14ac:dyDescent="0.35">
      <c r="C5" s="17" t="s">
        <v>55</v>
      </c>
      <c r="D5" s="10">
        <v>1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5">
        <v>0</v>
      </c>
      <c r="P5" s="22">
        <v>0</v>
      </c>
      <c r="Q5" s="24">
        <f>7659*2</f>
        <v>15318</v>
      </c>
    </row>
    <row r="6" spans="2:18" x14ac:dyDescent="0.35">
      <c r="C6" s="17" t="s">
        <v>56</v>
      </c>
      <c r="D6" s="10">
        <v>0</v>
      </c>
      <c r="E6" s="9">
        <v>0</v>
      </c>
      <c r="F6" s="9">
        <v>0</v>
      </c>
      <c r="G6" s="9">
        <v>1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5">
        <v>0</v>
      </c>
      <c r="P6" s="22">
        <v>68</v>
      </c>
      <c r="Q6" s="24">
        <f>8483*3</f>
        <v>25449</v>
      </c>
    </row>
    <row r="7" spans="2:18" x14ac:dyDescent="0.35">
      <c r="C7" s="17" t="s">
        <v>57</v>
      </c>
      <c r="D7" s="10">
        <v>0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15">
        <v>0</v>
      </c>
      <c r="P7" s="22">
        <v>0</v>
      </c>
      <c r="Q7" s="24">
        <f>6738*2</f>
        <v>13476</v>
      </c>
    </row>
    <row r="8" spans="2:18" x14ac:dyDescent="0.35">
      <c r="C8" s="17" t="s">
        <v>58</v>
      </c>
      <c r="D8" s="10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1</v>
      </c>
      <c r="M8" s="9">
        <v>0</v>
      </c>
      <c r="N8" s="9">
        <v>0</v>
      </c>
      <c r="O8" s="15">
        <v>0</v>
      </c>
      <c r="P8" s="22">
        <v>46</v>
      </c>
      <c r="Q8" s="24">
        <f>7944*2</f>
        <v>15888</v>
      </c>
    </row>
    <row r="9" spans="2:18" x14ac:dyDescent="0.35">
      <c r="C9" s="17" t="s">
        <v>59</v>
      </c>
      <c r="D9" s="10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1</v>
      </c>
      <c r="M9" s="9">
        <v>0</v>
      </c>
      <c r="N9" s="9">
        <v>0</v>
      </c>
      <c r="O9" s="15">
        <v>0</v>
      </c>
      <c r="P9" s="22">
        <v>0</v>
      </c>
      <c r="Q9" s="24">
        <f>9382*3</f>
        <v>28146</v>
      </c>
    </row>
    <row r="10" spans="2:18" ht="15" thickBot="1" x14ac:dyDescent="0.4">
      <c r="C10" s="27" t="s">
        <v>60</v>
      </c>
      <c r="D10" s="13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30">
        <v>1</v>
      </c>
      <c r="P10" s="25">
        <v>164</v>
      </c>
      <c r="Q10" s="26">
        <f>9181*3</f>
        <v>27543</v>
      </c>
    </row>
    <row r="11" spans="2:18" ht="15.5" thickTop="1" thickBot="1" x14ac:dyDescent="0.4">
      <c r="C11" s="29" t="s">
        <v>126</v>
      </c>
      <c r="D11" s="31">
        <f>SUMPRODUCT(D4:D10,$P$4:$P$10)</f>
        <v>566</v>
      </c>
      <c r="E11" s="32">
        <f t="shared" ref="E11:O11" si="0">SUMPRODUCT(E4:E10,$P$4:$P$10)</f>
        <v>566</v>
      </c>
      <c r="F11" s="32">
        <f t="shared" si="0"/>
        <v>566</v>
      </c>
      <c r="G11" s="32">
        <f t="shared" si="0"/>
        <v>634</v>
      </c>
      <c r="H11" s="32">
        <f t="shared" si="0"/>
        <v>634</v>
      </c>
      <c r="I11" s="32">
        <f t="shared" si="0"/>
        <v>634</v>
      </c>
      <c r="J11" s="32">
        <f t="shared" si="0"/>
        <v>566</v>
      </c>
      <c r="K11" s="32">
        <f t="shared" si="0"/>
        <v>612</v>
      </c>
      <c r="L11" s="32">
        <f t="shared" si="0"/>
        <v>612</v>
      </c>
      <c r="M11" s="32">
        <f t="shared" si="0"/>
        <v>730</v>
      </c>
      <c r="N11" s="32">
        <f t="shared" si="0"/>
        <v>730</v>
      </c>
      <c r="O11" s="33">
        <f t="shared" si="0"/>
        <v>730</v>
      </c>
      <c r="P11" s="3"/>
      <c r="Q11" s="8"/>
    </row>
    <row r="12" spans="2:18" ht="15.5" thickTop="1" thickBot="1" x14ac:dyDescent="0.4">
      <c r="C12" s="28" t="s">
        <v>127</v>
      </c>
      <c r="D12" s="34" cm="1">
        <f t="array" ref="D12:O12">_xlfn.TOROW(Data!B2:B13)</f>
        <v>300</v>
      </c>
      <c r="E12" s="35">
        <v>410</v>
      </c>
      <c r="F12" s="35">
        <v>566</v>
      </c>
      <c r="G12" s="35">
        <v>634</v>
      </c>
      <c r="H12" s="35">
        <v>556</v>
      </c>
      <c r="I12" s="35">
        <v>410</v>
      </c>
      <c r="J12" s="35">
        <v>342</v>
      </c>
      <c r="K12" s="35">
        <v>431</v>
      </c>
      <c r="L12" s="35">
        <v>612</v>
      </c>
      <c r="M12" s="35">
        <v>730</v>
      </c>
      <c r="N12" s="35">
        <v>682</v>
      </c>
      <c r="O12" s="36">
        <v>518</v>
      </c>
      <c r="Q12" s="29" t="s">
        <v>128</v>
      </c>
      <c r="R12" s="37">
        <f>SUMPRODUCT(P4:P10,Q4:Q10)</f>
        <v>50780052.734999992</v>
      </c>
    </row>
    <row r="13" spans="2:18" ht="15" thickTop="1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8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8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3">
        <f>Q4/12</f>
        <v>6449.001874999999</v>
      </c>
      <c r="P15" s="43">
        <f>(R12/M12)/12</f>
        <v>5796.8096729452045</v>
      </c>
    </row>
  </sheetData>
  <mergeCells count="3">
    <mergeCell ref="P2:P3"/>
    <mergeCell ref="Q2:Q3"/>
    <mergeCell ref="R2:R3"/>
  </mergeCells>
  <conditionalFormatting sqref="D4:O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A103-280F-4366-B02E-A12589659AFA}">
  <dimension ref="B1:R15"/>
  <sheetViews>
    <sheetView zoomScale="76" zoomScaleNormal="55" workbookViewId="0">
      <selection activeCell="R14" sqref="R14"/>
    </sheetView>
  </sheetViews>
  <sheetFormatPr defaultRowHeight="14.5" x14ac:dyDescent="0.35"/>
  <cols>
    <col min="3" max="3" width="20.36328125" bestFit="1" customWidth="1"/>
    <col min="4" max="11" width="9" customWidth="1"/>
    <col min="12" max="12" width="10" bestFit="1" customWidth="1"/>
    <col min="13" max="13" width="9" customWidth="1"/>
    <col min="14" max="14" width="9.36328125" bestFit="1" customWidth="1"/>
    <col min="15" max="15" width="9.453125" bestFit="1" customWidth="1"/>
    <col min="16" max="16" width="11.36328125" customWidth="1"/>
    <col min="17" max="17" width="14.81640625" bestFit="1" customWidth="1"/>
    <col min="18" max="18" width="16" bestFit="1" customWidth="1"/>
  </cols>
  <sheetData>
    <row r="1" spans="2:18" ht="15" thickBot="1" x14ac:dyDescent="0.4"/>
    <row r="2" spans="2:18" ht="15.5" thickTop="1" thickBot="1" x14ac:dyDescent="0.4">
      <c r="P2" s="44" t="s">
        <v>110</v>
      </c>
      <c r="Q2" s="46" t="s">
        <v>124</v>
      </c>
      <c r="R2" s="48"/>
    </row>
    <row r="3" spans="2:18" ht="15.5" thickTop="1" thickBot="1" x14ac:dyDescent="0.4">
      <c r="C3" s="16" t="s">
        <v>125</v>
      </c>
      <c r="D3" s="19" t="s">
        <v>111</v>
      </c>
      <c r="E3" s="20" t="s">
        <v>112</v>
      </c>
      <c r="F3" s="20" t="s">
        <v>113</v>
      </c>
      <c r="G3" s="20" t="s">
        <v>114</v>
      </c>
      <c r="H3" s="20" t="s">
        <v>115</v>
      </c>
      <c r="I3" s="20" t="s">
        <v>116</v>
      </c>
      <c r="J3" s="20" t="s">
        <v>117</v>
      </c>
      <c r="K3" s="20" t="s">
        <v>118</v>
      </c>
      <c r="L3" s="20" t="s">
        <v>119</v>
      </c>
      <c r="M3" s="20" t="s">
        <v>120</v>
      </c>
      <c r="N3" s="20" t="s">
        <v>121</v>
      </c>
      <c r="O3" s="21" t="s">
        <v>122</v>
      </c>
      <c r="P3" s="45"/>
      <c r="Q3" s="47"/>
      <c r="R3" s="48"/>
    </row>
    <row r="4" spans="2:18" ht="15" thickTop="1" x14ac:dyDescent="0.35">
      <c r="B4" s="7"/>
      <c r="C4" s="17" t="s">
        <v>123</v>
      </c>
      <c r="D4" s="11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8">
        <v>1</v>
      </c>
      <c r="P4" s="22">
        <v>452</v>
      </c>
      <c r="Q4" s="23">
        <f>6449.001875*12</f>
        <v>77388.022499999992</v>
      </c>
      <c r="R4" s="6">
        <f>566*0.8</f>
        <v>452.8</v>
      </c>
    </row>
    <row r="5" spans="2:18" x14ac:dyDescent="0.35">
      <c r="C5" s="17" t="s">
        <v>55</v>
      </c>
      <c r="D5" s="10">
        <v>1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5">
        <v>0</v>
      </c>
      <c r="P5" s="22">
        <v>0</v>
      </c>
      <c r="Q5" s="24">
        <f>7659*2</f>
        <v>15318</v>
      </c>
    </row>
    <row r="6" spans="2:18" x14ac:dyDescent="0.35">
      <c r="C6" s="17" t="s">
        <v>56</v>
      </c>
      <c r="D6" s="10">
        <v>0</v>
      </c>
      <c r="E6" s="9">
        <v>0</v>
      </c>
      <c r="F6" s="9">
        <v>0</v>
      </c>
      <c r="G6" s="9">
        <v>1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5">
        <v>0</v>
      </c>
      <c r="P6" s="22">
        <v>182</v>
      </c>
      <c r="Q6" s="24">
        <f>8483*3</f>
        <v>25449</v>
      </c>
    </row>
    <row r="7" spans="2:18" x14ac:dyDescent="0.35">
      <c r="C7" s="17" t="s">
        <v>57</v>
      </c>
      <c r="D7" s="10">
        <v>0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15">
        <v>0</v>
      </c>
      <c r="P7" s="22">
        <v>114</v>
      </c>
      <c r="Q7" s="24">
        <f>6738*2</f>
        <v>13476</v>
      </c>
    </row>
    <row r="8" spans="2:18" x14ac:dyDescent="0.35">
      <c r="C8" s="17" t="s">
        <v>58</v>
      </c>
      <c r="D8" s="10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1</v>
      </c>
      <c r="M8" s="9">
        <v>0</v>
      </c>
      <c r="N8" s="9">
        <v>0</v>
      </c>
      <c r="O8" s="15">
        <v>0</v>
      </c>
      <c r="P8" s="22">
        <v>160</v>
      </c>
      <c r="Q8" s="24">
        <f>7944*2</f>
        <v>15888</v>
      </c>
    </row>
    <row r="9" spans="2:18" x14ac:dyDescent="0.35">
      <c r="C9" s="17" t="s">
        <v>59</v>
      </c>
      <c r="D9" s="10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1</v>
      </c>
      <c r="M9" s="9">
        <v>0</v>
      </c>
      <c r="N9" s="9">
        <v>0</v>
      </c>
      <c r="O9" s="15">
        <v>0</v>
      </c>
      <c r="P9" s="22">
        <v>0</v>
      </c>
      <c r="Q9" s="24">
        <f>9382*3</f>
        <v>28146</v>
      </c>
    </row>
    <row r="10" spans="2:18" ht="15" thickBot="1" x14ac:dyDescent="0.4">
      <c r="C10" s="27" t="s">
        <v>60</v>
      </c>
      <c r="D10" s="13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30">
        <v>1</v>
      </c>
      <c r="P10" s="25">
        <v>278</v>
      </c>
      <c r="Q10" s="26">
        <f>9181*3</f>
        <v>27543</v>
      </c>
    </row>
    <row r="11" spans="2:18" ht="15.5" thickTop="1" thickBot="1" x14ac:dyDescent="0.4">
      <c r="C11" s="29" t="s">
        <v>126</v>
      </c>
      <c r="D11" s="31">
        <f>SUMPRODUCT(D4:D10,$P$4:$P$10)</f>
        <v>452</v>
      </c>
      <c r="E11" s="32">
        <f t="shared" ref="E11:O11" si="0">SUMPRODUCT(E4:E10,$P$4:$P$10)</f>
        <v>566</v>
      </c>
      <c r="F11" s="32">
        <f t="shared" si="0"/>
        <v>566</v>
      </c>
      <c r="G11" s="32">
        <f t="shared" si="0"/>
        <v>634</v>
      </c>
      <c r="H11" s="32">
        <f t="shared" si="0"/>
        <v>634</v>
      </c>
      <c r="I11" s="32">
        <f t="shared" si="0"/>
        <v>634</v>
      </c>
      <c r="J11" s="32">
        <f t="shared" si="0"/>
        <v>452</v>
      </c>
      <c r="K11" s="32">
        <f t="shared" si="0"/>
        <v>612</v>
      </c>
      <c r="L11" s="32">
        <f t="shared" si="0"/>
        <v>612</v>
      </c>
      <c r="M11" s="32">
        <f t="shared" si="0"/>
        <v>730</v>
      </c>
      <c r="N11" s="32">
        <f t="shared" si="0"/>
        <v>730</v>
      </c>
      <c r="O11" s="33">
        <f t="shared" si="0"/>
        <v>730</v>
      </c>
      <c r="P11" s="3"/>
      <c r="Q11" s="8"/>
    </row>
    <row r="12" spans="2:18" ht="15.5" thickTop="1" thickBot="1" x14ac:dyDescent="0.4">
      <c r="C12" s="28" t="s">
        <v>127</v>
      </c>
      <c r="D12" s="34" cm="1">
        <f t="array" ref="D12:O12">_xlfn.TOROW(Data!B2:B13)</f>
        <v>300</v>
      </c>
      <c r="E12" s="35">
        <v>410</v>
      </c>
      <c r="F12" s="35">
        <v>566</v>
      </c>
      <c r="G12" s="35">
        <v>634</v>
      </c>
      <c r="H12" s="35">
        <v>556</v>
      </c>
      <c r="I12" s="35">
        <v>410</v>
      </c>
      <c r="J12" s="35">
        <v>342</v>
      </c>
      <c r="K12" s="35">
        <v>431</v>
      </c>
      <c r="L12" s="35">
        <v>612</v>
      </c>
      <c r="M12" s="35">
        <v>730</v>
      </c>
      <c r="N12" s="35">
        <v>682</v>
      </c>
      <c r="O12" s="36">
        <v>518</v>
      </c>
      <c r="Q12" s="29" t="s">
        <v>128</v>
      </c>
      <c r="R12" s="37">
        <f>SUMPRODUCT(P4:P10,Q4:Q10)</f>
        <v>51346402.169999994</v>
      </c>
    </row>
    <row r="13" spans="2:18" ht="15" thickTop="1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8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R14" s="50">
        <f>R12-Model!R12</f>
        <v>566349.43500000238</v>
      </c>
    </row>
    <row r="15" spans="2:18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mergeCells count="3">
    <mergeCell ref="P2:P3"/>
    <mergeCell ref="Q2:Q3"/>
    <mergeCell ref="R2:R3"/>
  </mergeCells>
  <conditionalFormatting sqref="D4:O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865-3B7A-4F5A-9D70-08DB2D557BEF}">
  <dimension ref="B1:R15"/>
  <sheetViews>
    <sheetView tabSelected="1" zoomScale="59" zoomScaleNormal="55" workbookViewId="0">
      <selection activeCell="P21" sqref="P21"/>
    </sheetView>
  </sheetViews>
  <sheetFormatPr defaultRowHeight="14.5" x14ac:dyDescent="0.35"/>
  <cols>
    <col min="3" max="3" width="20.36328125" bestFit="1" customWidth="1"/>
    <col min="4" max="11" width="9" customWidth="1"/>
    <col min="12" max="12" width="10" bestFit="1" customWidth="1"/>
    <col min="13" max="13" width="9" customWidth="1"/>
    <col min="14" max="14" width="9.36328125" bestFit="1" customWidth="1"/>
    <col min="15" max="15" width="9.453125" bestFit="1" customWidth="1"/>
    <col min="16" max="16" width="11.36328125" customWidth="1"/>
    <col min="17" max="17" width="14.81640625" bestFit="1" customWidth="1"/>
    <col min="18" max="18" width="16" bestFit="1" customWidth="1"/>
  </cols>
  <sheetData>
    <row r="1" spans="2:18" ht="15" thickBot="1" x14ac:dyDescent="0.4"/>
    <row r="2" spans="2:18" ht="15.5" thickTop="1" thickBot="1" x14ac:dyDescent="0.4">
      <c r="P2" s="44" t="s">
        <v>110</v>
      </c>
      <c r="Q2" s="46" t="s">
        <v>124</v>
      </c>
      <c r="R2" s="48"/>
    </row>
    <row r="3" spans="2:18" ht="15.5" thickTop="1" thickBot="1" x14ac:dyDescent="0.4">
      <c r="C3" s="16" t="s">
        <v>125</v>
      </c>
      <c r="D3" s="19" t="s">
        <v>111</v>
      </c>
      <c r="E3" s="20" t="s">
        <v>112</v>
      </c>
      <c r="F3" s="20" t="s">
        <v>113</v>
      </c>
      <c r="G3" s="20" t="s">
        <v>114</v>
      </c>
      <c r="H3" s="20" t="s">
        <v>115</v>
      </c>
      <c r="I3" s="20" t="s">
        <v>116</v>
      </c>
      <c r="J3" s="20" t="s">
        <v>117</v>
      </c>
      <c r="K3" s="20" t="s">
        <v>118</v>
      </c>
      <c r="L3" s="20" t="s">
        <v>119</v>
      </c>
      <c r="M3" s="20" t="s">
        <v>120</v>
      </c>
      <c r="N3" s="20" t="s">
        <v>121</v>
      </c>
      <c r="O3" s="21" t="s">
        <v>122</v>
      </c>
      <c r="P3" s="45"/>
      <c r="Q3" s="47"/>
      <c r="R3" s="48"/>
    </row>
    <row r="4" spans="2:18" ht="15" thickTop="1" x14ac:dyDescent="0.35">
      <c r="B4" s="7"/>
      <c r="C4" s="17" t="s">
        <v>123</v>
      </c>
      <c r="D4" s="11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8">
        <v>1</v>
      </c>
      <c r="P4" s="22">
        <v>566</v>
      </c>
      <c r="Q4" s="23">
        <f>6449.001875*12</f>
        <v>77388.022499999992</v>
      </c>
      <c r="R4" s="6"/>
    </row>
    <row r="5" spans="2:18" x14ac:dyDescent="0.35">
      <c r="C5" s="17" t="s">
        <v>55</v>
      </c>
      <c r="D5" s="10">
        <v>1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5">
        <v>0</v>
      </c>
      <c r="P5" s="22">
        <v>0</v>
      </c>
      <c r="Q5" s="24">
        <f>7659*2</f>
        <v>15318</v>
      </c>
    </row>
    <row r="6" spans="2:18" x14ac:dyDescent="0.35">
      <c r="C6" s="17" t="s">
        <v>56</v>
      </c>
      <c r="D6" s="10">
        <v>0</v>
      </c>
      <c r="E6" s="9">
        <v>0</v>
      </c>
      <c r="F6" s="9">
        <v>0</v>
      </c>
      <c r="G6" s="9">
        <v>1</v>
      </c>
      <c r="H6" s="9">
        <v>1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5">
        <v>0</v>
      </c>
      <c r="P6" s="22">
        <v>68</v>
      </c>
      <c r="Q6" s="24">
        <f>8483*3</f>
        <v>25449</v>
      </c>
    </row>
    <row r="7" spans="2:18" x14ac:dyDescent="0.35">
      <c r="C7" s="17" t="s">
        <v>57</v>
      </c>
      <c r="D7" s="10">
        <v>0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15">
        <v>0</v>
      </c>
      <c r="P7" s="22">
        <v>0</v>
      </c>
      <c r="Q7" s="24">
        <f>6738*2</f>
        <v>13476</v>
      </c>
    </row>
    <row r="8" spans="2:18" x14ac:dyDescent="0.35">
      <c r="C8" s="17" t="s">
        <v>58</v>
      </c>
      <c r="D8" s="10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1</v>
      </c>
      <c r="M8" s="9">
        <v>0</v>
      </c>
      <c r="N8" s="9">
        <v>0</v>
      </c>
      <c r="O8" s="15">
        <v>0</v>
      </c>
      <c r="P8" s="22">
        <v>46</v>
      </c>
      <c r="Q8" s="24">
        <f>7944*2</f>
        <v>15888</v>
      </c>
    </row>
    <row r="9" spans="2:18" x14ac:dyDescent="0.35">
      <c r="C9" s="17" t="s">
        <v>59</v>
      </c>
      <c r="D9" s="10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1</v>
      </c>
      <c r="M9" s="9">
        <v>0</v>
      </c>
      <c r="N9" s="9">
        <v>0</v>
      </c>
      <c r="O9" s="15">
        <v>0</v>
      </c>
      <c r="P9" s="22">
        <v>0</v>
      </c>
      <c r="Q9" s="24">
        <f>9382*3</f>
        <v>28146</v>
      </c>
    </row>
    <row r="10" spans="2:18" ht="15" thickBot="1" x14ac:dyDescent="0.4">
      <c r="C10" s="27" t="s">
        <v>60</v>
      </c>
      <c r="D10" s="13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30">
        <v>1</v>
      </c>
      <c r="P10" s="25">
        <v>164</v>
      </c>
      <c r="Q10" s="26">
        <f>9181*3</f>
        <v>27543</v>
      </c>
    </row>
    <row r="11" spans="2:18" ht="15.5" thickTop="1" thickBot="1" x14ac:dyDescent="0.4">
      <c r="C11" s="29" t="s">
        <v>126</v>
      </c>
      <c r="D11" s="31">
        <f>SUMPRODUCT(D4:D10,$P$4:$P$10)</f>
        <v>566</v>
      </c>
      <c r="E11" s="32">
        <f t="shared" ref="E11:O11" si="0">SUMPRODUCT(E4:E10,$P$4:$P$10)</f>
        <v>566</v>
      </c>
      <c r="F11" s="32">
        <f t="shared" si="0"/>
        <v>566</v>
      </c>
      <c r="G11" s="32">
        <f t="shared" si="0"/>
        <v>634</v>
      </c>
      <c r="H11" s="32">
        <f t="shared" si="0"/>
        <v>634</v>
      </c>
      <c r="I11" s="32">
        <f t="shared" si="0"/>
        <v>634</v>
      </c>
      <c r="J11" s="32">
        <f t="shared" si="0"/>
        <v>566</v>
      </c>
      <c r="K11" s="32">
        <f t="shared" si="0"/>
        <v>612</v>
      </c>
      <c r="L11" s="32">
        <f t="shared" si="0"/>
        <v>612</v>
      </c>
      <c r="M11" s="32">
        <f t="shared" si="0"/>
        <v>730</v>
      </c>
      <c r="N11" s="32">
        <f t="shared" si="0"/>
        <v>730</v>
      </c>
      <c r="O11" s="33">
        <f t="shared" si="0"/>
        <v>730</v>
      </c>
      <c r="P11" s="3"/>
      <c r="Q11" s="8"/>
    </row>
    <row r="12" spans="2:18" ht="15.5" thickTop="1" thickBot="1" x14ac:dyDescent="0.4">
      <c r="C12" s="28" t="s">
        <v>127</v>
      </c>
      <c r="D12" s="34" cm="1">
        <f t="array" ref="D12:O12">_xlfn.TOROW(Data!B2:B13)</f>
        <v>300</v>
      </c>
      <c r="E12" s="35">
        <v>410</v>
      </c>
      <c r="F12" s="35">
        <v>566</v>
      </c>
      <c r="G12" s="35">
        <v>634</v>
      </c>
      <c r="H12" s="35">
        <v>556</v>
      </c>
      <c r="I12" s="35">
        <v>410</v>
      </c>
      <c r="J12" s="35">
        <v>342</v>
      </c>
      <c r="K12" s="35">
        <v>431</v>
      </c>
      <c r="L12" s="35">
        <v>612</v>
      </c>
      <c r="M12" s="35">
        <v>730</v>
      </c>
      <c r="N12" s="35">
        <v>682</v>
      </c>
      <c r="O12" s="36">
        <v>518</v>
      </c>
      <c r="P12" s="49"/>
      <c r="Q12" s="29" t="s">
        <v>128</v>
      </c>
      <c r="R12" s="37">
        <f>SUMPRODUCT(P4:P10,Q4:Q10)</f>
        <v>50780052.734999992</v>
      </c>
    </row>
    <row r="13" spans="2:18" ht="15" thickTop="1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8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8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mergeCells count="3">
    <mergeCell ref="P2:P3"/>
    <mergeCell ref="Q2:Q3"/>
    <mergeCell ref="R2:R3"/>
  </mergeCells>
  <phoneticPr fontId="3" type="noConversion"/>
  <conditionalFormatting sqref="D4:O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C32A-CA6B-4446-9866-16732855E574}">
  <dimension ref="A1:R49"/>
  <sheetViews>
    <sheetView topLeftCell="I1" workbookViewId="0">
      <selection activeCell="N11" sqref="N11"/>
    </sheetView>
  </sheetViews>
  <sheetFormatPr defaultRowHeight="14.5" x14ac:dyDescent="0.35"/>
  <cols>
    <col min="1" max="1" width="6.26953125" style="1" bestFit="1" customWidth="1"/>
    <col min="2" max="2" width="10" style="1" bestFit="1" customWidth="1"/>
    <col min="3" max="3" width="10" style="1" customWidth="1"/>
    <col min="4" max="4" width="8.7265625" style="1"/>
    <col min="5" max="5" width="19.08984375" style="1" bestFit="1" customWidth="1"/>
    <col min="6" max="6" width="13.6328125" style="1" bestFit="1" customWidth="1"/>
    <col min="7" max="7" width="13.6328125" style="1" customWidth="1"/>
    <col min="8" max="10" width="8.7265625" style="1"/>
    <col min="11" max="11" width="20.36328125" style="1" bestFit="1" customWidth="1"/>
    <col min="12" max="12" width="24.90625" style="1" bestFit="1" customWidth="1"/>
    <col min="13" max="13" width="17.36328125" style="1" bestFit="1" customWidth="1"/>
    <col min="14" max="14" width="13.6328125" style="1" bestFit="1" customWidth="1"/>
    <col min="15" max="15" width="20.54296875" style="1" bestFit="1" customWidth="1"/>
    <col min="16" max="16" width="13.6328125" style="1" customWidth="1"/>
    <col min="17" max="18" width="13.1796875" bestFit="1" customWidth="1"/>
  </cols>
  <sheetData>
    <row r="1" spans="1:18" x14ac:dyDescent="0.35">
      <c r="A1" s="3" t="s">
        <v>0</v>
      </c>
      <c r="B1" s="3" t="s">
        <v>1</v>
      </c>
      <c r="C1" s="3"/>
      <c r="D1" s="3"/>
      <c r="E1" s="3" t="s">
        <v>2</v>
      </c>
      <c r="F1" s="3" t="s">
        <v>3</v>
      </c>
      <c r="J1" s="3"/>
      <c r="K1" s="3" t="s">
        <v>52</v>
      </c>
      <c r="L1" s="3" t="s">
        <v>53</v>
      </c>
      <c r="M1" s="3" t="s">
        <v>54</v>
      </c>
      <c r="N1" s="3" t="s">
        <v>3</v>
      </c>
      <c r="O1" s="3" t="s">
        <v>133</v>
      </c>
      <c r="P1" s="3"/>
      <c r="Q1" s="3" t="s">
        <v>132</v>
      </c>
      <c r="R1" s="3"/>
    </row>
    <row r="2" spans="1:18" x14ac:dyDescent="0.35">
      <c r="A2" s="1">
        <v>1</v>
      </c>
      <c r="B2" s="1">
        <v>300</v>
      </c>
      <c r="D2" s="5" t="s">
        <v>62</v>
      </c>
      <c r="E2" s="2" t="s">
        <v>4</v>
      </c>
      <c r="F2" s="1">
        <v>7379.92</v>
      </c>
      <c r="G2" s="3" t="s">
        <v>134</v>
      </c>
      <c r="H2" s="3" t="s">
        <v>132</v>
      </c>
      <c r="I2" s="3" t="s">
        <v>129</v>
      </c>
      <c r="K2" s="2" t="s">
        <v>55</v>
      </c>
      <c r="L2" s="1">
        <v>1</v>
      </c>
      <c r="M2" s="1">
        <v>2</v>
      </c>
      <c r="N2" s="1">
        <v>7659</v>
      </c>
      <c r="O2" s="1">
        <f>N2*M2</f>
        <v>15318</v>
      </c>
      <c r="P2" s="1" t="s">
        <v>61</v>
      </c>
      <c r="Q2">
        <f>AVERAGE(N2:N7)</f>
        <v>8231.1666666666661</v>
      </c>
    </row>
    <row r="3" spans="1:18" x14ac:dyDescent="0.35">
      <c r="A3" s="1">
        <v>2</v>
      </c>
      <c r="B3" s="1">
        <v>410</v>
      </c>
      <c r="D3" s="4" t="s">
        <v>63</v>
      </c>
      <c r="E3" s="2" t="s">
        <v>5</v>
      </c>
      <c r="F3" s="1">
        <v>7517.66</v>
      </c>
      <c r="G3" s="3" t="s">
        <v>61</v>
      </c>
      <c r="H3" s="1">
        <f>AVERAGE(F2:F49)</f>
        <v>6449.0018749999981</v>
      </c>
      <c r="I3" s="1">
        <f>H3*12</f>
        <v>77388.022499999977</v>
      </c>
      <c r="K3" s="2" t="s">
        <v>56</v>
      </c>
      <c r="L3" s="1">
        <v>4</v>
      </c>
      <c r="M3" s="1">
        <v>3</v>
      </c>
      <c r="N3" s="1">
        <v>8483</v>
      </c>
      <c r="O3" s="1">
        <f t="shared" ref="O3:O7" si="0">N3*M3</f>
        <v>25449</v>
      </c>
      <c r="P3" s="1" t="s">
        <v>130</v>
      </c>
      <c r="Q3">
        <f>MAX(N2:N7)</f>
        <v>9382</v>
      </c>
    </row>
    <row r="4" spans="1:18" x14ac:dyDescent="0.35">
      <c r="A4" s="1">
        <v>3</v>
      </c>
      <c r="B4" s="1">
        <v>566</v>
      </c>
      <c r="D4" s="4" t="s">
        <v>64</v>
      </c>
      <c r="E4" s="2" t="s">
        <v>6</v>
      </c>
      <c r="F4" s="1">
        <v>4850.68</v>
      </c>
      <c r="G4" s="3" t="s">
        <v>130</v>
      </c>
      <c r="H4" s="1">
        <f>MAX(F2:F49)</f>
        <v>8741.7099999999991</v>
      </c>
      <c r="I4" s="1">
        <f t="shared" ref="I4:I5" si="1">H4*12</f>
        <v>104900.51999999999</v>
      </c>
      <c r="K4" s="2" t="s">
        <v>57</v>
      </c>
      <c r="L4" s="1">
        <v>2</v>
      </c>
      <c r="M4" s="1">
        <v>2</v>
      </c>
      <c r="N4" s="1">
        <v>6738</v>
      </c>
      <c r="O4" s="1">
        <f t="shared" si="0"/>
        <v>13476</v>
      </c>
      <c r="P4" s="1" t="s">
        <v>131</v>
      </c>
      <c r="Q4">
        <f>MIN(N2:N7)</f>
        <v>6738</v>
      </c>
    </row>
    <row r="5" spans="1:18" x14ac:dyDescent="0.35">
      <c r="A5" s="1">
        <v>4</v>
      </c>
      <c r="B5" s="1">
        <v>634</v>
      </c>
      <c r="D5" s="4" t="s">
        <v>65</v>
      </c>
      <c r="E5" s="2" t="s">
        <v>7</v>
      </c>
      <c r="F5" s="1">
        <v>4706.76</v>
      </c>
      <c r="G5" s="3" t="s">
        <v>131</v>
      </c>
      <c r="H5" s="1">
        <f>MIN(F2:F49)</f>
        <v>4313.47</v>
      </c>
      <c r="I5" s="1">
        <f t="shared" si="1"/>
        <v>51761.64</v>
      </c>
      <c r="K5" s="2" t="s">
        <v>58</v>
      </c>
      <c r="L5" s="1">
        <v>8</v>
      </c>
      <c r="M5" s="1">
        <v>2</v>
      </c>
      <c r="N5" s="1">
        <v>7944</v>
      </c>
      <c r="O5" s="1">
        <f t="shared" si="0"/>
        <v>15888</v>
      </c>
    </row>
    <row r="6" spans="1:18" x14ac:dyDescent="0.35">
      <c r="A6" s="1">
        <v>5</v>
      </c>
      <c r="B6" s="1">
        <v>556</v>
      </c>
      <c r="D6" s="4" t="s">
        <v>66</v>
      </c>
      <c r="E6" s="2" t="s">
        <v>8</v>
      </c>
      <c r="F6" s="1">
        <v>4817.6400000000003</v>
      </c>
      <c r="K6" s="2" t="s">
        <v>59</v>
      </c>
      <c r="L6" s="1">
        <v>7</v>
      </c>
      <c r="M6" s="1">
        <v>3</v>
      </c>
      <c r="N6" s="1">
        <v>9382</v>
      </c>
      <c r="O6" s="1">
        <f t="shared" si="0"/>
        <v>28146</v>
      </c>
    </row>
    <row r="7" spans="1:18" x14ac:dyDescent="0.35">
      <c r="A7" s="1">
        <v>6</v>
      </c>
      <c r="B7" s="1">
        <v>410</v>
      </c>
      <c r="D7" s="4" t="s">
        <v>67</v>
      </c>
      <c r="E7" s="2" t="s">
        <v>9</v>
      </c>
      <c r="F7" s="1">
        <v>5780.47</v>
      </c>
      <c r="K7" s="2" t="s">
        <v>60</v>
      </c>
      <c r="L7" s="1">
        <v>10</v>
      </c>
      <c r="M7" s="1">
        <v>3</v>
      </c>
      <c r="N7" s="1">
        <v>9181</v>
      </c>
      <c r="O7" s="1">
        <f t="shared" si="0"/>
        <v>27543</v>
      </c>
    </row>
    <row r="8" spans="1:18" ht="15" thickBot="1" x14ac:dyDescent="0.4">
      <c r="A8" s="1">
        <v>7</v>
      </c>
      <c r="B8" s="1">
        <v>342</v>
      </c>
      <c r="D8" s="4" t="s">
        <v>68</v>
      </c>
      <c r="E8" s="2" t="s">
        <v>10</v>
      </c>
      <c r="F8" s="1">
        <v>4541.34</v>
      </c>
    </row>
    <row r="9" spans="1:18" ht="15.5" thickTop="1" thickBot="1" x14ac:dyDescent="0.4">
      <c r="A9" s="1">
        <v>8</v>
      </c>
      <c r="B9" s="1">
        <v>431</v>
      </c>
      <c r="D9" s="4" t="s">
        <v>69</v>
      </c>
      <c r="E9" s="2" t="s">
        <v>11</v>
      </c>
      <c r="F9" s="1">
        <v>8295.19</v>
      </c>
      <c r="O9" s="41" t="s">
        <v>135</v>
      </c>
      <c r="P9" s="42" t="s">
        <v>137</v>
      </c>
      <c r="Q9" s="42" t="s">
        <v>136</v>
      </c>
    </row>
    <row r="10" spans="1:18" ht="15.5" thickTop="1" thickBot="1" x14ac:dyDescent="0.4">
      <c r="A10" s="1">
        <v>9</v>
      </c>
      <c r="B10" s="1">
        <v>612</v>
      </c>
      <c r="D10" s="4" t="s">
        <v>70</v>
      </c>
      <c r="E10" s="2" t="s">
        <v>12</v>
      </c>
      <c r="F10" s="1">
        <v>5809.04</v>
      </c>
      <c r="O10" s="40" t="s">
        <v>55</v>
      </c>
      <c r="P10" s="38" t="s">
        <v>138</v>
      </c>
      <c r="Q10" s="1">
        <v>7659</v>
      </c>
    </row>
    <row r="11" spans="1:18" ht="15.5" thickTop="1" thickBot="1" x14ac:dyDescent="0.4">
      <c r="A11" s="1">
        <v>10</v>
      </c>
      <c r="B11" s="1">
        <v>730</v>
      </c>
      <c r="D11" s="4" t="s">
        <v>71</v>
      </c>
      <c r="E11" s="2" t="s">
        <v>13</v>
      </c>
      <c r="F11" s="1">
        <v>6168.35</v>
      </c>
      <c r="O11" s="39" t="s">
        <v>56</v>
      </c>
      <c r="P11" s="1" t="s">
        <v>141</v>
      </c>
      <c r="Q11" s="1">
        <v>8483</v>
      </c>
    </row>
    <row r="12" spans="1:18" ht="15.5" thickTop="1" thickBot="1" x14ac:dyDescent="0.4">
      <c r="A12" s="1">
        <v>11</v>
      </c>
      <c r="B12" s="1">
        <v>682</v>
      </c>
      <c r="D12" s="4" t="s">
        <v>72</v>
      </c>
      <c r="E12" s="2" t="s">
        <v>14</v>
      </c>
      <c r="F12" s="1">
        <v>6723.59</v>
      </c>
      <c r="O12" s="39" t="s">
        <v>57</v>
      </c>
      <c r="P12" s="1" t="s">
        <v>139</v>
      </c>
      <c r="Q12" s="1">
        <v>6738</v>
      </c>
    </row>
    <row r="13" spans="1:18" ht="15.5" thickTop="1" thickBot="1" x14ac:dyDescent="0.4">
      <c r="A13" s="1">
        <v>12</v>
      </c>
      <c r="B13" s="1">
        <v>518</v>
      </c>
      <c r="D13" s="4" t="s">
        <v>73</v>
      </c>
      <c r="E13" s="2" t="s">
        <v>15</v>
      </c>
      <c r="F13" s="1">
        <v>8391.06</v>
      </c>
      <c r="O13" s="39" t="s">
        <v>58</v>
      </c>
      <c r="P13" s="1" t="s">
        <v>140</v>
      </c>
      <c r="Q13" s="1">
        <v>7944</v>
      </c>
    </row>
    <row r="14" spans="1:18" ht="15.5" thickTop="1" thickBot="1" x14ac:dyDescent="0.4">
      <c r="D14" s="4" t="s">
        <v>74</v>
      </c>
      <c r="E14" s="2" t="s">
        <v>16</v>
      </c>
      <c r="F14" s="1">
        <v>4877.99</v>
      </c>
      <c r="O14" s="39" t="s">
        <v>59</v>
      </c>
      <c r="P14" s="1" t="s">
        <v>142</v>
      </c>
      <c r="Q14" s="1">
        <v>9382</v>
      </c>
    </row>
    <row r="15" spans="1:18" ht="15.5" thickTop="1" thickBot="1" x14ac:dyDescent="0.4">
      <c r="D15" s="4" t="s">
        <v>75</v>
      </c>
      <c r="E15" s="2" t="s">
        <v>17</v>
      </c>
      <c r="F15" s="1">
        <v>6685.17</v>
      </c>
      <c r="O15" s="39" t="s">
        <v>60</v>
      </c>
      <c r="P15" s="1" t="s">
        <v>143</v>
      </c>
      <c r="Q15" s="1">
        <v>9181</v>
      </c>
    </row>
    <row r="16" spans="1:18" ht="15" thickTop="1" x14ac:dyDescent="0.35">
      <c r="D16" s="4" t="s">
        <v>76</v>
      </c>
      <c r="E16" s="2" t="s">
        <v>18</v>
      </c>
      <c r="F16" s="1">
        <v>6070.9</v>
      </c>
    </row>
    <row r="17" spans="4:6" x14ac:dyDescent="0.35">
      <c r="D17" s="4" t="s">
        <v>77</v>
      </c>
      <c r="E17" s="2" t="s">
        <v>19</v>
      </c>
      <c r="F17" s="1">
        <v>5595.96</v>
      </c>
    </row>
    <row r="18" spans="4:6" x14ac:dyDescent="0.35">
      <c r="D18" s="4" t="s">
        <v>78</v>
      </c>
      <c r="E18" s="2" t="s">
        <v>20</v>
      </c>
      <c r="F18" s="1">
        <v>5971.72</v>
      </c>
    </row>
    <row r="19" spans="4:6" x14ac:dyDescent="0.35">
      <c r="D19" s="4" t="s">
        <v>79</v>
      </c>
      <c r="E19" s="2" t="s">
        <v>21</v>
      </c>
      <c r="F19" s="1">
        <v>8253.42</v>
      </c>
    </row>
    <row r="20" spans="4:6" x14ac:dyDescent="0.35">
      <c r="D20" s="4" t="s">
        <v>80</v>
      </c>
      <c r="E20" s="2" t="s">
        <v>22</v>
      </c>
      <c r="F20" s="1">
        <v>6175.18</v>
      </c>
    </row>
    <row r="21" spans="4:6" x14ac:dyDescent="0.35">
      <c r="D21" s="4" t="s">
        <v>81</v>
      </c>
      <c r="E21" s="2" t="s">
        <v>23</v>
      </c>
      <c r="F21" s="1">
        <v>6132.2</v>
      </c>
    </row>
    <row r="22" spans="4:6" x14ac:dyDescent="0.35">
      <c r="D22" s="4" t="s">
        <v>82</v>
      </c>
      <c r="E22" s="2" t="s">
        <v>24</v>
      </c>
      <c r="F22" s="1">
        <v>8203.75</v>
      </c>
    </row>
    <row r="23" spans="4:6" x14ac:dyDescent="0.35">
      <c r="D23" s="4" t="s">
        <v>83</v>
      </c>
      <c r="E23" s="2" t="s">
        <v>25</v>
      </c>
      <c r="F23" s="1">
        <v>4313.47</v>
      </c>
    </row>
    <row r="24" spans="4:6" x14ac:dyDescent="0.35">
      <c r="D24" s="4" t="s">
        <v>84</v>
      </c>
      <c r="E24" s="2" t="s">
        <v>26</v>
      </c>
      <c r="F24" s="1">
        <v>5698.61</v>
      </c>
    </row>
    <row r="25" spans="4:6" x14ac:dyDescent="0.35">
      <c r="D25" s="4" t="s">
        <v>85</v>
      </c>
      <c r="E25" s="2" t="s">
        <v>27</v>
      </c>
      <c r="F25" s="1">
        <v>6691.74</v>
      </c>
    </row>
    <row r="26" spans="4:6" x14ac:dyDescent="0.35">
      <c r="D26" s="4" t="s">
        <v>86</v>
      </c>
      <c r="E26" s="2" t="s">
        <v>28</v>
      </c>
      <c r="F26" s="1">
        <v>8553.73</v>
      </c>
    </row>
    <row r="27" spans="4:6" x14ac:dyDescent="0.35">
      <c r="D27" s="4" t="s">
        <v>87</v>
      </c>
      <c r="E27" s="2" t="s">
        <v>29</v>
      </c>
      <c r="F27" s="1">
        <v>6950.37</v>
      </c>
    </row>
    <row r="28" spans="4:6" x14ac:dyDescent="0.35">
      <c r="D28" s="4" t="s">
        <v>88</v>
      </c>
      <c r="E28" s="2" t="s">
        <v>30</v>
      </c>
      <c r="F28" s="1">
        <v>7089.6</v>
      </c>
    </row>
    <row r="29" spans="4:6" x14ac:dyDescent="0.35">
      <c r="D29" s="4" t="s">
        <v>89</v>
      </c>
      <c r="E29" s="2" t="s">
        <v>31</v>
      </c>
      <c r="F29" s="1">
        <v>6467.9</v>
      </c>
    </row>
    <row r="30" spans="4:6" x14ac:dyDescent="0.35">
      <c r="D30" s="4" t="s">
        <v>90</v>
      </c>
      <c r="E30" s="2" t="s">
        <v>32</v>
      </c>
      <c r="F30" s="1">
        <v>5105.13</v>
      </c>
    </row>
    <row r="31" spans="4:6" x14ac:dyDescent="0.35">
      <c r="D31" s="4" t="s">
        <v>91</v>
      </c>
      <c r="E31" s="2" t="s">
        <v>33</v>
      </c>
      <c r="F31" s="1">
        <v>5524.02</v>
      </c>
    </row>
    <row r="32" spans="4:6" x14ac:dyDescent="0.35">
      <c r="D32" s="4" t="s">
        <v>92</v>
      </c>
      <c r="E32" s="2" t="s">
        <v>34</v>
      </c>
      <c r="F32" s="1">
        <v>6591.22</v>
      </c>
    </row>
    <row r="33" spans="4:6" x14ac:dyDescent="0.35">
      <c r="D33" s="4" t="s">
        <v>93</v>
      </c>
      <c r="E33" s="2" t="s">
        <v>35</v>
      </c>
      <c r="F33" s="1">
        <v>6689.75</v>
      </c>
    </row>
    <row r="34" spans="4:6" x14ac:dyDescent="0.35">
      <c r="D34" s="4" t="s">
        <v>94</v>
      </c>
      <c r="E34" s="2" t="s">
        <v>36</v>
      </c>
      <c r="F34" s="1">
        <v>5219.3100000000004</v>
      </c>
    </row>
    <row r="35" spans="4:6" x14ac:dyDescent="0.35">
      <c r="D35" s="4" t="s">
        <v>95</v>
      </c>
      <c r="E35" s="2" t="s">
        <v>37</v>
      </c>
      <c r="F35" s="1">
        <v>8741.7099999999991</v>
      </c>
    </row>
    <row r="36" spans="4:6" x14ac:dyDescent="0.35">
      <c r="D36" s="4" t="s">
        <v>96</v>
      </c>
      <c r="E36" s="2" t="s">
        <v>38</v>
      </c>
      <c r="F36" s="1">
        <v>5768.51</v>
      </c>
    </row>
    <row r="37" spans="4:6" x14ac:dyDescent="0.35">
      <c r="D37" s="4" t="s">
        <v>97</v>
      </c>
      <c r="E37" s="2" t="s">
        <v>39</v>
      </c>
      <c r="F37" s="1">
        <v>7811.07</v>
      </c>
    </row>
    <row r="38" spans="4:6" x14ac:dyDescent="0.35">
      <c r="D38" s="4" t="s">
        <v>98</v>
      </c>
      <c r="E38" s="2" t="s">
        <v>40</v>
      </c>
      <c r="F38" s="1">
        <v>5415.74</v>
      </c>
    </row>
    <row r="39" spans="4:6" x14ac:dyDescent="0.35">
      <c r="D39" s="4" t="s">
        <v>99</v>
      </c>
      <c r="E39" s="2" t="s">
        <v>41</v>
      </c>
      <c r="F39" s="1">
        <v>7673.64</v>
      </c>
    </row>
    <row r="40" spans="4:6" x14ac:dyDescent="0.35">
      <c r="D40" s="4" t="s">
        <v>100</v>
      </c>
      <c r="E40" s="2" t="s">
        <v>42</v>
      </c>
      <c r="F40" s="1">
        <v>8155.04</v>
      </c>
    </row>
    <row r="41" spans="4:6" x14ac:dyDescent="0.35">
      <c r="D41" s="4" t="s">
        <v>101</v>
      </c>
      <c r="E41" s="2" t="s">
        <v>43</v>
      </c>
      <c r="F41" s="1">
        <v>6223.15</v>
      </c>
    </row>
    <row r="42" spans="4:6" x14ac:dyDescent="0.35">
      <c r="D42" s="4" t="s">
        <v>102</v>
      </c>
      <c r="E42" s="2" t="s">
        <v>44</v>
      </c>
      <c r="F42" s="1">
        <v>6324.32</v>
      </c>
    </row>
    <row r="43" spans="4:6" x14ac:dyDescent="0.35">
      <c r="D43" s="4" t="s">
        <v>103</v>
      </c>
      <c r="E43" s="2" t="s">
        <v>45</v>
      </c>
      <c r="F43" s="1">
        <v>6236.7</v>
      </c>
    </row>
    <row r="44" spans="4:6" x14ac:dyDescent="0.35">
      <c r="D44" s="4" t="s">
        <v>104</v>
      </c>
      <c r="E44" s="2" t="s">
        <v>46</v>
      </c>
      <c r="F44" s="1">
        <v>5399.66</v>
      </c>
    </row>
    <row r="45" spans="4:6" x14ac:dyDescent="0.35">
      <c r="D45" s="4" t="s">
        <v>105</v>
      </c>
      <c r="E45" s="2" t="s">
        <v>47</v>
      </c>
      <c r="F45" s="1">
        <v>8247.35</v>
      </c>
    </row>
    <row r="46" spans="4:6" x14ac:dyDescent="0.35">
      <c r="D46" s="4" t="s">
        <v>106</v>
      </c>
      <c r="E46" s="2" t="s">
        <v>48</v>
      </c>
      <c r="F46" s="1">
        <v>5858.3</v>
      </c>
    </row>
    <row r="47" spans="4:6" x14ac:dyDescent="0.35">
      <c r="D47" s="4" t="s">
        <v>107</v>
      </c>
      <c r="E47" s="2" t="s">
        <v>49</v>
      </c>
      <c r="F47" s="1">
        <v>5025.8100000000004</v>
      </c>
    </row>
    <row r="48" spans="4:6" x14ac:dyDescent="0.35">
      <c r="D48" s="4" t="s">
        <v>108</v>
      </c>
      <c r="E48" s="2" t="s">
        <v>50</v>
      </c>
      <c r="F48" s="1">
        <v>8174.17</v>
      </c>
    </row>
    <row r="49" spans="4:6" x14ac:dyDescent="0.35">
      <c r="D49" s="4" t="s">
        <v>109</v>
      </c>
      <c r="E49" s="2" t="s">
        <v>51</v>
      </c>
      <c r="F49" s="1">
        <v>6654.08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Stipulation 2</vt:lpstr>
      <vt:lpstr>Model Stipulation</vt:lpstr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Medina</dc:creator>
  <cp:lastModifiedBy>Emil Medina</cp:lastModifiedBy>
  <dcterms:created xsi:type="dcterms:W3CDTF">2025-04-02T22:19:44Z</dcterms:created>
  <dcterms:modified xsi:type="dcterms:W3CDTF">2025-04-04T13:43:01Z</dcterms:modified>
</cp:coreProperties>
</file>