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yantu-my.sharepoint.com/personal/emedina3_bryant_edu/Documents/Desktop/GSCM 330/Module09 - Fixed-Charge Problem/"/>
    </mc:Choice>
  </mc:AlternateContent>
  <xr:revisionPtr revIDLastSave="0" documentId="8_{30EF4C5E-45FA-4F27-A968-9C7F23258DF6}" xr6:coauthVersionLast="47" xr6:coauthVersionMax="47" xr10:uidLastSave="{00000000-0000-0000-0000-000000000000}"/>
  <bookViews>
    <workbookView xWindow="-110" yWindow="-110" windowWidth="19420" windowHeight="10300" xr2:uid="{FB928A06-F9A5-4C0E-A877-71B598AA91CE}"/>
  </bookViews>
  <sheets>
    <sheet name="Caramelo Fixed-Charge" sheetId="2" r:id="rId1"/>
    <sheet name="Model Stipulation 1" sheetId="3" r:id="rId2"/>
    <sheet name="Model Stipualtion 2" sheetId="4" r:id="rId3"/>
    <sheet name="Data" sheetId="1" r:id="rId4"/>
  </sheets>
  <definedNames>
    <definedName name="solver_adj" localSheetId="0" hidden="1">'Caramelo Fixed-Charge'!$N$11:$S$14,'Caramelo Fixed-Charge'!$M$22:$P$22</definedName>
    <definedName name="solver_adj" localSheetId="2" hidden="1">'Model Stipualtion 2'!$N$11:$S$14,'Model Stipualtion 2'!$M$22:$P$22</definedName>
    <definedName name="solver_adj" localSheetId="1" hidden="1">'Model Stipulation 1'!$N$11:$S$14,'Model Stipulation 1'!$M$22:$P$22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drv" localSheetId="0" hidden="1">1</definedName>
    <definedName name="solver_drv" localSheetId="2" hidden="1">1</definedName>
    <definedName name="solver_drv" localSheetId="1" hidden="1">1</definedName>
    <definedName name="solver_eng" localSheetId="0" hidden="1">2</definedName>
    <definedName name="solver_eng" localSheetId="2" hidden="1">2</definedName>
    <definedName name="solver_eng" localSheetId="1" hidden="1">2</definedName>
    <definedName name="solver_est" localSheetId="0" hidden="1">1</definedName>
    <definedName name="solver_est" localSheetId="2" hidden="1">1</definedName>
    <definedName name="solver_est" localSheetId="1" hidden="1">1</definedName>
    <definedName name="solver_itr" localSheetId="0" hidden="1">2147483647</definedName>
    <definedName name="solver_itr" localSheetId="2" hidden="1">2147483647</definedName>
    <definedName name="solver_itr" localSheetId="1" hidden="1">2147483647</definedName>
    <definedName name="solver_lhs1" localSheetId="0" hidden="1">'Caramelo Fixed-Charge'!$M$22:$P$22</definedName>
    <definedName name="solver_lhs1" localSheetId="2" hidden="1">'Model Stipualtion 2'!$M$22:$P$22</definedName>
    <definedName name="solver_lhs1" localSheetId="1" hidden="1">'Model Stipulation 1'!$M$22:$P$22</definedName>
    <definedName name="solver_lhs2" localSheetId="0" hidden="1">'Caramelo Fixed-Charge'!$M$23:$P$23</definedName>
    <definedName name="solver_lhs2" localSheetId="2" hidden="1">'Model Stipualtion 2'!$M$23:$P$23</definedName>
    <definedName name="solver_lhs2" localSheetId="1" hidden="1">'Model Stipulation 1'!$M$23:$P$23</definedName>
    <definedName name="solver_lhs3" localSheetId="0" hidden="1">'Caramelo Fixed-Charge'!$N$11:$S$14</definedName>
    <definedName name="solver_lhs3" localSheetId="2" hidden="1">'Model Stipualtion 2'!$N$11:$S$14</definedName>
    <definedName name="solver_lhs3" localSheetId="1" hidden="1">'Model Stipulation 1'!$N$11:$S$14</definedName>
    <definedName name="solver_lhs4" localSheetId="0" hidden="1">'Caramelo Fixed-Charge'!$N$11:$S$14</definedName>
    <definedName name="solver_lhs4" localSheetId="2" hidden="1">'Model Stipualtion 2'!$N$11:$S$14</definedName>
    <definedName name="solver_lhs4" localSheetId="1" hidden="1">'Model Stipulation 1'!$N$11:$S$14</definedName>
    <definedName name="solver_lhs5" localSheetId="0" hidden="1">'Caramelo Fixed-Charge'!$N$15:$S$15</definedName>
    <definedName name="solver_lhs5" localSheetId="2" hidden="1">'Model Stipualtion 2'!$N$15:$S$15</definedName>
    <definedName name="solver_lhs5" localSheetId="1" hidden="1">'Model Stipulation 1'!$N$15:$S$15</definedName>
    <definedName name="solver_lhs6" localSheetId="0" hidden="1">'Caramelo Fixed-Charge'!$Q$22</definedName>
    <definedName name="solver_lhs6" localSheetId="2" hidden="1">'Model Stipualtion 2'!$Q$22</definedName>
    <definedName name="solver_lhs6" localSheetId="1" hidden="1">'Model Stipulation 1'!$Q$22</definedName>
    <definedName name="solver_lhs7" localSheetId="0" hidden="1">'Caramelo Fixed-Charge'!$Q$22</definedName>
    <definedName name="solver_lhs7" localSheetId="2" hidden="1">'Model Stipualtion 2'!$Q$22</definedName>
    <definedName name="solver_lhs7" localSheetId="1" hidden="1">'Model Stipulation 1'!$Q$22</definedName>
    <definedName name="solver_mip" localSheetId="0" hidden="1">2147483647</definedName>
    <definedName name="solver_mip" localSheetId="2" hidden="1">2147483647</definedName>
    <definedName name="solver_mip" localSheetId="1" hidden="1">2147483647</definedName>
    <definedName name="solver_mni" localSheetId="0" hidden="1">30</definedName>
    <definedName name="solver_mni" localSheetId="2" hidden="1">30</definedName>
    <definedName name="solver_mni" localSheetId="1" hidden="1">30</definedName>
    <definedName name="solver_mrt" localSheetId="0" hidden="1">0.075</definedName>
    <definedName name="solver_mrt" localSheetId="2" hidden="1">0.075</definedName>
    <definedName name="solver_mrt" localSheetId="1" hidden="1">0.075</definedName>
    <definedName name="solver_msl" localSheetId="0" hidden="1">2</definedName>
    <definedName name="solver_msl" localSheetId="2" hidden="1">2</definedName>
    <definedName name="solver_msl" localSheetId="1" hidden="1">2</definedName>
    <definedName name="solver_neg" localSheetId="0" hidden="1">1</definedName>
    <definedName name="solver_neg" localSheetId="2" hidden="1">1</definedName>
    <definedName name="solver_neg" localSheetId="1" hidden="1">1</definedName>
    <definedName name="solver_nod" localSheetId="0" hidden="1">2147483647</definedName>
    <definedName name="solver_nod" localSheetId="2" hidden="1">2147483647</definedName>
    <definedName name="solver_nod" localSheetId="1" hidden="1">2147483647</definedName>
    <definedName name="solver_num" localSheetId="0" hidden="1">6</definedName>
    <definedName name="solver_num" localSheetId="2" hidden="1">6</definedName>
    <definedName name="solver_num" localSheetId="1" hidden="1">6</definedName>
    <definedName name="solver_nwt" localSheetId="0" hidden="1">1</definedName>
    <definedName name="solver_nwt" localSheetId="2" hidden="1">1</definedName>
    <definedName name="solver_nwt" localSheetId="1" hidden="1">1</definedName>
    <definedName name="solver_opt" localSheetId="0" hidden="1">'Caramelo Fixed-Charge'!$V$5</definedName>
    <definedName name="solver_opt" localSheetId="2" hidden="1">'Model Stipualtion 2'!$V$5</definedName>
    <definedName name="solver_opt" localSheetId="1" hidden="1">'Model Stipulation 1'!$V$5</definedName>
    <definedName name="solver_pre" localSheetId="0" hidden="1">0.000001</definedName>
    <definedName name="solver_pre" localSheetId="2" hidden="1">0.000001</definedName>
    <definedName name="solver_pre" localSheetId="1" hidden="1">0.000001</definedName>
    <definedName name="solver_rbv" localSheetId="0" hidden="1">1</definedName>
    <definedName name="solver_rbv" localSheetId="2" hidden="1">1</definedName>
    <definedName name="solver_rbv" localSheetId="1" hidden="1">1</definedName>
    <definedName name="solver_rel1" localSheetId="0" hidden="1">5</definedName>
    <definedName name="solver_rel1" localSheetId="2" hidden="1">5</definedName>
    <definedName name="solver_rel1" localSheetId="1" hidden="1">5</definedName>
    <definedName name="solver_rel2" localSheetId="0" hidden="1">1</definedName>
    <definedName name="solver_rel2" localSheetId="2" hidden="1">1</definedName>
    <definedName name="solver_rel2" localSheetId="1" hidden="1">1</definedName>
    <definedName name="solver_rel3" localSheetId="0" hidden="1">4</definedName>
    <definedName name="solver_rel3" localSheetId="2" hidden="1">4</definedName>
    <definedName name="solver_rel3" localSheetId="1" hidden="1">4</definedName>
    <definedName name="solver_rel4" localSheetId="0" hidden="1">3</definedName>
    <definedName name="solver_rel4" localSheetId="2" hidden="1">3</definedName>
    <definedName name="solver_rel4" localSheetId="1" hidden="1">3</definedName>
    <definedName name="solver_rel5" localSheetId="0" hidden="1">2</definedName>
    <definedName name="solver_rel5" localSheetId="2" hidden="1">2</definedName>
    <definedName name="solver_rel5" localSheetId="1" hidden="1">2</definedName>
    <definedName name="solver_rel6" localSheetId="0" hidden="1">1</definedName>
    <definedName name="solver_rel6" localSheetId="2" hidden="1">1</definedName>
    <definedName name="solver_rel6" localSheetId="1" hidden="1">1</definedName>
    <definedName name="solver_rel7" localSheetId="0" hidden="1">3</definedName>
    <definedName name="solver_rel7" localSheetId="2" hidden="1">3</definedName>
    <definedName name="solver_rel7" localSheetId="1" hidden="1">3</definedName>
    <definedName name="solver_rhs1" localSheetId="0" hidden="1">"binary"</definedName>
    <definedName name="solver_rhs1" localSheetId="2" hidden="1">"binary"</definedName>
    <definedName name="solver_rhs1" localSheetId="1" hidden="1">"binary"</definedName>
    <definedName name="solver_rhs2" localSheetId="0" hidden="1">0</definedName>
    <definedName name="solver_rhs2" localSheetId="2" hidden="1">0</definedName>
    <definedName name="solver_rhs2" localSheetId="1" hidden="1">0</definedName>
    <definedName name="solver_rhs3" localSheetId="0" hidden="1">"integer"</definedName>
    <definedName name="solver_rhs3" localSheetId="2" hidden="1">"integer"</definedName>
    <definedName name="solver_rhs3" localSheetId="1" hidden="1">"integer"</definedName>
    <definedName name="solver_rhs4" localSheetId="0" hidden="1">0</definedName>
    <definedName name="solver_rhs4" localSheetId="2" hidden="1">0</definedName>
    <definedName name="solver_rhs4" localSheetId="1" hidden="1">0</definedName>
    <definedName name="solver_rhs5" localSheetId="0" hidden="1">'Caramelo Fixed-Charge'!$N$16:$S$16</definedName>
    <definedName name="solver_rhs5" localSheetId="2" hidden="1">'Model Stipualtion 2'!$N$16:$S$16</definedName>
    <definedName name="solver_rhs5" localSheetId="1" hidden="1">'Model Stipulation 1'!$N$16:$S$16</definedName>
    <definedName name="solver_rhs6" localSheetId="0" hidden="1">2</definedName>
    <definedName name="solver_rhs6" localSheetId="2" hidden="1">2</definedName>
    <definedName name="solver_rhs6" localSheetId="1" hidden="1">1</definedName>
    <definedName name="solver_rhs7" localSheetId="0" hidden="1">0</definedName>
    <definedName name="solver_rhs7" localSheetId="2" hidden="1">0</definedName>
    <definedName name="solver_rhs7" localSheetId="1" hidden="1">0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rsd" localSheetId="0" hidden="1">0</definedName>
    <definedName name="solver_rsd" localSheetId="2" hidden="1">0</definedName>
    <definedName name="solver_rsd" localSheetId="1" hidden="1">0</definedName>
    <definedName name="solver_scl" localSheetId="0" hidden="1">1</definedName>
    <definedName name="solver_scl" localSheetId="2" hidden="1">1</definedName>
    <definedName name="solver_scl" localSheetId="1" hidden="1">1</definedName>
    <definedName name="solver_sho" localSheetId="0" hidden="1">2</definedName>
    <definedName name="solver_sho" localSheetId="2" hidden="1">2</definedName>
    <definedName name="solver_sho" localSheetId="1" hidden="1">2</definedName>
    <definedName name="solver_ssz" localSheetId="0" hidden="1">100</definedName>
    <definedName name="solver_ssz" localSheetId="2" hidden="1">100</definedName>
    <definedName name="solver_ssz" localSheetId="1" hidden="1">100</definedName>
    <definedName name="solver_tim" localSheetId="0" hidden="1">2147483647</definedName>
    <definedName name="solver_tim" localSheetId="2" hidden="1">2147483647</definedName>
    <definedName name="solver_tim" localSheetId="1" hidden="1">2147483647</definedName>
    <definedName name="solver_tol" localSheetId="0" hidden="1">0</definedName>
    <definedName name="solver_tol" localSheetId="2" hidden="1">0</definedName>
    <definedName name="solver_tol" localSheetId="1" hidden="1">0</definedName>
    <definedName name="solver_typ" localSheetId="0" hidden="1">2</definedName>
    <definedName name="solver_typ" localSheetId="2" hidden="1">2</definedName>
    <definedName name="solver_typ" localSheetId="1" hidden="1">2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er" localSheetId="0" hidden="1">3</definedName>
    <definedName name="solver_ver" localSheetId="2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2" i="2" l="1"/>
  <c r="U13" i="2"/>
  <c r="U14" i="2"/>
  <c r="U11" i="2"/>
  <c r="V6" i="3"/>
  <c r="V5" i="3"/>
  <c r="V5" i="4"/>
  <c r="M23" i="3"/>
  <c r="T15" i="3"/>
  <c r="I27" i="4"/>
  <c r="H27" i="4"/>
  <c r="G27" i="4"/>
  <c r="F27" i="4"/>
  <c r="E27" i="4"/>
  <c r="B27" i="4"/>
  <c r="I26" i="4"/>
  <c r="H26" i="4"/>
  <c r="G26" i="4"/>
  <c r="F26" i="4"/>
  <c r="J26" i="4" s="1"/>
  <c r="E26" i="4"/>
  <c r="B26" i="4"/>
  <c r="I25" i="4"/>
  <c r="H25" i="4"/>
  <c r="G25" i="4"/>
  <c r="F25" i="4"/>
  <c r="E25" i="4"/>
  <c r="B25" i="4"/>
  <c r="I24" i="4"/>
  <c r="H24" i="4"/>
  <c r="G24" i="4"/>
  <c r="F24" i="4"/>
  <c r="E24" i="4"/>
  <c r="B24" i="4"/>
  <c r="I23" i="4"/>
  <c r="H23" i="4"/>
  <c r="G23" i="4"/>
  <c r="F23" i="4"/>
  <c r="E23" i="4"/>
  <c r="B23" i="4"/>
  <c r="Q22" i="4"/>
  <c r="I22" i="4"/>
  <c r="H22" i="4"/>
  <c r="G22" i="4"/>
  <c r="F22" i="4"/>
  <c r="J22" i="4" s="1"/>
  <c r="E22" i="4"/>
  <c r="B22" i="4"/>
  <c r="I21" i="4"/>
  <c r="H21" i="4"/>
  <c r="G21" i="4"/>
  <c r="F21" i="4"/>
  <c r="E21" i="4"/>
  <c r="B21" i="4"/>
  <c r="I20" i="4"/>
  <c r="H20" i="4"/>
  <c r="G20" i="4"/>
  <c r="F20" i="4"/>
  <c r="E20" i="4"/>
  <c r="B20" i="4"/>
  <c r="M19" i="4" a="1"/>
  <c r="N20" i="4" s="1"/>
  <c r="I19" i="4"/>
  <c r="H19" i="4"/>
  <c r="G19" i="4"/>
  <c r="F19" i="4"/>
  <c r="E19" i="4"/>
  <c r="B19" i="4"/>
  <c r="I18" i="4"/>
  <c r="H18" i="4"/>
  <c r="G18" i="4"/>
  <c r="F18" i="4"/>
  <c r="J18" i="4" s="1"/>
  <c r="E18" i="4"/>
  <c r="B18" i="4"/>
  <c r="I17" i="4"/>
  <c r="H17" i="4"/>
  <c r="G17" i="4"/>
  <c r="F17" i="4"/>
  <c r="E17" i="4"/>
  <c r="B17" i="4"/>
  <c r="N16" i="4" a="1"/>
  <c r="N16" i="4" s="1"/>
  <c r="I16" i="4"/>
  <c r="H16" i="4"/>
  <c r="G16" i="4"/>
  <c r="F16" i="4"/>
  <c r="E16" i="4"/>
  <c r="B16" i="4"/>
  <c r="S15" i="4"/>
  <c r="R15" i="4"/>
  <c r="Q15" i="4"/>
  <c r="P15" i="4"/>
  <c r="O15" i="4"/>
  <c r="N15" i="4"/>
  <c r="I15" i="4"/>
  <c r="H15" i="4"/>
  <c r="G15" i="4"/>
  <c r="F15" i="4"/>
  <c r="E15" i="4"/>
  <c r="B15" i="4"/>
  <c r="T14" i="4"/>
  <c r="P23" i="4" s="1"/>
  <c r="I14" i="4"/>
  <c r="H14" i="4"/>
  <c r="G14" i="4"/>
  <c r="F14" i="4"/>
  <c r="J14" i="4" s="1"/>
  <c r="E14" i="4"/>
  <c r="B14" i="4"/>
  <c r="T13" i="4"/>
  <c r="O23" i="4" s="1"/>
  <c r="I13" i="4"/>
  <c r="H13" i="4"/>
  <c r="G13" i="4"/>
  <c r="F13" i="4"/>
  <c r="J13" i="4" s="1"/>
  <c r="E13" i="4"/>
  <c r="B13" i="4"/>
  <c r="T12" i="4"/>
  <c r="N23" i="4" s="1"/>
  <c r="I12" i="4"/>
  <c r="H12" i="4"/>
  <c r="G12" i="4"/>
  <c r="F12" i="4"/>
  <c r="J12" i="4" s="1"/>
  <c r="E12" i="4"/>
  <c r="B12" i="4"/>
  <c r="T11" i="4"/>
  <c r="M23" i="4" s="1"/>
  <c r="I11" i="4"/>
  <c r="H11" i="4"/>
  <c r="G11" i="4"/>
  <c r="F11" i="4"/>
  <c r="E11" i="4"/>
  <c r="B11" i="4"/>
  <c r="I10" i="4"/>
  <c r="H10" i="4"/>
  <c r="G10" i="4"/>
  <c r="F10" i="4"/>
  <c r="E10" i="4"/>
  <c r="B10" i="4"/>
  <c r="I9" i="4"/>
  <c r="H9" i="4"/>
  <c r="G9" i="4"/>
  <c r="F9" i="4"/>
  <c r="E9" i="4"/>
  <c r="B9" i="4"/>
  <c r="I8" i="4"/>
  <c r="H8" i="4"/>
  <c r="G8" i="4"/>
  <c r="F8" i="4"/>
  <c r="E8" i="4"/>
  <c r="B8" i="4"/>
  <c r="I7" i="4"/>
  <c r="H7" i="4"/>
  <c r="G7" i="4"/>
  <c r="F7" i="4"/>
  <c r="E7" i="4"/>
  <c r="B7" i="4"/>
  <c r="I6" i="4"/>
  <c r="H6" i="4"/>
  <c r="G6" i="4"/>
  <c r="F6" i="4"/>
  <c r="E6" i="4"/>
  <c r="B6" i="4"/>
  <c r="I5" i="4"/>
  <c r="H5" i="4"/>
  <c r="G5" i="4"/>
  <c r="F5" i="4"/>
  <c r="E5" i="4"/>
  <c r="B5" i="4"/>
  <c r="I4" i="4"/>
  <c r="H4" i="4"/>
  <c r="G4" i="4"/>
  <c r="F4" i="4"/>
  <c r="E4" i="4"/>
  <c r="B4" i="4"/>
  <c r="I27" i="3"/>
  <c r="H27" i="3"/>
  <c r="G27" i="3"/>
  <c r="F27" i="3"/>
  <c r="J27" i="3" s="1"/>
  <c r="E27" i="3"/>
  <c r="B27" i="3"/>
  <c r="I26" i="3"/>
  <c r="H26" i="3"/>
  <c r="G26" i="3"/>
  <c r="F26" i="3"/>
  <c r="J26" i="3" s="1"/>
  <c r="E26" i="3"/>
  <c r="B26" i="3"/>
  <c r="I25" i="3"/>
  <c r="H25" i="3"/>
  <c r="G25" i="3"/>
  <c r="F25" i="3"/>
  <c r="J25" i="3" s="1"/>
  <c r="E25" i="3"/>
  <c r="B25" i="3"/>
  <c r="I24" i="3"/>
  <c r="H24" i="3"/>
  <c r="G24" i="3"/>
  <c r="F24" i="3"/>
  <c r="J24" i="3" s="1"/>
  <c r="E24" i="3"/>
  <c r="B24" i="3"/>
  <c r="I23" i="3"/>
  <c r="H23" i="3"/>
  <c r="G23" i="3"/>
  <c r="F23" i="3"/>
  <c r="J23" i="3" s="1"/>
  <c r="E23" i="3"/>
  <c r="B23" i="3"/>
  <c r="Q22" i="3"/>
  <c r="I22" i="3"/>
  <c r="H22" i="3"/>
  <c r="G22" i="3"/>
  <c r="F22" i="3"/>
  <c r="J22" i="3" s="1"/>
  <c r="E22" i="3"/>
  <c r="B22" i="3"/>
  <c r="I21" i="3"/>
  <c r="H21" i="3"/>
  <c r="G21" i="3"/>
  <c r="F21" i="3"/>
  <c r="J21" i="3" s="1"/>
  <c r="E21" i="3"/>
  <c r="B21" i="3"/>
  <c r="I20" i="3"/>
  <c r="H20" i="3"/>
  <c r="J20" i="3" s="1"/>
  <c r="G20" i="3"/>
  <c r="F20" i="3"/>
  <c r="E20" i="3"/>
  <c r="B20" i="3"/>
  <c r="M19" i="3" a="1"/>
  <c r="N20" i="3" s="1"/>
  <c r="I19" i="3"/>
  <c r="J19" i="3" s="1"/>
  <c r="H19" i="3"/>
  <c r="G19" i="3"/>
  <c r="F19" i="3"/>
  <c r="E19" i="3"/>
  <c r="B19" i="3"/>
  <c r="J18" i="3"/>
  <c r="I18" i="3"/>
  <c r="H18" i="3"/>
  <c r="G18" i="3"/>
  <c r="F18" i="3"/>
  <c r="E18" i="3"/>
  <c r="B18" i="3"/>
  <c r="I17" i="3"/>
  <c r="H17" i="3"/>
  <c r="G17" i="3"/>
  <c r="J17" i="3" s="1"/>
  <c r="F17" i="3"/>
  <c r="E17" i="3"/>
  <c r="B17" i="3"/>
  <c r="N16" i="3" a="1"/>
  <c r="N16" i="3" s="1"/>
  <c r="J16" i="3"/>
  <c r="I16" i="3"/>
  <c r="H16" i="3"/>
  <c r="G16" i="3"/>
  <c r="F16" i="3"/>
  <c r="E16" i="3"/>
  <c r="B16" i="3"/>
  <c r="S15" i="3"/>
  <c r="R15" i="3"/>
  <c r="Q15" i="3"/>
  <c r="P15" i="3"/>
  <c r="O15" i="3"/>
  <c r="N15" i="3"/>
  <c r="I15" i="3"/>
  <c r="H15" i="3"/>
  <c r="G15" i="3"/>
  <c r="F15" i="3"/>
  <c r="J15" i="3" s="1"/>
  <c r="E15" i="3"/>
  <c r="B15" i="3"/>
  <c r="T14" i="3"/>
  <c r="P23" i="3" s="1"/>
  <c r="I14" i="3"/>
  <c r="H14" i="3"/>
  <c r="G14" i="3"/>
  <c r="F14" i="3"/>
  <c r="J14" i="3" s="1"/>
  <c r="E14" i="3"/>
  <c r="B14" i="3"/>
  <c r="T13" i="3"/>
  <c r="O23" i="3" s="1"/>
  <c r="I13" i="3"/>
  <c r="H13" i="3"/>
  <c r="G13" i="3"/>
  <c r="F13" i="3"/>
  <c r="J13" i="3" s="1"/>
  <c r="E13" i="3"/>
  <c r="B13" i="3"/>
  <c r="T12" i="3"/>
  <c r="N23" i="3" s="1"/>
  <c r="I12" i="3"/>
  <c r="H12" i="3"/>
  <c r="G12" i="3"/>
  <c r="F12" i="3"/>
  <c r="J12" i="3" s="1"/>
  <c r="E12" i="3"/>
  <c r="B12" i="3"/>
  <c r="T11" i="3"/>
  <c r="I11" i="3"/>
  <c r="H11" i="3"/>
  <c r="G11" i="3"/>
  <c r="F11" i="3"/>
  <c r="J11" i="3" s="1"/>
  <c r="E11" i="3"/>
  <c r="B11" i="3"/>
  <c r="I10" i="3"/>
  <c r="H10" i="3"/>
  <c r="G10" i="3"/>
  <c r="F10" i="3"/>
  <c r="J10" i="3" s="1"/>
  <c r="E10" i="3"/>
  <c r="B10" i="3"/>
  <c r="I9" i="3"/>
  <c r="H9" i="3"/>
  <c r="G9" i="3"/>
  <c r="F9" i="3"/>
  <c r="J9" i="3" s="1"/>
  <c r="E9" i="3"/>
  <c r="B9" i="3"/>
  <c r="I8" i="3"/>
  <c r="H8" i="3"/>
  <c r="G8" i="3"/>
  <c r="F8" i="3"/>
  <c r="J8" i="3" s="1"/>
  <c r="E8" i="3"/>
  <c r="B8" i="3"/>
  <c r="I7" i="3"/>
  <c r="H7" i="3"/>
  <c r="G7" i="3"/>
  <c r="F7" i="3"/>
  <c r="J7" i="3" s="1"/>
  <c r="E7" i="3"/>
  <c r="B7" i="3"/>
  <c r="I6" i="3"/>
  <c r="H6" i="3"/>
  <c r="G6" i="3"/>
  <c r="F6" i="3"/>
  <c r="J6" i="3" s="1"/>
  <c r="E6" i="3"/>
  <c r="B6" i="3"/>
  <c r="J5" i="3"/>
  <c r="I5" i="3"/>
  <c r="H5" i="3"/>
  <c r="G5" i="3"/>
  <c r="F5" i="3"/>
  <c r="E5" i="3"/>
  <c r="B5" i="3"/>
  <c r="I4" i="3"/>
  <c r="J4" i="3" s="1"/>
  <c r="H4" i="3"/>
  <c r="G4" i="3"/>
  <c r="F4" i="3"/>
  <c r="E4" i="3"/>
  <c r="B4" i="3"/>
  <c r="P23" i="2"/>
  <c r="M23" i="2"/>
  <c r="N15" i="2"/>
  <c r="T11" i="2"/>
  <c r="M20" i="2"/>
  <c r="Q22" i="2"/>
  <c r="N20" i="2"/>
  <c r="O20" i="2"/>
  <c r="P20" i="2"/>
  <c r="M19" i="2" a="1"/>
  <c r="M19" i="2" s="1"/>
  <c r="N16" i="2" a="1"/>
  <c r="N16" i="2" s="1"/>
  <c r="O15" i="2"/>
  <c r="P15" i="2"/>
  <c r="Q15" i="2"/>
  <c r="R15" i="2"/>
  <c r="S15" i="2"/>
  <c r="T12" i="2"/>
  <c r="N23" i="2" s="1"/>
  <c r="T13" i="2"/>
  <c r="O23" i="2" s="1"/>
  <c r="T14" i="2"/>
  <c r="J7" i="4" l="1"/>
  <c r="J11" i="4"/>
  <c r="O20" i="4"/>
  <c r="J27" i="4"/>
  <c r="J21" i="4"/>
  <c r="J6" i="4"/>
  <c r="J20" i="4"/>
  <c r="J9" i="4"/>
  <c r="J19" i="4"/>
  <c r="J24" i="4"/>
  <c r="J15" i="4"/>
  <c r="J5" i="4"/>
  <c r="J8" i="4"/>
  <c r="J17" i="4"/>
  <c r="P20" i="4"/>
  <c r="J4" i="4"/>
  <c r="J10" i="4"/>
  <c r="J16" i="4"/>
  <c r="J23" i="4"/>
  <c r="J25" i="4"/>
  <c r="M19" i="4"/>
  <c r="M20" i="4" s="1"/>
  <c r="N8" i="3" a="1"/>
  <c r="N8" i="3" s="1"/>
  <c r="N5" i="3" a="1"/>
  <c r="N5" i="3" s="1"/>
  <c r="N7" i="3" a="1"/>
  <c r="N7" i="3" s="1"/>
  <c r="N6" i="3" a="1"/>
  <c r="N6" i="3" s="1"/>
  <c r="O20" i="3"/>
  <c r="P20" i="3"/>
  <c r="M19" i="3"/>
  <c r="M20" i="3" s="1"/>
  <c r="V5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4" i="2"/>
  <c r="F5" i="2"/>
  <c r="J5" i="2" s="1"/>
  <c r="F6" i="2"/>
  <c r="J6" i="2" s="1"/>
  <c r="F7" i="2"/>
  <c r="J7" i="2" s="1"/>
  <c r="F8" i="2"/>
  <c r="J8" i="2" s="1"/>
  <c r="F9" i="2"/>
  <c r="J9" i="2" s="1"/>
  <c r="F10" i="2"/>
  <c r="J10" i="2" s="1"/>
  <c r="F11" i="2"/>
  <c r="J11" i="2" s="1"/>
  <c r="F12" i="2"/>
  <c r="J12" i="2" s="1"/>
  <c r="F13" i="2"/>
  <c r="J13" i="2" s="1"/>
  <c r="F14" i="2"/>
  <c r="J14" i="2" s="1"/>
  <c r="F15" i="2"/>
  <c r="J15" i="2" s="1"/>
  <c r="F16" i="2"/>
  <c r="J16" i="2" s="1"/>
  <c r="F17" i="2"/>
  <c r="J17" i="2" s="1"/>
  <c r="F18" i="2"/>
  <c r="J18" i="2" s="1"/>
  <c r="F19" i="2"/>
  <c r="J19" i="2" s="1"/>
  <c r="F20" i="2"/>
  <c r="J20" i="2" s="1"/>
  <c r="F21" i="2"/>
  <c r="J21" i="2" s="1"/>
  <c r="F22" i="2"/>
  <c r="J22" i="2" s="1"/>
  <c r="F23" i="2"/>
  <c r="J23" i="2" s="1"/>
  <c r="F24" i="2"/>
  <c r="J24" i="2" s="1"/>
  <c r="F25" i="2"/>
  <c r="J25" i="2" s="1"/>
  <c r="F26" i="2"/>
  <c r="J26" i="2" s="1"/>
  <c r="F27" i="2"/>
  <c r="J27" i="2" s="1"/>
  <c r="F4" i="2"/>
  <c r="J4" i="2" s="1"/>
  <c r="N5" i="2" s="1" a="1"/>
  <c r="N5" i="2" s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4" i="2"/>
  <c r="N7" i="4" l="1" a="1"/>
  <c r="N7" i="4" s="1"/>
  <c r="N8" i="4" a="1"/>
  <c r="N8" i="4" s="1"/>
  <c r="N6" i="4" a="1"/>
  <c r="N6" i="4" s="1"/>
  <c r="N5" i="4" a="1"/>
  <c r="N5" i="4" s="1"/>
  <c r="N7" i="2" a="1"/>
  <c r="N7" i="2" s="1"/>
  <c r="N6" i="2" a="1"/>
  <c r="N6" i="2" s="1"/>
  <c r="N8" i="2" a="1"/>
  <c r="N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<sst xmlns="http://schemas.openxmlformats.org/spreadsheetml/2006/main" count="76" uniqueCount="38">
  <si>
    <t>warehouse</t>
  </si>
  <si>
    <t>name</t>
  </si>
  <si>
    <t>set_up_cost</t>
  </si>
  <si>
    <t>latitude</t>
  </si>
  <si>
    <t>longitude</t>
  </si>
  <si>
    <t>Jelly River Delta</t>
  </si>
  <si>
    <t>Buttercream Beach</t>
  </si>
  <si>
    <t>Bubblegum Bay</t>
  </si>
  <si>
    <t>Fizzwhiz Fjord</t>
  </si>
  <si>
    <t>max_dcs</t>
  </si>
  <si>
    <t>cost_per_unit_distance</t>
  </si>
  <si>
    <t>method_to_calculate_distance</t>
  </si>
  <si>
    <t>manhattan</t>
  </si>
  <si>
    <t>distribution_center</t>
  </si>
  <si>
    <t>demand</t>
  </si>
  <si>
    <t>Toffee Town</t>
  </si>
  <si>
    <t>Mallow Melt Mountains</t>
  </si>
  <si>
    <t>Sherbet Shoreline</t>
  </si>
  <si>
    <t>Vanilla Chai Vortex</t>
  </si>
  <si>
    <t>Lollipop Lagoon</t>
  </si>
  <si>
    <t>Pixie Stix Plateau</t>
  </si>
  <si>
    <t>WH</t>
  </si>
  <si>
    <t>DC</t>
  </si>
  <si>
    <t>WH Lat</t>
  </si>
  <si>
    <t>WH Long</t>
  </si>
  <si>
    <t>DC Lat</t>
  </si>
  <si>
    <t>DC Long</t>
  </si>
  <si>
    <t>Manhattan</t>
  </si>
  <si>
    <t>WH &gt; DC</t>
  </si>
  <si>
    <t>Sent by Wh</t>
  </si>
  <si>
    <t>Sum</t>
  </si>
  <si>
    <t>Demand</t>
  </si>
  <si>
    <t>Binary</t>
  </si>
  <si>
    <t>Linking</t>
  </si>
  <si>
    <t>Setup Costs</t>
  </si>
  <si>
    <t>Actual Costs</t>
  </si>
  <si>
    <t>Total Cost</t>
  </si>
  <si>
    <t>Unit shipping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</si>
</sst>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10" borderId="11" xfId="0" applyFill="1" applyBorder="1"/>
    <xf numFmtId="0" fontId="0" fillId="5" borderId="1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2" fillId="4" borderId="6" xfId="0" applyFont="1" applyFill="1" applyBorder="1"/>
    <xf numFmtId="0" fontId="2" fillId="4" borderId="8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2" fillId="4" borderId="11" xfId="0" applyFont="1" applyFill="1" applyBorder="1"/>
    <xf numFmtId="0" fontId="0" fillId="5" borderId="13" xfId="0" applyFill="1" applyBorder="1"/>
    <xf numFmtId="0" fontId="0" fillId="5" borderId="12" xfId="0" applyFill="1" applyBorder="1"/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0" fillId="5" borderId="17" xfId="0" applyFill="1" applyBorder="1"/>
    <xf numFmtId="0" fontId="0" fillId="5" borderId="18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15" xfId="0" applyFill="1" applyBorder="1"/>
    <xf numFmtId="0" fontId="0" fillId="6" borderId="16" xfId="0" applyFill="1" applyBorder="1"/>
    <xf numFmtId="0" fontId="0" fillId="7" borderId="20" xfId="0" applyFill="1" applyBorder="1"/>
    <xf numFmtId="0" fontId="0" fillId="7" borderId="21" xfId="0" applyFill="1" applyBorder="1"/>
    <xf numFmtId="0" fontId="0" fillId="8" borderId="21" xfId="0" applyFill="1" applyBorder="1"/>
    <xf numFmtId="0" fontId="0" fillId="8" borderId="15" xfId="0" applyFill="1" applyBorder="1"/>
    <xf numFmtId="0" fontId="0" fillId="9" borderId="20" xfId="0" applyFill="1" applyBorder="1"/>
    <xf numFmtId="0" fontId="0" fillId="9" borderId="21" xfId="0" applyFill="1" applyBorder="1"/>
    <xf numFmtId="0" fontId="2" fillId="4" borderId="23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5" xfId="0" applyFont="1" applyFill="1" applyBorder="1"/>
    <xf numFmtId="0" fontId="2" fillId="6" borderId="22" xfId="0" applyFont="1" applyFill="1" applyBorder="1"/>
    <xf numFmtId="0" fontId="2" fillId="7" borderId="19" xfId="0" applyFont="1" applyFill="1" applyBorder="1"/>
    <xf numFmtId="0" fontId="2" fillId="8" borderId="22" xfId="0" applyFont="1" applyFill="1" applyBorder="1"/>
    <xf numFmtId="0" fontId="2" fillId="9" borderId="19" xfId="0" applyFont="1" applyFill="1" applyBorder="1"/>
    <xf numFmtId="0" fontId="3" fillId="0" borderId="0" xfId="0" applyFont="1"/>
    <xf numFmtId="0" fontId="0" fillId="5" borderId="2" xfId="0" applyFill="1" applyBorder="1"/>
    <xf numFmtId="0" fontId="2" fillId="6" borderId="24" xfId="0" applyFont="1" applyFill="1" applyBorder="1"/>
    <xf numFmtId="0" fontId="0" fillId="6" borderId="25" xfId="0" applyFill="1" applyBorder="1"/>
    <xf numFmtId="0" fontId="2" fillId="11" borderId="19" xfId="0" applyFont="1" applyFill="1" applyBorder="1"/>
    <xf numFmtId="0" fontId="2" fillId="11" borderId="21" xfId="0" applyFont="1" applyFill="1" applyBorder="1"/>
    <xf numFmtId="44" fontId="0" fillId="10" borderId="12" xfId="1" applyFont="1" applyFill="1" applyBorder="1"/>
    <xf numFmtId="44" fontId="0" fillId="0" borderId="0" xfId="0" applyNumberFormat="1"/>
    <xf numFmtId="10" fontId="0" fillId="0" borderId="0" xfId="2" applyNumberFormat="1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5CCE-B144-4A0D-9EC7-B32ED5FB1C61}">
  <dimension ref="B2:V32"/>
  <sheetViews>
    <sheetView tabSelected="1" zoomScale="70" zoomScaleNormal="70" workbookViewId="0">
      <selection activeCell="W15" sqref="W15"/>
    </sheetView>
  </sheetViews>
  <sheetFormatPr defaultRowHeight="14.5" x14ac:dyDescent="0.35"/>
  <cols>
    <col min="1" max="1" width="10" bestFit="1" customWidth="1"/>
    <col min="2" max="2" width="16.54296875" bestFit="1" customWidth="1"/>
    <col min="3" max="4" width="1.81640625" bestFit="1" customWidth="1"/>
    <col min="5" max="5" width="19.81640625" bestFit="1" customWidth="1"/>
    <col min="6" max="6" width="6.7265625" bestFit="1" customWidth="1"/>
    <col min="7" max="7" width="8.1796875" bestFit="1" customWidth="1"/>
    <col min="8" max="8" width="6.36328125" bestFit="1" customWidth="1"/>
    <col min="9" max="9" width="7.7265625" bestFit="1" customWidth="1"/>
    <col min="10" max="10" width="9.81640625" bestFit="1" customWidth="1"/>
    <col min="11" max="11" width="9.54296875" customWidth="1"/>
    <col min="12" max="12" width="11.08984375" bestFit="1" customWidth="1"/>
    <col min="13" max="13" width="8.1796875" bestFit="1" customWidth="1"/>
    <col min="14" max="19" width="5.81640625" bestFit="1" customWidth="1"/>
    <col min="20" max="20" width="10.08984375" bestFit="1" customWidth="1"/>
    <col min="22" max="22" width="11.1796875" bestFit="1" customWidth="1"/>
  </cols>
  <sheetData>
    <row r="2" spans="2:22" ht="15" thickBot="1" x14ac:dyDescent="0.4"/>
    <row r="3" spans="2:22" ht="15" thickBot="1" x14ac:dyDescent="0.4">
      <c r="B3" s="55" t="s">
        <v>21</v>
      </c>
      <c r="C3" s="56"/>
      <c r="D3" s="56" t="s">
        <v>22</v>
      </c>
      <c r="E3" s="56"/>
      <c r="F3" s="40" t="s">
        <v>23</v>
      </c>
      <c r="G3" s="40" t="s">
        <v>24</v>
      </c>
      <c r="H3" s="40" t="s">
        <v>25</v>
      </c>
      <c r="I3" s="40" t="s">
        <v>26</v>
      </c>
      <c r="J3" s="41" t="s">
        <v>27</v>
      </c>
    </row>
    <row r="4" spans="2:22" ht="15" thickBot="1" x14ac:dyDescent="0.4">
      <c r="B4" s="3" t="str">
        <f>_xlfn.XLOOKUP(C4,Data!$A$2:$A$5,Data!$B$2:$B$5)</f>
        <v>Jelly River Delta</v>
      </c>
      <c r="C4" s="2">
        <v>1</v>
      </c>
      <c r="D4" s="2">
        <v>1</v>
      </c>
      <c r="E4" s="2" t="str">
        <f>_xlfn.XLOOKUP(D4,Data!$A$8:$A$13,Data!$B$8:$B$13)</f>
        <v>Toffee Town</v>
      </c>
      <c r="F4" s="2">
        <f>_xlfn.XLOOKUP('Caramelo Fixed-Charge'!C4,Data!$A$2:$A$5,Data!$D$2:$D$5)</f>
        <v>43.11</v>
      </c>
      <c r="G4" s="2">
        <f>_xlfn.XLOOKUP(C4,Data!$A$2:$A$5,Data!$E$2:$E$5)</f>
        <v>-108.68</v>
      </c>
      <c r="H4" s="2">
        <f>_xlfn.XLOOKUP(D4,Data!$A$8:$A$13,Data!$D$8:$D$13)</f>
        <v>49.27</v>
      </c>
      <c r="I4" s="2">
        <f>_xlfn.XLOOKUP(D4,Data!$A$8:$A$13,Data!$E$8:$E$13)</f>
        <v>-122.21</v>
      </c>
      <c r="J4" s="4">
        <f>ABS(F4-H4)+ABS(G4-I4)</f>
        <v>19.689999999999991</v>
      </c>
      <c r="M4" s="10" t="s">
        <v>28</v>
      </c>
      <c r="N4" s="22">
        <v>1</v>
      </c>
      <c r="O4" s="22">
        <v>2</v>
      </c>
      <c r="P4" s="22">
        <v>3</v>
      </c>
      <c r="Q4" s="22">
        <v>4</v>
      </c>
      <c r="R4" s="22">
        <v>5</v>
      </c>
      <c r="S4" s="23">
        <v>6</v>
      </c>
      <c r="V4" s="8" t="s">
        <v>36</v>
      </c>
    </row>
    <row r="5" spans="2:22" ht="15" thickBot="1" x14ac:dyDescent="0.4">
      <c r="B5" s="3" t="str">
        <f>_xlfn.XLOOKUP(C5,Data!$A$2:$A$5,Data!$B$2:$B$5)</f>
        <v>Jelly River Delta</v>
      </c>
      <c r="C5" s="2">
        <v>1</v>
      </c>
      <c r="D5" s="2">
        <v>2</v>
      </c>
      <c r="E5" s="2" t="str">
        <f>_xlfn.XLOOKUP(D5,Data!$A$8:$A$13,Data!$B$8:$B$13)</f>
        <v>Mallow Melt Mountains</v>
      </c>
      <c r="F5" s="2">
        <f>_xlfn.XLOOKUP('Caramelo Fixed-Charge'!C5,Data!$A$2:$A$5,Data!$D$2:$D$5)</f>
        <v>43.11</v>
      </c>
      <c r="G5" s="2">
        <f>_xlfn.XLOOKUP(C5,Data!$A$2:$A$5,Data!$E$2:$E$5)</f>
        <v>-108.68</v>
      </c>
      <c r="H5" s="2">
        <f>_xlfn.XLOOKUP(D5,Data!$A$8:$A$13,Data!$D$8:$D$13)</f>
        <v>46.82</v>
      </c>
      <c r="I5" s="2">
        <f>_xlfn.XLOOKUP(D5,Data!$A$8:$A$13,Data!$E$8:$E$13)</f>
        <v>-97.83</v>
      </c>
      <c r="J5" s="4">
        <f t="shared" ref="J5:J27" si="0">ABS(F5-H5)+ABS(G5-I5)</f>
        <v>14.560000000000009</v>
      </c>
      <c r="M5" s="21">
        <v>1</v>
      </c>
      <c r="N5" s="26" cm="1">
        <f t="array" ref="N5:S5">_xlfn.TOROW(J4:J9)</f>
        <v>19.689999999999991</v>
      </c>
      <c r="O5" s="27">
        <v>14.560000000000009</v>
      </c>
      <c r="P5" s="27">
        <v>27.340000000000003</v>
      </c>
      <c r="Q5" s="27">
        <v>8.8000000000000114</v>
      </c>
      <c r="R5" s="27">
        <v>9.1900000000000119</v>
      </c>
      <c r="S5" s="28">
        <v>45.160000000000011</v>
      </c>
      <c r="V5" s="52">
        <f>SUMPRODUCT(N5:S8,N11:S14)+SUMPRODUCT(M19:P19,M22:P22)</f>
        <v>65629.060000000012</v>
      </c>
    </row>
    <row r="6" spans="2:22" x14ac:dyDescent="0.35">
      <c r="B6" s="3" t="str">
        <f>_xlfn.XLOOKUP(C6,Data!$A$2:$A$5,Data!$B$2:$B$5)</f>
        <v>Jelly River Delta</v>
      </c>
      <c r="C6" s="2">
        <v>1</v>
      </c>
      <c r="D6" s="2">
        <v>3</v>
      </c>
      <c r="E6" s="2" t="str">
        <f>_xlfn.XLOOKUP(D6,Data!$A$8:$A$13,Data!$B$8:$B$13)</f>
        <v>Sherbet Shoreline</v>
      </c>
      <c r="F6" s="2">
        <f>_xlfn.XLOOKUP('Caramelo Fixed-Charge'!C6,Data!$A$2:$A$5,Data!$D$2:$D$5)</f>
        <v>43.11</v>
      </c>
      <c r="G6" s="2">
        <f>_xlfn.XLOOKUP(C6,Data!$A$2:$A$5,Data!$E$2:$E$5)</f>
        <v>-108.68</v>
      </c>
      <c r="H6" s="2">
        <f>_xlfn.XLOOKUP(D6,Data!$A$8:$A$13,Data!$D$8:$D$13)</f>
        <v>25.36</v>
      </c>
      <c r="I6" s="2">
        <f>_xlfn.XLOOKUP(D6,Data!$A$8:$A$13,Data!$E$8:$E$13)</f>
        <v>-99.09</v>
      </c>
      <c r="J6" s="4">
        <f t="shared" si="0"/>
        <v>27.340000000000003</v>
      </c>
      <c r="M6" s="21">
        <v>2</v>
      </c>
      <c r="N6" s="29" cm="1">
        <f t="array" ref="N6:S6">_xlfn.TOROW(J10:J15)</f>
        <v>59.47999999999999</v>
      </c>
      <c r="O6" s="9">
        <v>32.649999999999991</v>
      </c>
      <c r="P6" s="9">
        <v>34.270000000000003</v>
      </c>
      <c r="Q6" s="9">
        <v>30.989999999999988</v>
      </c>
      <c r="R6" s="9">
        <v>41.039999999999985</v>
      </c>
      <c r="S6" s="11">
        <v>12.509999999999998</v>
      </c>
    </row>
    <row r="7" spans="2:22" x14ac:dyDescent="0.35">
      <c r="B7" s="3" t="str">
        <f>_xlfn.XLOOKUP(C7,Data!$A$2:$A$5,Data!$B$2:$B$5)</f>
        <v>Jelly River Delta</v>
      </c>
      <c r="C7" s="2">
        <v>1</v>
      </c>
      <c r="D7" s="2">
        <v>4</v>
      </c>
      <c r="E7" s="2" t="str">
        <f>_xlfn.XLOOKUP(D7,Data!$A$8:$A$13,Data!$B$8:$B$13)</f>
        <v>Vanilla Chai Vortex</v>
      </c>
      <c r="F7" s="2">
        <f>_xlfn.XLOOKUP('Caramelo Fixed-Charge'!C7,Data!$A$2:$A$5,Data!$D$2:$D$5)</f>
        <v>43.11</v>
      </c>
      <c r="G7" s="2">
        <f>_xlfn.XLOOKUP(C7,Data!$A$2:$A$5,Data!$E$2:$E$5)</f>
        <v>-108.68</v>
      </c>
      <c r="H7" s="2">
        <f>_xlfn.XLOOKUP(D7,Data!$A$8:$A$13,Data!$D$8:$D$13)</f>
        <v>40.47</v>
      </c>
      <c r="I7" s="2">
        <f>_xlfn.XLOOKUP(D7,Data!$A$8:$A$13,Data!$E$8:$E$13)</f>
        <v>-102.52</v>
      </c>
      <c r="J7" s="4">
        <f t="shared" si="0"/>
        <v>8.8000000000000114</v>
      </c>
      <c r="M7" s="21">
        <v>3</v>
      </c>
      <c r="N7" s="29" cm="1">
        <f t="array" ref="N7:S7">_xlfn.TOROW(J16:J21)</f>
        <v>60.97</v>
      </c>
      <c r="O7" s="9">
        <v>34.14</v>
      </c>
      <c r="P7" s="9">
        <v>26.680000000000003</v>
      </c>
      <c r="Q7" s="9">
        <v>32.47999999999999</v>
      </c>
      <c r="R7" s="9">
        <v>42.529999999999987</v>
      </c>
      <c r="S7" s="11">
        <v>4.9199999999999982</v>
      </c>
    </row>
    <row r="8" spans="2:22" ht="15" thickBot="1" x14ac:dyDescent="0.4">
      <c r="B8" s="3" t="str">
        <f>_xlfn.XLOOKUP(C8,Data!$A$2:$A$5,Data!$B$2:$B$5)</f>
        <v>Jelly River Delta</v>
      </c>
      <c r="C8" s="2">
        <v>1</v>
      </c>
      <c r="D8" s="2">
        <v>5</v>
      </c>
      <c r="E8" s="2" t="str">
        <f>_xlfn.XLOOKUP(D8,Data!$A$8:$A$13,Data!$B$8:$B$13)</f>
        <v>Lollipop Lagoon</v>
      </c>
      <c r="F8" s="2">
        <f>_xlfn.XLOOKUP('Caramelo Fixed-Charge'!C8,Data!$A$2:$A$5,Data!$D$2:$D$5)</f>
        <v>43.11</v>
      </c>
      <c r="G8" s="2">
        <f>_xlfn.XLOOKUP(C8,Data!$A$2:$A$5,Data!$E$2:$E$5)</f>
        <v>-108.68</v>
      </c>
      <c r="H8" s="2">
        <f>_xlfn.XLOOKUP(D8,Data!$A$8:$A$13,Data!$D$8:$D$13)</f>
        <v>48.33</v>
      </c>
      <c r="I8" s="2">
        <f>_xlfn.XLOOKUP(D8,Data!$A$8:$A$13,Data!$E$8:$E$13)</f>
        <v>-104.71</v>
      </c>
      <c r="J8" s="4">
        <f t="shared" si="0"/>
        <v>9.1900000000000119</v>
      </c>
      <c r="M8" s="39">
        <v>4</v>
      </c>
      <c r="N8" s="30" cm="1">
        <f t="array" ref="N8:S8">_xlfn.TOROW(J22:J27)</f>
        <v>7.9600000000000009</v>
      </c>
      <c r="O8" s="12">
        <v>24.669999999999995</v>
      </c>
      <c r="P8" s="12">
        <v>39.069999999999993</v>
      </c>
      <c r="Q8" s="12">
        <v>20.53</v>
      </c>
      <c r="R8" s="12">
        <v>19.299999999999997</v>
      </c>
      <c r="S8" s="13">
        <v>56.89</v>
      </c>
    </row>
    <row r="9" spans="2:22" ht="15" thickBot="1" x14ac:dyDescent="0.4">
      <c r="B9" s="3" t="str">
        <f>_xlfn.XLOOKUP(C9,Data!$A$2:$A$5,Data!$B$2:$B$5)</f>
        <v>Jelly River Delta</v>
      </c>
      <c r="C9" s="2">
        <v>1</v>
      </c>
      <c r="D9" s="2">
        <v>6</v>
      </c>
      <c r="E9" s="2" t="str">
        <f>_xlfn.XLOOKUP(D9,Data!$A$8:$A$13,Data!$B$8:$B$13)</f>
        <v>Pixie Stix Plateau</v>
      </c>
      <c r="F9" s="2">
        <f>_xlfn.XLOOKUP('Caramelo Fixed-Charge'!C9,Data!$A$2:$A$5,Data!$D$2:$D$5)</f>
        <v>43.11</v>
      </c>
      <c r="G9" s="2">
        <f>_xlfn.XLOOKUP(C9,Data!$A$2:$A$5,Data!$E$2:$E$5)</f>
        <v>-108.68</v>
      </c>
      <c r="H9" s="2">
        <f>_xlfn.XLOOKUP(D9,Data!$A$8:$A$13,Data!$D$8:$D$13)</f>
        <v>27.33</v>
      </c>
      <c r="I9" s="2">
        <f>_xlfn.XLOOKUP(D9,Data!$A$8:$A$13,Data!$E$8:$E$13)</f>
        <v>-79.3</v>
      </c>
      <c r="J9" s="4">
        <f t="shared" si="0"/>
        <v>45.160000000000011</v>
      </c>
    </row>
    <row r="10" spans="2:22" ht="15" thickBot="1" x14ac:dyDescent="0.4">
      <c r="B10" s="3" t="str">
        <f>_xlfn.XLOOKUP(C10,Data!$A$2:$A$5,Data!$B$2:$B$5)</f>
        <v>Buttercream Beach</v>
      </c>
      <c r="C10" s="2">
        <v>2</v>
      </c>
      <c r="D10" s="2">
        <v>1</v>
      </c>
      <c r="E10" s="2" t="str">
        <f>_xlfn.XLOOKUP(D10,Data!$A$8:$A$13,Data!$B$8:$B$13)</f>
        <v>Toffee Town</v>
      </c>
      <c r="F10" s="2">
        <f>_xlfn.XLOOKUP('Caramelo Fixed-Charge'!C10,Data!$A$2:$A$5,Data!$D$2:$D$5)</f>
        <v>36.270000000000003</v>
      </c>
      <c r="G10" s="2">
        <f>_xlfn.XLOOKUP(C10,Data!$A$2:$A$5,Data!$E$2:$E$5)</f>
        <v>-75.73</v>
      </c>
      <c r="H10" s="2">
        <f>_xlfn.XLOOKUP(D10,Data!$A$8:$A$13,Data!$D$8:$D$13)</f>
        <v>49.27</v>
      </c>
      <c r="I10" s="2">
        <f>_xlfn.XLOOKUP(D10,Data!$A$8:$A$13,Data!$E$8:$E$13)</f>
        <v>-122.21</v>
      </c>
      <c r="J10" s="4">
        <f t="shared" si="0"/>
        <v>59.47999999999999</v>
      </c>
      <c r="M10" s="10" t="s">
        <v>28</v>
      </c>
      <c r="N10" s="22">
        <v>1</v>
      </c>
      <c r="O10" s="22">
        <v>2</v>
      </c>
      <c r="P10" s="22">
        <v>3</v>
      </c>
      <c r="Q10" s="22">
        <v>4</v>
      </c>
      <c r="R10" s="22">
        <v>5</v>
      </c>
      <c r="S10" s="23">
        <v>6</v>
      </c>
      <c r="T10" s="18" t="s">
        <v>29</v>
      </c>
    </row>
    <row r="11" spans="2:22" x14ac:dyDescent="0.35">
      <c r="B11" s="3" t="str">
        <f>_xlfn.XLOOKUP(C11,Data!$A$2:$A$5,Data!$B$2:$B$5)</f>
        <v>Buttercream Beach</v>
      </c>
      <c r="C11" s="2">
        <v>2</v>
      </c>
      <c r="D11" s="2">
        <v>2</v>
      </c>
      <c r="E11" s="2" t="str">
        <f>_xlfn.XLOOKUP(D11,Data!$A$8:$A$13,Data!$B$8:$B$13)</f>
        <v>Mallow Melt Mountains</v>
      </c>
      <c r="F11" s="2">
        <f>_xlfn.XLOOKUP('Caramelo Fixed-Charge'!C11,Data!$A$2:$A$5,Data!$D$2:$D$5)</f>
        <v>36.270000000000003</v>
      </c>
      <c r="G11" s="2">
        <f>_xlfn.XLOOKUP(C11,Data!$A$2:$A$5,Data!$E$2:$E$5)</f>
        <v>-75.73</v>
      </c>
      <c r="H11" s="2">
        <f>_xlfn.XLOOKUP(D11,Data!$A$8:$A$13,Data!$D$8:$D$13)</f>
        <v>46.82</v>
      </c>
      <c r="I11" s="2">
        <f>_xlfn.XLOOKUP(D11,Data!$A$8:$A$13,Data!$E$8:$E$13)</f>
        <v>-97.83</v>
      </c>
      <c r="J11" s="4">
        <f t="shared" si="0"/>
        <v>32.649999999999991</v>
      </c>
      <c r="M11" s="21">
        <v>1</v>
      </c>
      <c r="N11" s="26">
        <v>973</v>
      </c>
      <c r="O11" s="27">
        <v>805</v>
      </c>
      <c r="P11" s="27">
        <v>0</v>
      </c>
      <c r="Q11" s="27">
        <v>550</v>
      </c>
      <c r="R11" s="27">
        <v>707</v>
      </c>
      <c r="S11" s="28">
        <v>0</v>
      </c>
      <c r="T11" s="19">
        <f>SUM(N11:S11)</f>
        <v>3035</v>
      </c>
      <c r="U11" s="54">
        <f>T11/4515</f>
        <v>0.67220376522702108</v>
      </c>
    </row>
    <row r="12" spans="2:22" x14ac:dyDescent="0.35">
      <c r="B12" s="3" t="str">
        <f>_xlfn.XLOOKUP(C12,Data!$A$2:$A$5,Data!$B$2:$B$5)</f>
        <v>Buttercream Beach</v>
      </c>
      <c r="C12" s="2">
        <v>2</v>
      </c>
      <c r="D12" s="2">
        <v>3</v>
      </c>
      <c r="E12" s="2" t="str">
        <f>_xlfn.XLOOKUP(D12,Data!$A$8:$A$13,Data!$B$8:$B$13)</f>
        <v>Sherbet Shoreline</v>
      </c>
      <c r="F12" s="2">
        <f>_xlfn.XLOOKUP('Caramelo Fixed-Charge'!C12,Data!$A$2:$A$5,Data!$D$2:$D$5)</f>
        <v>36.270000000000003</v>
      </c>
      <c r="G12" s="2">
        <f>_xlfn.XLOOKUP(C12,Data!$A$2:$A$5,Data!$E$2:$E$5)</f>
        <v>-75.73</v>
      </c>
      <c r="H12" s="2">
        <f>_xlfn.XLOOKUP(D12,Data!$A$8:$A$13,Data!$D$8:$D$13)</f>
        <v>25.36</v>
      </c>
      <c r="I12" s="2">
        <f>_xlfn.XLOOKUP(D12,Data!$A$8:$A$13,Data!$E$8:$E$13)</f>
        <v>-99.09</v>
      </c>
      <c r="J12" s="4">
        <f t="shared" si="0"/>
        <v>34.270000000000003</v>
      </c>
      <c r="M12" s="21">
        <v>2</v>
      </c>
      <c r="N12" s="29">
        <v>0</v>
      </c>
      <c r="O12" s="9">
        <v>0</v>
      </c>
      <c r="P12" s="9">
        <v>0</v>
      </c>
      <c r="Q12" s="9">
        <v>0</v>
      </c>
      <c r="R12" s="9">
        <v>0</v>
      </c>
      <c r="S12" s="11">
        <v>0</v>
      </c>
      <c r="T12" s="19">
        <f t="shared" ref="T12:T14" si="1">SUM(N12:S12)</f>
        <v>0</v>
      </c>
      <c r="U12" s="54">
        <f t="shared" ref="U12:U14" si="2">T12/4515</f>
        <v>0</v>
      </c>
    </row>
    <row r="13" spans="2:22" x14ac:dyDescent="0.35">
      <c r="B13" s="3" t="str">
        <f>_xlfn.XLOOKUP(C13,Data!$A$2:$A$5,Data!$B$2:$B$5)</f>
        <v>Buttercream Beach</v>
      </c>
      <c r="C13" s="2">
        <v>2</v>
      </c>
      <c r="D13" s="2">
        <v>4</v>
      </c>
      <c r="E13" s="2" t="str">
        <f>_xlfn.XLOOKUP(D13,Data!$A$8:$A$13,Data!$B$8:$B$13)</f>
        <v>Vanilla Chai Vortex</v>
      </c>
      <c r="F13" s="2">
        <f>_xlfn.XLOOKUP('Caramelo Fixed-Charge'!C13,Data!$A$2:$A$5,Data!$D$2:$D$5)</f>
        <v>36.270000000000003</v>
      </c>
      <c r="G13" s="2">
        <f>_xlfn.XLOOKUP(C13,Data!$A$2:$A$5,Data!$E$2:$E$5)</f>
        <v>-75.73</v>
      </c>
      <c r="H13" s="2">
        <f>_xlfn.XLOOKUP(D13,Data!$A$8:$A$13,Data!$D$8:$D$13)</f>
        <v>40.47</v>
      </c>
      <c r="I13" s="2">
        <f>_xlfn.XLOOKUP(D13,Data!$A$8:$A$13,Data!$E$8:$E$13)</f>
        <v>-102.52</v>
      </c>
      <c r="J13" s="4">
        <f t="shared" si="0"/>
        <v>30.989999999999988</v>
      </c>
      <c r="M13" s="21">
        <v>3</v>
      </c>
      <c r="N13" s="29">
        <v>0</v>
      </c>
      <c r="O13" s="9">
        <v>0</v>
      </c>
      <c r="P13" s="9">
        <v>521</v>
      </c>
      <c r="Q13" s="9">
        <v>0</v>
      </c>
      <c r="R13" s="9">
        <v>0</v>
      </c>
      <c r="S13" s="11">
        <v>959</v>
      </c>
      <c r="T13" s="19">
        <f t="shared" si="1"/>
        <v>1480</v>
      </c>
      <c r="U13" s="54">
        <f t="shared" si="2"/>
        <v>0.32779623477297898</v>
      </c>
    </row>
    <row r="14" spans="2:22" ht="15" thickBot="1" x14ac:dyDescent="0.4">
      <c r="B14" s="3" t="str">
        <f>_xlfn.XLOOKUP(C14,Data!$A$2:$A$5,Data!$B$2:$B$5)</f>
        <v>Buttercream Beach</v>
      </c>
      <c r="C14" s="2">
        <v>2</v>
      </c>
      <c r="D14" s="2">
        <v>5</v>
      </c>
      <c r="E14" s="2" t="str">
        <f>_xlfn.XLOOKUP(D14,Data!$A$8:$A$13,Data!$B$8:$B$13)</f>
        <v>Lollipop Lagoon</v>
      </c>
      <c r="F14" s="2">
        <f>_xlfn.XLOOKUP('Caramelo Fixed-Charge'!C14,Data!$A$2:$A$5,Data!$D$2:$D$5)</f>
        <v>36.270000000000003</v>
      </c>
      <c r="G14" s="2">
        <f>_xlfn.XLOOKUP(C14,Data!$A$2:$A$5,Data!$E$2:$E$5)</f>
        <v>-75.73</v>
      </c>
      <c r="H14" s="2">
        <f>_xlfn.XLOOKUP(D14,Data!$A$8:$A$13,Data!$D$8:$D$13)</f>
        <v>48.33</v>
      </c>
      <c r="I14" s="2">
        <f>_xlfn.XLOOKUP(D14,Data!$A$8:$A$13,Data!$E$8:$E$13)</f>
        <v>-104.71</v>
      </c>
      <c r="J14" s="4">
        <f t="shared" si="0"/>
        <v>41.039999999999985</v>
      </c>
      <c r="M14" s="21">
        <v>4</v>
      </c>
      <c r="N14" s="30">
        <v>0</v>
      </c>
      <c r="O14" s="12">
        <v>0</v>
      </c>
      <c r="P14" s="12">
        <v>0</v>
      </c>
      <c r="Q14" s="12">
        <v>0</v>
      </c>
      <c r="R14" s="12">
        <v>0</v>
      </c>
      <c r="S14" s="13">
        <v>0</v>
      </c>
      <c r="T14" s="20">
        <f t="shared" si="1"/>
        <v>0</v>
      </c>
      <c r="U14" s="54">
        <f t="shared" si="2"/>
        <v>0</v>
      </c>
    </row>
    <row r="15" spans="2:22" x14ac:dyDescent="0.35">
      <c r="B15" s="3" t="str">
        <f>_xlfn.XLOOKUP(C15,Data!$A$2:$A$5,Data!$B$2:$B$5)</f>
        <v>Buttercream Beach</v>
      </c>
      <c r="C15" s="2">
        <v>2</v>
      </c>
      <c r="D15" s="2">
        <v>6</v>
      </c>
      <c r="E15" s="2" t="str">
        <f>_xlfn.XLOOKUP(D15,Data!$A$8:$A$13,Data!$B$8:$B$13)</f>
        <v>Pixie Stix Plateau</v>
      </c>
      <c r="F15" s="2">
        <f>_xlfn.XLOOKUP('Caramelo Fixed-Charge'!C15,Data!$A$2:$A$5,Data!$D$2:$D$5)</f>
        <v>36.270000000000003</v>
      </c>
      <c r="G15" s="2">
        <f>_xlfn.XLOOKUP(C15,Data!$A$2:$A$5,Data!$E$2:$E$5)</f>
        <v>-75.73</v>
      </c>
      <c r="H15" s="2">
        <f>_xlfn.XLOOKUP(D15,Data!$A$8:$A$13,Data!$D$8:$D$13)</f>
        <v>27.33</v>
      </c>
      <c r="I15" s="2">
        <f>_xlfn.XLOOKUP(D15,Data!$A$8:$A$13,Data!$E$8:$E$13)</f>
        <v>-79.3</v>
      </c>
      <c r="J15" s="4">
        <f t="shared" si="0"/>
        <v>12.509999999999998</v>
      </c>
      <c r="M15" s="14" t="s">
        <v>30</v>
      </c>
      <c r="N15" s="24">
        <f>SUM(N11:N14)</f>
        <v>973</v>
      </c>
      <c r="O15" s="24">
        <f t="shared" ref="O15:S15" si="3">SUM(O11:O14)</f>
        <v>805</v>
      </c>
      <c r="P15" s="24">
        <f t="shared" si="3"/>
        <v>521</v>
      </c>
      <c r="Q15" s="24">
        <f t="shared" si="3"/>
        <v>550</v>
      </c>
      <c r="R15" s="24">
        <f t="shared" si="3"/>
        <v>707</v>
      </c>
      <c r="S15" s="25">
        <f t="shared" si="3"/>
        <v>959</v>
      </c>
    </row>
    <row r="16" spans="2:22" ht="15" thickBot="1" x14ac:dyDescent="0.4">
      <c r="B16" s="3" t="str">
        <f>_xlfn.XLOOKUP(C16,Data!$A$2:$A$5,Data!$B$2:$B$5)</f>
        <v>Bubblegum Bay</v>
      </c>
      <c r="C16" s="2">
        <v>3</v>
      </c>
      <c r="D16" s="2">
        <v>1</v>
      </c>
      <c r="E16" s="2" t="str">
        <f>_xlfn.XLOOKUP(D16,Data!$A$8:$A$13,Data!$B$8:$B$13)</f>
        <v>Toffee Town</v>
      </c>
      <c r="F16" s="2">
        <f>_xlfn.XLOOKUP('Caramelo Fixed-Charge'!C16,Data!$A$2:$A$5,Data!$D$2:$D$5)</f>
        <v>31.73</v>
      </c>
      <c r="G16" s="2">
        <f>_xlfn.XLOOKUP(C16,Data!$A$2:$A$5,Data!$E$2:$E$5)</f>
        <v>-78.78</v>
      </c>
      <c r="H16" s="2">
        <f>_xlfn.XLOOKUP(D16,Data!$A$8:$A$13,Data!$D$8:$D$13)</f>
        <v>49.27</v>
      </c>
      <c r="I16" s="2">
        <f>_xlfn.XLOOKUP(D16,Data!$A$8:$A$13,Data!$E$8:$E$13)</f>
        <v>-122.21</v>
      </c>
      <c r="J16" s="4">
        <f t="shared" si="0"/>
        <v>60.97</v>
      </c>
      <c r="M16" s="15" t="s">
        <v>31</v>
      </c>
      <c r="N16" s="16" cm="1">
        <f t="array" ref="N16:S16">_xlfn.TOROW(Data!C8:C13)</f>
        <v>973</v>
      </c>
      <c r="O16" s="16">
        <v>805</v>
      </c>
      <c r="P16" s="16">
        <v>521</v>
      </c>
      <c r="Q16" s="16">
        <v>550</v>
      </c>
      <c r="R16" s="16">
        <v>707</v>
      </c>
      <c r="S16" s="17">
        <v>959</v>
      </c>
    </row>
    <row r="17" spans="2:19" x14ac:dyDescent="0.35">
      <c r="B17" s="3" t="str">
        <f>_xlfn.XLOOKUP(C17,Data!$A$2:$A$5,Data!$B$2:$B$5)</f>
        <v>Bubblegum Bay</v>
      </c>
      <c r="C17" s="2">
        <v>3</v>
      </c>
      <c r="D17" s="2">
        <v>2</v>
      </c>
      <c r="E17" s="2" t="str">
        <f>_xlfn.XLOOKUP(D17,Data!$A$8:$A$13,Data!$B$8:$B$13)</f>
        <v>Mallow Melt Mountains</v>
      </c>
      <c r="F17" s="2">
        <f>_xlfn.XLOOKUP('Caramelo Fixed-Charge'!C17,Data!$A$2:$A$5,Data!$D$2:$D$5)</f>
        <v>31.73</v>
      </c>
      <c r="G17" s="2">
        <f>_xlfn.XLOOKUP(C17,Data!$A$2:$A$5,Data!$E$2:$E$5)</f>
        <v>-78.78</v>
      </c>
      <c r="H17" s="2">
        <f>_xlfn.XLOOKUP(D17,Data!$A$8:$A$13,Data!$D$8:$D$13)</f>
        <v>46.82</v>
      </c>
      <c r="I17" s="2">
        <f>_xlfn.XLOOKUP(D17,Data!$A$8:$A$13,Data!$E$8:$E$13)</f>
        <v>-97.83</v>
      </c>
      <c r="J17" s="4">
        <f t="shared" si="0"/>
        <v>34.14</v>
      </c>
    </row>
    <row r="18" spans="2:19" ht="15" thickBot="1" x14ac:dyDescent="0.4">
      <c r="B18" s="3" t="str">
        <f>_xlfn.XLOOKUP(C18,Data!$A$2:$A$5,Data!$B$2:$B$5)</f>
        <v>Bubblegum Bay</v>
      </c>
      <c r="C18" s="2">
        <v>3</v>
      </c>
      <c r="D18" s="2">
        <v>3</v>
      </c>
      <c r="E18" s="2" t="str">
        <f>_xlfn.XLOOKUP(D18,Data!$A$8:$A$13,Data!$B$8:$B$13)</f>
        <v>Sherbet Shoreline</v>
      </c>
      <c r="F18" s="2">
        <f>_xlfn.XLOOKUP('Caramelo Fixed-Charge'!C18,Data!$A$2:$A$5,Data!$D$2:$D$5)</f>
        <v>31.73</v>
      </c>
      <c r="G18" s="2">
        <f>_xlfn.XLOOKUP(C18,Data!$A$2:$A$5,Data!$E$2:$E$5)</f>
        <v>-78.78</v>
      </c>
      <c r="H18" s="2">
        <f>_xlfn.XLOOKUP(D18,Data!$A$8:$A$13,Data!$D$8:$D$13)</f>
        <v>25.36</v>
      </c>
      <c r="I18" s="2">
        <f>_xlfn.XLOOKUP(D18,Data!$A$8:$A$13,Data!$E$8:$E$13)</f>
        <v>-99.09</v>
      </c>
      <c r="J18" s="4">
        <f t="shared" si="0"/>
        <v>26.680000000000003</v>
      </c>
    </row>
    <row r="19" spans="2:19" ht="15" thickBot="1" x14ac:dyDescent="0.4">
      <c r="B19" s="3" t="str">
        <f>_xlfn.XLOOKUP(C19,Data!$A$2:$A$5,Data!$B$2:$B$5)</f>
        <v>Bubblegum Bay</v>
      </c>
      <c r="C19" s="2">
        <v>3</v>
      </c>
      <c r="D19" s="2">
        <v>4</v>
      </c>
      <c r="E19" s="2" t="str">
        <f>_xlfn.XLOOKUP(D19,Data!$A$8:$A$13,Data!$B$8:$B$13)</f>
        <v>Vanilla Chai Vortex</v>
      </c>
      <c r="F19" s="2">
        <f>_xlfn.XLOOKUP('Caramelo Fixed-Charge'!C19,Data!$A$2:$A$5,Data!$D$2:$D$5)</f>
        <v>31.73</v>
      </c>
      <c r="G19" s="2">
        <f>_xlfn.XLOOKUP(C19,Data!$A$2:$A$5,Data!$E$2:$E$5)</f>
        <v>-78.78</v>
      </c>
      <c r="H19" s="2">
        <f>_xlfn.XLOOKUP(D19,Data!$A$8:$A$13,Data!$D$8:$D$13)</f>
        <v>40.47</v>
      </c>
      <c r="I19" s="2">
        <f>_xlfn.XLOOKUP(D19,Data!$A$8:$A$13,Data!$E$8:$E$13)</f>
        <v>-102.52</v>
      </c>
      <c r="J19" s="4">
        <f t="shared" si="0"/>
        <v>32.47999999999999</v>
      </c>
      <c r="L19" s="42" t="s">
        <v>34</v>
      </c>
      <c r="M19" s="31" cm="1">
        <f t="array" ref="M19:P19">_xlfn.TOROW(Data!C2:C5)</f>
        <v>2467</v>
      </c>
      <c r="N19" s="31">
        <v>2163</v>
      </c>
      <c r="O19" s="31">
        <v>2327</v>
      </c>
      <c r="P19" s="32">
        <v>2213</v>
      </c>
    </row>
    <row r="20" spans="2:19" ht="15" thickBot="1" x14ac:dyDescent="0.4">
      <c r="B20" s="3" t="str">
        <f>_xlfn.XLOOKUP(C20,Data!$A$2:$A$5,Data!$B$2:$B$5)</f>
        <v>Bubblegum Bay</v>
      </c>
      <c r="C20" s="2">
        <v>3</v>
      </c>
      <c r="D20" s="2">
        <v>5</v>
      </c>
      <c r="E20" s="2" t="str">
        <f>_xlfn.XLOOKUP(D20,Data!$A$8:$A$13,Data!$B$8:$B$13)</f>
        <v>Lollipop Lagoon</v>
      </c>
      <c r="F20" s="2">
        <f>_xlfn.XLOOKUP('Caramelo Fixed-Charge'!C20,Data!$A$2:$A$5,Data!$D$2:$D$5)</f>
        <v>31.73</v>
      </c>
      <c r="G20" s="2">
        <f>_xlfn.XLOOKUP(C20,Data!$A$2:$A$5,Data!$E$2:$E$5)</f>
        <v>-78.78</v>
      </c>
      <c r="H20" s="2">
        <f>_xlfn.XLOOKUP(D20,Data!$A$8:$A$13,Data!$D$8:$D$13)</f>
        <v>48.33</v>
      </c>
      <c r="I20" s="2">
        <f>_xlfn.XLOOKUP(D20,Data!$A$8:$A$13,Data!$E$8:$E$13)</f>
        <v>-104.71</v>
      </c>
      <c r="J20" s="4">
        <f t="shared" si="0"/>
        <v>42.529999999999987</v>
      </c>
      <c r="L20" s="43" t="s">
        <v>35</v>
      </c>
      <c r="M20" s="33">
        <f>M19*M22</f>
        <v>2467</v>
      </c>
      <c r="N20" s="33">
        <f t="shared" ref="N20:P20" si="4">N19*N22</f>
        <v>0</v>
      </c>
      <c r="O20" s="33">
        <f t="shared" si="4"/>
        <v>2327</v>
      </c>
      <c r="P20" s="34">
        <f t="shared" si="4"/>
        <v>0</v>
      </c>
    </row>
    <row r="21" spans="2:19" ht="15" thickBot="1" x14ac:dyDescent="0.4">
      <c r="B21" s="3" t="str">
        <f>_xlfn.XLOOKUP(C21,Data!$A$2:$A$5,Data!$B$2:$B$5)</f>
        <v>Bubblegum Bay</v>
      </c>
      <c r="C21" s="2">
        <v>3</v>
      </c>
      <c r="D21" s="2">
        <v>6</v>
      </c>
      <c r="E21" s="2" t="str">
        <f>_xlfn.XLOOKUP(D21,Data!$A$8:$A$13,Data!$B$8:$B$13)</f>
        <v>Pixie Stix Plateau</v>
      </c>
      <c r="F21" s="2">
        <f>_xlfn.XLOOKUP('Caramelo Fixed-Charge'!C21,Data!$A$2:$A$5,Data!$D$2:$D$5)</f>
        <v>31.73</v>
      </c>
      <c r="G21" s="2">
        <f>_xlfn.XLOOKUP(C21,Data!$A$2:$A$5,Data!$E$2:$E$5)</f>
        <v>-78.78</v>
      </c>
      <c r="H21" s="2">
        <f>_xlfn.XLOOKUP(D21,Data!$A$8:$A$13,Data!$D$8:$D$13)</f>
        <v>27.33</v>
      </c>
      <c r="I21" s="2">
        <f>_xlfn.XLOOKUP(D21,Data!$A$8:$A$13,Data!$E$8:$E$13)</f>
        <v>-79.3</v>
      </c>
      <c r="J21" s="4">
        <f t="shared" si="0"/>
        <v>4.9199999999999982</v>
      </c>
    </row>
    <row r="22" spans="2:19" ht="15" thickBot="1" x14ac:dyDescent="0.4">
      <c r="B22" s="3" t="str">
        <f>_xlfn.XLOOKUP(C22,Data!$A$2:$A$5,Data!$B$2:$B$5)</f>
        <v>Fizzwhiz Fjord</v>
      </c>
      <c r="C22" s="2">
        <v>4</v>
      </c>
      <c r="D22" s="2">
        <v>1</v>
      </c>
      <c r="E22" s="2" t="str">
        <f>_xlfn.XLOOKUP(D22,Data!$A$8:$A$13,Data!$B$8:$B$13)</f>
        <v>Toffee Town</v>
      </c>
      <c r="F22" s="2">
        <f>_xlfn.XLOOKUP('Caramelo Fixed-Charge'!C22,Data!$A$2:$A$5,Data!$D$2:$D$5)</f>
        <v>43.92</v>
      </c>
      <c r="G22" s="2">
        <f>_xlfn.XLOOKUP(C22,Data!$A$2:$A$5,Data!$E$2:$E$5)</f>
        <v>-119.6</v>
      </c>
      <c r="H22" s="2">
        <f>_xlfn.XLOOKUP(D22,Data!$A$8:$A$13,Data!$D$8:$D$13)</f>
        <v>49.27</v>
      </c>
      <c r="I22" s="2">
        <f>_xlfn.XLOOKUP(D22,Data!$A$8:$A$13,Data!$E$8:$E$13)</f>
        <v>-122.21</v>
      </c>
      <c r="J22" s="4">
        <f t="shared" si="0"/>
        <v>7.9600000000000009</v>
      </c>
      <c r="L22" s="44" t="s">
        <v>32</v>
      </c>
      <c r="M22" s="36">
        <v>1</v>
      </c>
      <c r="N22" s="36">
        <v>0</v>
      </c>
      <c r="O22" s="36">
        <v>1</v>
      </c>
      <c r="P22" s="36">
        <v>0</v>
      </c>
      <c r="Q22" s="35">
        <f>SUM(M22:P22)</f>
        <v>2</v>
      </c>
    </row>
    <row r="23" spans="2:19" ht="15" thickBot="1" x14ac:dyDescent="0.4">
      <c r="B23" s="3" t="str">
        <f>_xlfn.XLOOKUP(C23,Data!$A$2:$A$5,Data!$B$2:$B$5)</f>
        <v>Fizzwhiz Fjord</v>
      </c>
      <c r="C23" s="2">
        <v>4</v>
      </c>
      <c r="D23" s="2">
        <v>2</v>
      </c>
      <c r="E23" s="2" t="str">
        <f>_xlfn.XLOOKUP(D23,Data!$A$8:$A$13,Data!$B$8:$B$13)</f>
        <v>Mallow Melt Mountains</v>
      </c>
      <c r="F23" s="2">
        <f>_xlfn.XLOOKUP('Caramelo Fixed-Charge'!C23,Data!$A$2:$A$5,Data!$D$2:$D$5)</f>
        <v>43.92</v>
      </c>
      <c r="G23" s="2">
        <f>_xlfn.XLOOKUP(C23,Data!$A$2:$A$5,Data!$E$2:$E$5)</f>
        <v>-119.6</v>
      </c>
      <c r="H23" s="2">
        <f>_xlfn.XLOOKUP(D23,Data!$A$8:$A$13,Data!$D$8:$D$13)</f>
        <v>46.82</v>
      </c>
      <c r="I23" s="2">
        <f>_xlfn.XLOOKUP(D23,Data!$A$8:$A$13,Data!$E$8:$E$13)</f>
        <v>-97.83</v>
      </c>
      <c r="J23" s="4">
        <f t="shared" si="0"/>
        <v>24.669999999999995</v>
      </c>
      <c r="L23" s="45" t="s">
        <v>33</v>
      </c>
      <c r="M23" s="37">
        <f>T11-(M25*M22)</f>
        <v>-1480</v>
      </c>
      <c r="N23" s="37">
        <f>T12-(N25*N22)</f>
        <v>0</v>
      </c>
      <c r="O23" s="37">
        <f>T13-(O25*O22)</f>
        <v>-3035</v>
      </c>
      <c r="P23" s="38">
        <f>T14-(P25*P22)</f>
        <v>0</v>
      </c>
    </row>
    <row r="24" spans="2:19" x14ac:dyDescent="0.35">
      <c r="B24" s="3" t="str">
        <f>_xlfn.XLOOKUP(C24,Data!$A$2:$A$5,Data!$B$2:$B$5)</f>
        <v>Fizzwhiz Fjord</v>
      </c>
      <c r="C24" s="2">
        <v>4</v>
      </c>
      <c r="D24" s="2">
        <v>3</v>
      </c>
      <c r="E24" s="2" t="str">
        <f>_xlfn.XLOOKUP(D24,Data!$A$8:$A$13,Data!$B$8:$B$13)</f>
        <v>Sherbet Shoreline</v>
      </c>
      <c r="F24" s="2">
        <f>_xlfn.XLOOKUP('Caramelo Fixed-Charge'!C24,Data!$A$2:$A$5,Data!$D$2:$D$5)</f>
        <v>43.92</v>
      </c>
      <c r="G24" s="2">
        <f>_xlfn.XLOOKUP(C24,Data!$A$2:$A$5,Data!$E$2:$E$5)</f>
        <v>-119.6</v>
      </c>
      <c r="H24" s="2">
        <f>_xlfn.XLOOKUP(D24,Data!$A$8:$A$13,Data!$D$8:$D$13)</f>
        <v>25.36</v>
      </c>
      <c r="I24" s="2">
        <f>_xlfn.XLOOKUP(D24,Data!$A$8:$A$13,Data!$E$8:$E$13)</f>
        <v>-99.09</v>
      </c>
      <c r="J24" s="4">
        <f t="shared" si="0"/>
        <v>39.069999999999993</v>
      </c>
    </row>
    <row r="25" spans="2:19" x14ac:dyDescent="0.35">
      <c r="B25" s="3" t="str">
        <f>_xlfn.XLOOKUP(C25,Data!$A$2:$A$5,Data!$B$2:$B$5)</f>
        <v>Fizzwhiz Fjord</v>
      </c>
      <c r="C25" s="2">
        <v>4</v>
      </c>
      <c r="D25" s="2">
        <v>4</v>
      </c>
      <c r="E25" s="2" t="str">
        <f>_xlfn.XLOOKUP(D25,Data!$A$8:$A$13,Data!$B$8:$B$13)</f>
        <v>Vanilla Chai Vortex</v>
      </c>
      <c r="F25" s="2">
        <f>_xlfn.XLOOKUP('Caramelo Fixed-Charge'!C25,Data!$A$2:$A$5,Data!$D$2:$D$5)</f>
        <v>43.92</v>
      </c>
      <c r="G25" s="2">
        <f>_xlfn.XLOOKUP(C25,Data!$A$2:$A$5,Data!$E$2:$E$5)</f>
        <v>-119.6</v>
      </c>
      <c r="H25" s="2">
        <f>_xlfn.XLOOKUP(D25,Data!$A$8:$A$13,Data!$D$8:$D$13)</f>
        <v>40.47</v>
      </c>
      <c r="I25" s="2">
        <f>_xlfn.XLOOKUP(D25,Data!$A$8:$A$13,Data!$E$8:$E$13)</f>
        <v>-102.52</v>
      </c>
      <c r="J25" s="4">
        <f t="shared" si="0"/>
        <v>20.53</v>
      </c>
      <c r="M25" s="46">
        <v>4515</v>
      </c>
      <c r="N25" s="46">
        <v>4515</v>
      </c>
      <c r="O25" s="46">
        <v>4515</v>
      </c>
      <c r="P25" s="46">
        <v>4515</v>
      </c>
    </row>
    <row r="26" spans="2:19" x14ac:dyDescent="0.35">
      <c r="B26" s="3" t="str">
        <f>_xlfn.XLOOKUP(C26,Data!$A$2:$A$5,Data!$B$2:$B$5)</f>
        <v>Fizzwhiz Fjord</v>
      </c>
      <c r="C26" s="2">
        <v>4</v>
      </c>
      <c r="D26" s="2">
        <v>5</v>
      </c>
      <c r="E26" s="2" t="str">
        <f>_xlfn.XLOOKUP(D26,Data!$A$8:$A$13,Data!$B$8:$B$13)</f>
        <v>Lollipop Lagoon</v>
      </c>
      <c r="F26" s="2">
        <f>_xlfn.XLOOKUP('Caramelo Fixed-Charge'!C26,Data!$A$2:$A$5,Data!$D$2:$D$5)</f>
        <v>43.92</v>
      </c>
      <c r="G26" s="2">
        <f>_xlfn.XLOOKUP(C26,Data!$A$2:$A$5,Data!$E$2:$E$5)</f>
        <v>-119.6</v>
      </c>
      <c r="H26" s="2">
        <f>_xlfn.XLOOKUP(D26,Data!$A$8:$A$13,Data!$D$8:$D$13)</f>
        <v>48.33</v>
      </c>
      <c r="I26" s="2">
        <f>_xlfn.XLOOKUP(D26,Data!$A$8:$A$13,Data!$E$8:$E$13)</f>
        <v>-104.71</v>
      </c>
      <c r="J26" s="4">
        <f t="shared" si="0"/>
        <v>19.299999999999997</v>
      </c>
    </row>
    <row r="27" spans="2:19" ht="15" thickBot="1" x14ac:dyDescent="0.4">
      <c r="B27" s="5" t="str">
        <f>_xlfn.XLOOKUP(C27,Data!$A$2:$A$5,Data!$B$2:$B$5)</f>
        <v>Fizzwhiz Fjord</v>
      </c>
      <c r="C27" s="6">
        <v>4</v>
      </c>
      <c r="D27" s="6">
        <v>6</v>
      </c>
      <c r="E27" s="6" t="str">
        <f>_xlfn.XLOOKUP(D27,Data!$A$8:$A$13,Data!$B$8:$B$13)</f>
        <v>Pixie Stix Plateau</v>
      </c>
      <c r="F27" s="6">
        <f>_xlfn.XLOOKUP('Caramelo Fixed-Charge'!C27,Data!$A$2:$A$5,Data!$D$2:$D$5)</f>
        <v>43.92</v>
      </c>
      <c r="G27" s="6">
        <f>_xlfn.XLOOKUP(C27,Data!$A$2:$A$5,Data!$E$2:$E$5)</f>
        <v>-119.6</v>
      </c>
      <c r="H27" s="6">
        <f>_xlfn.XLOOKUP(D27,Data!$A$8:$A$13,Data!$D$8:$D$13)</f>
        <v>27.33</v>
      </c>
      <c r="I27" s="6">
        <f>_xlfn.XLOOKUP(D27,Data!$A$8:$A$13,Data!$E$8:$E$13)</f>
        <v>-79.3</v>
      </c>
      <c r="J27" s="7">
        <f t="shared" si="0"/>
        <v>56.89</v>
      </c>
    </row>
    <row r="28" spans="2:19" x14ac:dyDescent="0.35">
      <c r="O28" s="1"/>
      <c r="P28" s="1"/>
      <c r="Q28" s="1"/>
      <c r="R28" s="1"/>
      <c r="S28" s="1"/>
    </row>
    <row r="29" spans="2:19" x14ac:dyDescent="0.35">
      <c r="M29" s="1"/>
      <c r="N29" s="1"/>
      <c r="O29" s="1"/>
      <c r="P29" s="1"/>
      <c r="Q29" s="1"/>
      <c r="R29" s="1"/>
      <c r="S29" s="1"/>
    </row>
    <row r="30" spans="2:19" x14ac:dyDescent="0.35">
      <c r="M30" s="1"/>
      <c r="N30" s="1"/>
      <c r="O30" s="1"/>
      <c r="P30" s="1"/>
      <c r="Q30" s="1"/>
      <c r="R30" s="1"/>
      <c r="S30" s="1"/>
    </row>
    <row r="31" spans="2:19" x14ac:dyDescent="0.35">
      <c r="M31" s="1"/>
      <c r="N31" s="1"/>
      <c r="O31" s="1"/>
      <c r="P31" s="1"/>
      <c r="Q31" s="1"/>
      <c r="R31" s="1"/>
      <c r="S31" s="1"/>
    </row>
    <row r="32" spans="2:19" x14ac:dyDescent="0.35">
      <c r="M32" s="1"/>
      <c r="N32" s="1"/>
      <c r="O32" s="1"/>
      <c r="P32" s="1"/>
      <c r="Q32" s="1"/>
      <c r="R32" s="1"/>
      <c r="S32" s="1"/>
    </row>
  </sheetData>
  <mergeCells count="2">
    <mergeCell ref="B3:C3"/>
    <mergeCell ref="D3:E3"/>
  </mergeCells>
  <pageMargins left="0.7" right="0.7" top="0.75" bottom="0.75" header="0.3" footer="0.3"/>
  <ignoredErrors>
    <ignoredError sqref="N15:S15 T11:T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6B4A-C07E-478D-98BC-03ACD164EB1E}">
  <dimension ref="B2:V32"/>
  <sheetViews>
    <sheetView topLeftCell="A2" zoomScale="70" zoomScaleNormal="70" workbookViewId="0">
      <selection activeCell="V6" sqref="V6"/>
    </sheetView>
  </sheetViews>
  <sheetFormatPr defaultRowHeight="14.5" x14ac:dyDescent="0.35"/>
  <cols>
    <col min="1" max="1" width="10" bestFit="1" customWidth="1"/>
    <col min="2" max="2" width="16.54296875" bestFit="1" customWidth="1"/>
    <col min="3" max="4" width="1.81640625" bestFit="1" customWidth="1"/>
    <col min="5" max="5" width="19.81640625" bestFit="1" customWidth="1"/>
    <col min="6" max="6" width="6.7265625" bestFit="1" customWidth="1"/>
    <col min="7" max="7" width="8.1796875" bestFit="1" customWidth="1"/>
    <col min="8" max="8" width="6.36328125" bestFit="1" customWidth="1"/>
    <col min="9" max="9" width="7.7265625" bestFit="1" customWidth="1"/>
    <col min="10" max="10" width="9.81640625" bestFit="1" customWidth="1"/>
    <col min="11" max="11" width="9.54296875" customWidth="1"/>
    <col min="12" max="12" width="11.08984375" bestFit="1" customWidth="1"/>
    <col min="13" max="13" width="8.1796875" bestFit="1" customWidth="1"/>
    <col min="14" max="19" width="5.81640625" bestFit="1" customWidth="1"/>
    <col min="20" max="20" width="10.08984375" bestFit="1" customWidth="1"/>
    <col min="22" max="22" width="12.1796875" bestFit="1" customWidth="1"/>
  </cols>
  <sheetData>
    <row r="2" spans="2:22" ht="15" thickBot="1" x14ac:dyDescent="0.4"/>
    <row r="3" spans="2:22" ht="15" thickBot="1" x14ac:dyDescent="0.4">
      <c r="B3" s="55" t="s">
        <v>21</v>
      </c>
      <c r="C3" s="56"/>
      <c r="D3" s="56" t="s">
        <v>22</v>
      </c>
      <c r="E3" s="56"/>
      <c r="F3" s="40" t="s">
        <v>23</v>
      </c>
      <c r="G3" s="40" t="s">
        <v>24</v>
      </c>
      <c r="H3" s="40" t="s">
        <v>25</v>
      </c>
      <c r="I3" s="40" t="s">
        <v>26</v>
      </c>
      <c r="J3" s="41" t="s">
        <v>27</v>
      </c>
    </row>
    <row r="4" spans="2:22" ht="15" thickBot="1" x14ac:dyDescent="0.4">
      <c r="B4" s="3" t="str">
        <f>_xlfn.XLOOKUP(C4,Data!$A$2:$A$5,Data!$B$2:$B$5)</f>
        <v>Jelly River Delta</v>
      </c>
      <c r="C4" s="2">
        <v>1</v>
      </c>
      <c r="D4" s="2">
        <v>1</v>
      </c>
      <c r="E4" s="2" t="str">
        <f>_xlfn.XLOOKUP(D4,Data!$A$8:$A$13,Data!$B$8:$B$13)</f>
        <v>Toffee Town</v>
      </c>
      <c r="F4" s="2">
        <f>_xlfn.XLOOKUP('Model Stipulation 1'!C4,Data!$A$2:$A$5,Data!$D$2:$D$5)</f>
        <v>43.11</v>
      </c>
      <c r="G4" s="2">
        <f>_xlfn.XLOOKUP(C4,Data!$A$2:$A$5,Data!$E$2:$E$5)</f>
        <v>-108.68</v>
      </c>
      <c r="H4" s="2">
        <f>_xlfn.XLOOKUP(D4,Data!$A$8:$A$13,Data!$D$8:$D$13)</f>
        <v>49.27</v>
      </c>
      <c r="I4" s="2">
        <f>_xlfn.XLOOKUP(D4,Data!$A$8:$A$13,Data!$E$8:$E$13)</f>
        <v>-122.21</v>
      </c>
      <c r="J4" s="4">
        <f>ABS(F4-H4)+ABS(G4-I4)</f>
        <v>19.689999999999991</v>
      </c>
      <c r="M4" s="10" t="s">
        <v>28</v>
      </c>
      <c r="N4" s="22">
        <v>1</v>
      </c>
      <c r="O4" s="22">
        <v>2</v>
      </c>
      <c r="P4" s="22">
        <v>3</v>
      </c>
      <c r="Q4" s="22">
        <v>4</v>
      </c>
      <c r="R4" s="22">
        <v>5</v>
      </c>
      <c r="S4" s="23">
        <v>6</v>
      </c>
      <c r="V4" s="8" t="s">
        <v>36</v>
      </c>
    </row>
    <row r="5" spans="2:22" ht="15" thickBot="1" x14ac:dyDescent="0.4">
      <c r="B5" s="3" t="str">
        <f>_xlfn.XLOOKUP(C5,Data!$A$2:$A$5,Data!$B$2:$B$5)</f>
        <v>Jelly River Delta</v>
      </c>
      <c r="C5" s="2">
        <v>1</v>
      </c>
      <c r="D5" s="2">
        <v>2</v>
      </c>
      <c r="E5" s="2" t="str">
        <f>_xlfn.XLOOKUP(D5,Data!$A$8:$A$13,Data!$B$8:$B$13)</f>
        <v>Mallow Melt Mountains</v>
      </c>
      <c r="F5" s="2">
        <f>_xlfn.XLOOKUP('Model Stipulation 1'!C5,Data!$A$2:$A$5,Data!$D$2:$D$5)</f>
        <v>43.11</v>
      </c>
      <c r="G5" s="2">
        <f>_xlfn.XLOOKUP(C5,Data!$A$2:$A$5,Data!$E$2:$E$5)</f>
        <v>-108.68</v>
      </c>
      <c r="H5" s="2">
        <f>_xlfn.XLOOKUP(D5,Data!$A$8:$A$13,Data!$D$8:$D$13)</f>
        <v>46.82</v>
      </c>
      <c r="I5" s="2">
        <f>_xlfn.XLOOKUP(D5,Data!$A$8:$A$13,Data!$E$8:$E$13)</f>
        <v>-97.83</v>
      </c>
      <c r="J5" s="4">
        <f t="shared" ref="J5:J27" si="0">ABS(F5-H5)+ABS(G5-I5)</f>
        <v>14.560000000000009</v>
      </c>
      <c r="M5" s="21">
        <v>1</v>
      </c>
      <c r="N5" s="26" cm="1">
        <f t="array" ref="N5:S5">_xlfn.TOROW(J4:J9)</f>
        <v>19.689999999999991</v>
      </c>
      <c r="O5" s="27">
        <v>14.560000000000009</v>
      </c>
      <c r="P5" s="27">
        <v>27.340000000000003</v>
      </c>
      <c r="Q5" s="27">
        <v>8.8000000000000114</v>
      </c>
      <c r="R5" s="27">
        <v>9.1900000000000119</v>
      </c>
      <c r="S5" s="28">
        <v>45.160000000000011</v>
      </c>
      <c r="V5" s="52">
        <f>SUMPRODUCT(N5:S8,N11:S14)+SUMPRODUCT(M19:P19,M22:P22)</f>
        <v>102236.08000000002</v>
      </c>
    </row>
    <row r="6" spans="2:22" x14ac:dyDescent="0.35">
      <c r="B6" s="3" t="str">
        <f>_xlfn.XLOOKUP(C6,Data!$A$2:$A$5,Data!$B$2:$B$5)</f>
        <v>Jelly River Delta</v>
      </c>
      <c r="C6" s="2">
        <v>1</v>
      </c>
      <c r="D6" s="2">
        <v>3</v>
      </c>
      <c r="E6" s="2" t="str">
        <f>_xlfn.XLOOKUP(D6,Data!$A$8:$A$13,Data!$B$8:$B$13)</f>
        <v>Sherbet Shoreline</v>
      </c>
      <c r="F6" s="2">
        <f>_xlfn.XLOOKUP('Model Stipulation 1'!C6,Data!$A$2:$A$5,Data!$D$2:$D$5)</f>
        <v>43.11</v>
      </c>
      <c r="G6" s="2">
        <f>_xlfn.XLOOKUP(C6,Data!$A$2:$A$5,Data!$E$2:$E$5)</f>
        <v>-108.68</v>
      </c>
      <c r="H6" s="2">
        <f>_xlfn.XLOOKUP(D6,Data!$A$8:$A$13,Data!$D$8:$D$13)</f>
        <v>25.36</v>
      </c>
      <c r="I6" s="2">
        <f>_xlfn.XLOOKUP(D6,Data!$A$8:$A$13,Data!$E$8:$E$13)</f>
        <v>-99.09</v>
      </c>
      <c r="J6" s="4">
        <f t="shared" si="0"/>
        <v>27.340000000000003</v>
      </c>
      <c r="M6" s="21">
        <v>2</v>
      </c>
      <c r="N6" s="29" cm="1">
        <f t="array" ref="N6:S6">_xlfn.TOROW(J10:J15)</f>
        <v>59.47999999999999</v>
      </c>
      <c r="O6" s="9">
        <v>32.649999999999991</v>
      </c>
      <c r="P6" s="9">
        <v>34.270000000000003</v>
      </c>
      <c r="Q6" s="9">
        <v>30.989999999999988</v>
      </c>
      <c r="R6" s="9">
        <v>41.039999999999985</v>
      </c>
      <c r="S6" s="11">
        <v>12.509999999999998</v>
      </c>
      <c r="V6" s="53">
        <f>V5-'Caramelo Fixed-Charge'!V5</f>
        <v>36607.020000000004</v>
      </c>
    </row>
    <row r="7" spans="2:22" x14ac:dyDescent="0.35">
      <c r="B7" s="3" t="str">
        <f>_xlfn.XLOOKUP(C7,Data!$A$2:$A$5,Data!$B$2:$B$5)</f>
        <v>Jelly River Delta</v>
      </c>
      <c r="C7" s="2">
        <v>1</v>
      </c>
      <c r="D7" s="2">
        <v>4</v>
      </c>
      <c r="E7" s="2" t="str">
        <f>_xlfn.XLOOKUP(D7,Data!$A$8:$A$13,Data!$B$8:$B$13)</f>
        <v>Vanilla Chai Vortex</v>
      </c>
      <c r="F7" s="2">
        <f>_xlfn.XLOOKUP('Model Stipulation 1'!C7,Data!$A$2:$A$5,Data!$D$2:$D$5)</f>
        <v>43.11</v>
      </c>
      <c r="G7" s="2">
        <f>_xlfn.XLOOKUP(C7,Data!$A$2:$A$5,Data!$E$2:$E$5)</f>
        <v>-108.68</v>
      </c>
      <c r="H7" s="2">
        <f>_xlfn.XLOOKUP(D7,Data!$A$8:$A$13,Data!$D$8:$D$13)</f>
        <v>40.47</v>
      </c>
      <c r="I7" s="2">
        <f>_xlfn.XLOOKUP(D7,Data!$A$8:$A$13,Data!$E$8:$E$13)</f>
        <v>-102.52</v>
      </c>
      <c r="J7" s="4">
        <f t="shared" si="0"/>
        <v>8.8000000000000114</v>
      </c>
      <c r="M7" s="21">
        <v>3</v>
      </c>
      <c r="N7" s="29" cm="1">
        <f t="array" ref="N7:S7">_xlfn.TOROW(J16:J21)</f>
        <v>60.97</v>
      </c>
      <c r="O7" s="9">
        <v>34.14</v>
      </c>
      <c r="P7" s="9">
        <v>26.680000000000003</v>
      </c>
      <c r="Q7" s="9">
        <v>32.47999999999999</v>
      </c>
      <c r="R7" s="9">
        <v>42.529999999999987</v>
      </c>
      <c r="S7" s="11">
        <v>4.9199999999999982</v>
      </c>
    </row>
    <row r="8" spans="2:22" ht="15" thickBot="1" x14ac:dyDescent="0.4">
      <c r="B8" s="3" t="str">
        <f>_xlfn.XLOOKUP(C8,Data!$A$2:$A$5,Data!$B$2:$B$5)</f>
        <v>Jelly River Delta</v>
      </c>
      <c r="C8" s="2">
        <v>1</v>
      </c>
      <c r="D8" s="2">
        <v>5</v>
      </c>
      <c r="E8" s="2" t="str">
        <f>_xlfn.XLOOKUP(D8,Data!$A$8:$A$13,Data!$B$8:$B$13)</f>
        <v>Lollipop Lagoon</v>
      </c>
      <c r="F8" s="2">
        <f>_xlfn.XLOOKUP('Model Stipulation 1'!C8,Data!$A$2:$A$5,Data!$D$2:$D$5)</f>
        <v>43.11</v>
      </c>
      <c r="G8" s="2">
        <f>_xlfn.XLOOKUP(C8,Data!$A$2:$A$5,Data!$E$2:$E$5)</f>
        <v>-108.68</v>
      </c>
      <c r="H8" s="2">
        <f>_xlfn.XLOOKUP(D8,Data!$A$8:$A$13,Data!$D$8:$D$13)</f>
        <v>48.33</v>
      </c>
      <c r="I8" s="2">
        <f>_xlfn.XLOOKUP(D8,Data!$A$8:$A$13,Data!$E$8:$E$13)</f>
        <v>-104.71</v>
      </c>
      <c r="J8" s="4">
        <f t="shared" si="0"/>
        <v>9.1900000000000119</v>
      </c>
      <c r="M8" s="39">
        <v>4</v>
      </c>
      <c r="N8" s="30" cm="1">
        <f t="array" ref="N8:S8">_xlfn.TOROW(J22:J27)</f>
        <v>7.9600000000000009</v>
      </c>
      <c r="O8" s="12">
        <v>24.669999999999995</v>
      </c>
      <c r="P8" s="12">
        <v>39.069999999999993</v>
      </c>
      <c r="Q8" s="12">
        <v>20.53</v>
      </c>
      <c r="R8" s="12">
        <v>19.299999999999997</v>
      </c>
      <c r="S8" s="13">
        <v>56.89</v>
      </c>
    </row>
    <row r="9" spans="2:22" ht="15" thickBot="1" x14ac:dyDescent="0.4">
      <c r="B9" s="3" t="str">
        <f>_xlfn.XLOOKUP(C9,Data!$A$2:$A$5,Data!$B$2:$B$5)</f>
        <v>Jelly River Delta</v>
      </c>
      <c r="C9" s="2">
        <v>1</v>
      </c>
      <c r="D9" s="2">
        <v>6</v>
      </c>
      <c r="E9" s="2" t="str">
        <f>_xlfn.XLOOKUP(D9,Data!$A$8:$A$13,Data!$B$8:$B$13)</f>
        <v>Pixie Stix Plateau</v>
      </c>
      <c r="F9" s="2">
        <f>_xlfn.XLOOKUP('Model Stipulation 1'!C9,Data!$A$2:$A$5,Data!$D$2:$D$5)</f>
        <v>43.11</v>
      </c>
      <c r="G9" s="2">
        <f>_xlfn.XLOOKUP(C9,Data!$A$2:$A$5,Data!$E$2:$E$5)</f>
        <v>-108.68</v>
      </c>
      <c r="H9" s="2">
        <f>_xlfn.XLOOKUP(D9,Data!$A$8:$A$13,Data!$D$8:$D$13)</f>
        <v>27.33</v>
      </c>
      <c r="I9" s="2">
        <f>_xlfn.XLOOKUP(D9,Data!$A$8:$A$13,Data!$E$8:$E$13)</f>
        <v>-79.3</v>
      </c>
      <c r="J9" s="4">
        <f t="shared" si="0"/>
        <v>45.160000000000011</v>
      </c>
    </row>
    <row r="10" spans="2:22" ht="15" thickBot="1" x14ac:dyDescent="0.4">
      <c r="B10" s="3" t="str">
        <f>_xlfn.XLOOKUP(C10,Data!$A$2:$A$5,Data!$B$2:$B$5)</f>
        <v>Buttercream Beach</v>
      </c>
      <c r="C10" s="2">
        <v>2</v>
      </c>
      <c r="D10" s="2">
        <v>1</v>
      </c>
      <c r="E10" s="2" t="str">
        <f>_xlfn.XLOOKUP(D10,Data!$A$8:$A$13,Data!$B$8:$B$13)</f>
        <v>Toffee Town</v>
      </c>
      <c r="F10" s="2">
        <f>_xlfn.XLOOKUP('Model Stipulation 1'!C10,Data!$A$2:$A$5,Data!$D$2:$D$5)</f>
        <v>36.270000000000003</v>
      </c>
      <c r="G10" s="2">
        <f>_xlfn.XLOOKUP(C10,Data!$A$2:$A$5,Data!$E$2:$E$5)</f>
        <v>-75.73</v>
      </c>
      <c r="H10" s="2">
        <f>_xlfn.XLOOKUP(D10,Data!$A$8:$A$13,Data!$D$8:$D$13)</f>
        <v>49.27</v>
      </c>
      <c r="I10" s="2">
        <f>_xlfn.XLOOKUP(D10,Data!$A$8:$A$13,Data!$E$8:$E$13)</f>
        <v>-122.21</v>
      </c>
      <c r="J10" s="4">
        <f t="shared" si="0"/>
        <v>59.47999999999999</v>
      </c>
      <c r="M10" s="10" t="s">
        <v>28</v>
      </c>
      <c r="N10" s="22">
        <v>1</v>
      </c>
      <c r="O10" s="22">
        <v>2</v>
      </c>
      <c r="P10" s="22">
        <v>3</v>
      </c>
      <c r="Q10" s="22">
        <v>4</v>
      </c>
      <c r="R10" s="22">
        <v>5</v>
      </c>
      <c r="S10" s="23">
        <v>6</v>
      </c>
      <c r="T10" s="18" t="s">
        <v>29</v>
      </c>
    </row>
    <row r="11" spans="2:22" x14ac:dyDescent="0.35">
      <c r="B11" s="3" t="str">
        <f>_xlfn.XLOOKUP(C11,Data!$A$2:$A$5,Data!$B$2:$B$5)</f>
        <v>Buttercream Beach</v>
      </c>
      <c r="C11" s="2">
        <v>2</v>
      </c>
      <c r="D11" s="2">
        <v>2</v>
      </c>
      <c r="E11" s="2" t="str">
        <f>_xlfn.XLOOKUP(D11,Data!$A$8:$A$13,Data!$B$8:$B$13)</f>
        <v>Mallow Melt Mountains</v>
      </c>
      <c r="F11" s="2">
        <f>_xlfn.XLOOKUP('Model Stipulation 1'!C11,Data!$A$2:$A$5,Data!$D$2:$D$5)</f>
        <v>36.270000000000003</v>
      </c>
      <c r="G11" s="2">
        <f>_xlfn.XLOOKUP(C11,Data!$A$2:$A$5,Data!$E$2:$E$5)</f>
        <v>-75.73</v>
      </c>
      <c r="H11" s="2">
        <f>_xlfn.XLOOKUP(D11,Data!$A$8:$A$13,Data!$D$8:$D$13)</f>
        <v>46.82</v>
      </c>
      <c r="I11" s="2">
        <f>_xlfn.XLOOKUP(D11,Data!$A$8:$A$13,Data!$E$8:$E$13)</f>
        <v>-97.83</v>
      </c>
      <c r="J11" s="4">
        <f t="shared" si="0"/>
        <v>32.649999999999991</v>
      </c>
      <c r="M11" s="21">
        <v>1</v>
      </c>
      <c r="N11" s="26">
        <v>973</v>
      </c>
      <c r="O11" s="27">
        <v>805</v>
      </c>
      <c r="P11" s="27">
        <v>521</v>
      </c>
      <c r="Q11" s="27">
        <v>550</v>
      </c>
      <c r="R11" s="27">
        <v>707</v>
      </c>
      <c r="S11" s="28">
        <v>959</v>
      </c>
      <c r="T11" s="19">
        <f>SUM(N11:S11)</f>
        <v>4515</v>
      </c>
    </row>
    <row r="12" spans="2:22" x14ac:dyDescent="0.35">
      <c r="B12" s="3" t="str">
        <f>_xlfn.XLOOKUP(C12,Data!$A$2:$A$5,Data!$B$2:$B$5)</f>
        <v>Buttercream Beach</v>
      </c>
      <c r="C12" s="2">
        <v>2</v>
      </c>
      <c r="D12" s="2">
        <v>3</v>
      </c>
      <c r="E12" s="2" t="str">
        <f>_xlfn.XLOOKUP(D12,Data!$A$8:$A$13,Data!$B$8:$B$13)</f>
        <v>Sherbet Shoreline</v>
      </c>
      <c r="F12" s="2">
        <f>_xlfn.XLOOKUP('Model Stipulation 1'!C12,Data!$A$2:$A$5,Data!$D$2:$D$5)</f>
        <v>36.270000000000003</v>
      </c>
      <c r="G12" s="2">
        <f>_xlfn.XLOOKUP(C12,Data!$A$2:$A$5,Data!$E$2:$E$5)</f>
        <v>-75.73</v>
      </c>
      <c r="H12" s="2">
        <f>_xlfn.XLOOKUP(D12,Data!$A$8:$A$13,Data!$D$8:$D$13)</f>
        <v>25.36</v>
      </c>
      <c r="I12" s="2">
        <f>_xlfn.XLOOKUP(D12,Data!$A$8:$A$13,Data!$E$8:$E$13)</f>
        <v>-99.09</v>
      </c>
      <c r="J12" s="4">
        <f t="shared" si="0"/>
        <v>34.270000000000003</v>
      </c>
      <c r="M12" s="21">
        <v>2</v>
      </c>
      <c r="N12" s="29">
        <v>0</v>
      </c>
      <c r="O12" s="9">
        <v>0</v>
      </c>
      <c r="P12" s="9">
        <v>0</v>
      </c>
      <c r="Q12" s="9">
        <v>0</v>
      </c>
      <c r="R12" s="9">
        <v>0</v>
      </c>
      <c r="S12" s="11">
        <v>0</v>
      </c>
      <c r="T12" s="19">
        <f t="shared" ref="T12:T14" si="1">SUM(N12:S12)</f>
        <v>0</v>
      </c>
    </row>
    <row r="13" spans="2:22" x14ac:dyDescent="0.35">
      <c r="B13" s="3" t="str">
        <f>_xlfn.XLOOKUP(C13,Data!$A$2:$A$5,Data!$B$2:$B$5)</f>
        <v>Buttercream Beach</v>
      </c>
      <c r="C13" s="2">
        <v>2</v>
      </c>
      <c r="D13" s="2">
        <v>4</v>
      </c>
      <c r="E13" s="2" t="str">
        <f>_xlfn.XLOOKUP(D13,Data!$A$8:$A$13,Data!$B$8:$B$13)</f>
        <v>Vanilla Chai Vortex</v>
      </c>
      <c r="F13" s="2">
        <f>_xlfn.XLOOKUP('Model Stipulation 1'!C13,Data!$A$2:$A$5,Data!$D$2:$D$5)</f>
        <v>36.270000000000003</v>
      </c>
      <c r="G13" s="2">
        <f>_xlfn.XLOOKUP(C13,Data!$A$2:$A$5,Data!$E$2:$E$5)</f>
        <v>-75.73</v>
      </c>
      <c r="H13" s="2">
        <f>_xlfn.XLOOKUP(D13,Data!$A$8:$A$13,Data!$D$8:$D$13)</f>
        <v>40.47</v>
      </c>
      <c r="I13" s="2">
        <f>_xlfn.XLOOKUP(D13,Data!$A$8:$A$13,Data!$E$8:$E$13)</f>
        <v>-102.52</v>
      </c>
      <c r="J13" s="4">
        <f t="shared" si="0"/>
        <v>30.989999999999988</v>
      </c>
      <c r="M13" s="21">
        <v>3</v>
      </c>
      <c r="N13" s="29">
        <v>0</v>
      </c>
      <c r="O13" s="9">
        <v>0</v>
      </c>
      <c r="P13" s="9">
        <v>0</v>
      </c>
      <c r="Q13" s="9">
        <v>0</v>
      </c>
      <c r="R13" s="9">
        <v>0</v>
      </c>
      <c r="S13" s="11">
        <v>0</v>
      </c>
      <c r="T13" s="19">
        <f t="shared" si="1"/>
        <v>0</v>
      </c>
    </row>
    <row r="14" spans="2:22" ht="15" thickBot="1" x14ac:dyDescent="0.4">
      <c r="B14" s="3" t="str">
        <f>_xlfn.XLOOKUP(C14,Data!$A$2:$A$5,Data!$B$2:$B$5)</f>
        <v>Buttercream Beach</v>
      </c>
      <c r="C14" s="2">
        <v>2</v>
      </c>
      <c r="D14" s="2">
        <v>5</v>
      </c>
      <c r="E14" s="2" t="str">
        <f>_xlfn.XLOOKUP(D14,Data!$A$8:$A$13,Data!$B$8:$B$13)</f>
        <v>Lollipop Lagoon</v>
      </c>
      <c r="F14" s="2">
        <f>_xlfn.XLOOKUP('Model Stipulation 1'!C14,Data!$A$2:$A$5,Data!$D$2:$D$5)</f>
        <v>36.270000000000003</v>
      </c>
      <c r="G14" s="2">
        <f>_xlfn.XLOOKUP(C14,Data!$A$2:$A$5,Data!$E$2:$E$5)</f>
        <v>-75.73</v>
      </c>
      <c r="H14" s="2">
        <f>_xlfn.XLOOKUP(D14,Data!$A$8:$A$13,Data!$D$8:$D$13)</f>
        <v>48.33</v>
      </c>
      <c r="I14" s="2">
        <f>_xlfn.XLOOKUP(D14,Data!$A$8:$A$13,Data!$E$8:$E$13)</f>
        <v>-104.71</v>
      </c>
      <c r="J14" s="4">
        <f t="shared" si="0"/>
        <v>41.039999999999985</v>
      </c>
      <c r="M14" s="21">
        <v>4</v>
      </c>
      <c r="N14" s="30">
        <v>0</v>
      </c>
      <c r="O14" s="12">
        <v>0</v>
      </c>
      <c r="P14" s="12">
        <v>0</v>
      </c>
      <c r="Q14" s="12">
        <v>0</v>
      </c>
      <c r="R14" s="12">
        <v>0</v>
      </c>
      <c r="S14" s="13">
        <v>0</v>
      </c>
      <c r="T14" s="20">
        <f t="shared" si="1"/>
        <v>0</v>
      </c>
    </row>
    <row r="15" spans="2:22" ht="15" thickBot="1" x14ac:dyDescent="0.4">
      <c r="B15" s="3" t="str">
        <f>_xlfn.XLOOKUP(C15,Data!$A$2:$A$5,Data!$B$2:$B$5)</f>
        <v>Buttercream Beach</v>
      </c>
      <c r="C15" s="2">
        <v>2</v>
      </c>
      <c r="D15" s="2">
        <v>6</v>
      </c>
      <c r="E15" s="2" t="str">
        <f>_xlfn.XLOOKUP(D15,Data!$A$8:$A$13,Data!$B$8:$B$13)</f>
        <v>Pixie Stix Plateau</v>
      </c>
      <c r="F15" s="2">
        <f>_xlfn.XLOOKUP('Model Stipulation 1'!C15,Data!$A$2:$A$5,Data!$D$2:$D$5)</f>
        <v>36.270000000000003</v>
      </c>
      <c r="G15" s="2">
        <f>_xlfn.XLOOKUP(C15,Data!$A$2:$A$5,Data!$E$2:$E$5)</f>
        <v>-75.73</v>
      </c>
      <c r="H15" s="2">
        <f>_xlfn.XLOOKUP(D15,Data!$A$8:$A$13,Data!$D$8:$D$13)</f>
        <v>27.33</v>
      </c>
      <c r="I15" s="2">
        <f>_xlfn.XLOOKUP(D15,Data!$A$8:$A$13,Data!$E$8:$E$13)</f>
        <v>-79.3</v>
      </c>
      <c r="J15" s="4">
        <f t="shared" si="0"/>
        <v>12.509999999999998</v>
      </c>
      <c r="M15" s="14" t="s">
        <v>30</v>
      </c>
      <c r="N15" s="24">
        <f>SUM(N11:N14)</f>
        <v>973</v>
      </c>
      <c r="O15" s="24">
        <f t="shared" ref="O15:S15" si="2">SUM(O11:O14)</f>
        <v>805</v>
      </c>
      <c r="P15" s="24">
        <f t="shared" si="2"/>
        <v>521</v>
      </c>
      <c r="Q15" s="24">
        <f t="shared" si="2"/>
        <v>550</v>
      </c>
      <c r="R15" s="24">
        <f t="shared" si="2"/>
        <v>707</v>
      </c>
      <c r="S15" s="25">
        <f t="shared" si="2"/>
        <v>959</v>
      </c>
      <c r="T15" s="47">
        <f>SUM(T11:T14)</f>
        <v>4515</v>
      </c>
    </row>
    <row r="16" spans="2:22" ht="15" thickBot="1" x14ac:dyDescent="0.4">
      <c r="B16" s="3" t="str">
        <f>_xlfn.XLOOKUP(C16,Data!$A$2:$A$5,Data!$B$2:$B$5)</f>
        <v>Bubblegum Bay</v>
      </c>
      <c r="C16" s="2">
        <v>3</v>
      </c>
      <c r="D16" s="2">
        <v>1</v>
      </c>
      <c r="E16" s="2" t="str">
        <f>_xlfn.XLOOKUP(D16,Data!$A$8:$A$13,Data!$B$8:$B$13)</f>
        <v>Toffee Town</v>
      </c>
      <c r="F16" s="2">
        <f>_xlfn.XLOOKUP('Model Stipulation 1'!C16,Data!$A$2:$A$5,Data!$D$2:$D$5)</f>
        <v>31.73</v>
      </c>
      <c r="G16" s="2">
        <f>_xlfn.XLOOKUP(C16,Data!$A$2:$A$5,Data!$E$2:$E$5)</f>
        <v>-78.78</v>
      </c>
      <c r="H16" s="2">
        <f>_xlfn.XLOOKUP(D16,Data!$A$8:$A$13,Data!$D$8:$D$13)</f>
        <v>49.27</v>
      </c>
      <c r="I16" s="2">
        <f>_xlfn.XLOOKUP(D16,Data!$A$8:$A$13,Data!$E$8:$E$13)</f>
        <v>-122.21</v>
      </c>
      <c r="J16" s="4">
        <f t="shared" si="0"/>
        <v>60.97</v>
      </c>
      <c r="M16" s="15" t="s">
        <v>31</v>
      </c>
      <c r="N16" s="16" cm="1">
        <f t="array" ref="N16:S16">_xlfn.TOROW(Data!C8:C13)</f>
        <v>973</v>
      </c>
      <c r="O16" s="16">
        <v>805</v>
      </c>
      <c r="P16" s="16">
        <v>521</v>
      </c>
      <c r="Q16" s="16">
        <v>550</v>
      </c>
      <c r="R16" s="16">
        <v>707</v>
      </c>
      <c r="S16" s="17">
        <v>959</v>
      </c>
    </row>
    <row r="17" spans="2:19" x14ac:dyDescent="0.35">
      <c r="B17" s="3" t="str">
        <f>_xlfn.XLOOKUP(C17,Data!$A$2:$A$5,Data!$B$2:$B$5)</f>
        <v>Bubblegum Bay</v>
      </c>
      <c r="C17" s="2">
        <v>3</v>
      </c>
      <c r="D17" s="2">
        <v>2</v>
      </c>
      <c r="E17" s="2" t="str">
        <f>_xlfn.XLOOKUP(D17,Data!$A$8:$A$13,Data!$B$8:$B$13)</f>
        <v>Mallow Melt Mountains</v>
      </c>
      <c r="F17" s="2">
        <f>_xlfn.XLOOKUP('Model Stipulation 1'!C17,Data!$A$2:$A$5,Data!$D$2:$D$5)</f>
        <v>31.73</v>
      </c>
      <c r="G17" s="2">
        <f>_xlfn.XLOOKUP(C17,Data!$A$2:$A$5,Data!$E$2:$E$5)</f>
        <v>-78.78</v>
      </c>
      <c r="H17" s="2">
        <f>_xlfn.XLOOKUP(D17,Data!$A$8:$A$13,Data!$D$8:$D$13)</f>
        <v>46.82</v>
      </c>
      <c r="I17" s="2">
        <f>_xlfn.XLOOKUP(D17,Data!$A$8:$A$13,Data!$E$8:$E$13)</f>
        <v>-97.83</v>
      </c>
      <c r="J17" s="4">
        <f t="shared" si="0"/>
        <v>34.14</v>
      </c>
    </row>
    <row r="18" spans="2:19" ht="15" thickBot="1" x14ac:dyDescent="0.4">
      <c r="B18" s="3" t="str">
        <f>_xlfn.XLOOKUP(C18,Data!$A$2:$A$5,Data!$B$2:$B$5)</f>
        <v>Bubblegum Bay</v>
      </c>
      <c r="C18" s="2">
        <v>3</v>
      </c>
      <c r="D18" s="2">
        <v>3</v>
      </c>
      <c r="E18" s="2" t="str">
        <f>_xlfn.XLOOKUP(D18,Data!$A$8:$A$13,Data!$B$8:$B$13)</f>
        <v>Sherbet Shoreline</v>
      </c>
      <c r="F18" s="2">
        <f>_xlfn.XLOOKUP('Model Stipulation 1'!C18,Data!$A$2:$A$5,Data!$D$2:$D$5)</f>
        <v>31.73</v>
      </c>
      <c r="G18" s="2">
        <f>_xlfn.XLOOKUP(C18,Data!$A$2:$A$5,Data!$E$2:$E$5)</f>
        <v>-78.78</v>
      </c>
      <c r="H18" s="2">
        <f>_xlfn.XLOOKUP(D18,Data!$A$8:$A$13,Data!$D$8:$D$13)</f>
        <v>25.36</v>
      </c>
      <c r="I18" s="2">
        <f>_xlfn.XLOOKUP(D18,Data!$A$8:$A$13,Data!$E$8:$E$13)</f>
        <v>-99.09</v>
      </c>
      <c r="J18" s="4">
        <f t="shared" si="0"/>
        <v>26.680000000000003</v>
      </c>
    </row>
    <row r="19" spans="2:19" ht="15" thickBot="1" x14ac:dyDescent="0.4">
      <c r="B19" s="3" t="str">
        <f>_xlfn.XLOOKUP(C19,Data!$A$2:$A$5,Data!$B$2:$B$5)</f>
        <v>Bubblegum Bay</v>
      </c>
      <c r="C19" s="2">
        <v>3</v>
      </c>
      <c r="D19" s="2">
        <v>4</v>
      </c>
      <c r="E19" s="2" t="str">
        <f>_xlfn.XLOOKUP(D19,Data!$A$8:$A$13,Data!$B$8:$B$13)</f>
        <v>Vanilla Chai Vortex</v>
      </c>
      <c r="F19" s="2">
        <f>_xlfn.XLOOKUP('Model Stipulation 1'!C19,Data!$A$2:$A$5,Data!$D$2:$D$5)</f>
        <v>31.73</v>
      </c>
      <c r="G19" s="2">
        <f>_xlfn.XLOOKUP(C19,Data!$A$2:$A$5,Data!$E$2:$E$5)</f>
        <v>-78.78</v>
      </c>
      <c r="H19" s="2">
        <f>_xlfn.XLOOKUP(D19,Data!$A$8:$A$13,Data!$D$8:$D$13)</f>
        <v>40.47</v>
      </c>
      <c r="I19" s="2">
        <f>_xlfn.XLOOKUP(D19,Data!$A$8:$A$13,Data!$E$8:$E$13)</f>
        <v>-102.52</v>
      </c>
      <c r="J19" s="4">
        <f t="shared" si="0"/>
        <v>32.47999999999999</v>
      </c>
      <c r="L19" s="42" t="s">
        <v>34</v>
      </c>
      <c r="M19" s="31" cm="1">
        <f t="array" ref="M19:P19">_xlfn.TOROW(Data!C2:C5)</f>
        <v>2467</v>
      </c>
      <c r="N19" s="31">
        <v>2163</v>
      </c>
      <c r="O19" s="31">
        <v>2327</v>
      </c>
      <c r="P19" s="32">
        <v>2213</v>
      </c>
    </row>
    <row r="20" spans="2:19" ht="15" thickBot="1" x14ac:dyDescent="0.4">
      <c r="B20" s="3" t="str">
        <f>_xlfn.XLOOKUP(C20,Data!$A$2:$A$5,Data!$B$2:$B$5)</f>
        <v>Bubblegum Bay</v>
      </c>
      <c r="C20" s="2">
        <v>3</v>
      </c>
      <c r="D20" s="2">
        <v>5</v>
      </c>
      <c r="E20" s="2" t="str">
        <f>_xlfn.XLOOKUP(D20,Data!$A$8:$A$13,Data!$B$8:$B$13)</f>
        <v>Lollipop Lagoon</v>
      </c>
      <c r="F20" s="2">
        <f>_xlfn.XLOOKUP('Model Stipulation 1'!C20,Data!$A$2:$A$5,Data!$D$2:$D$5)</f>
        <v>31.73</v>
      </c>
      <c r="G20" s="2">
        <f>_xlfn.XLOOKUP(C20,Data!$A$2:$A$5,Data!$E$2:$E$5)</f>
        <v>-78.78</v>
      </c>
      <c r="H20" s="2">
        <f>_xlfn.XLOOKUP(D20,Data!$A$8:$A$13,Data!$D$8:$D$13)</f>
        <v>48.33</v>
      </c>
      <c r="I20" s="2">
        <f>_xlfn.XLOOKUP(D20,Data!$A$8:$A$13,Data!$E$8:$E$13)</f>
        <v>-104.71</v>
      </c>
      <c r="J20" s="4">
        <f t="shared" si="0"/>
        <v>42.529999999999987</v>
      </c>
      <c r="L20" s="43" t="s">
        <v>35</v>
      </c>
      <c r="M20" s="33">
        <f>M19*M22</f>
        <v>2467</v>
      </c>
      <c r="N20" s="33">
        <f t="shared" ref="N20:P20" si="3">N19*N22</f>
        <v>0</v>
      </c>
      <c r="O20" s="33">
        <f t="shared" si="3"/>
        <v>0</v>
      </c>
      <c r="P20" s="34">
        <f t="shared" si="3"/>
        <v>0</v>
      </c>
    </row>
    <row r="21" spans="2:19" ht="15" thickBot="1" x14ac:dyDescent="0.4">
      <c r="B21" s="3" t="str">
        <f>_xlfn.XLOOKUP(C21,Data!$A$2:$A$5,Data!$B$2:$B$5)</f>
        <v>Bubblegum Bay</v>
      </c>
      <c r="C21" s="2">
        <v>3</v>
      </c>
      <c r="D21" s="2">
        <v>6</v>
      </c>
      <c r="E21" s="2" t="str">
        <f>_xlfn.XLOOKUP(D21,Data!$A$8:$A$13,Data!$B$8:$B$13)</f>
        <v>Pixie Stix Plateau</v>
      </c>
      <c r="F21" s="2">
        <f>_xlfn.XLOOKUP('Model Stipulation 1'!C21,Data!$A$2:$A$5,Data!$D$2:$D$5)</f>
        <v>31.73</v>
      </c>
      <c r="G21" s="2">
        <f>_xlfn.XLOOKUP(C21,Data!$A$2:$A$5,Data!$E$2:$E$5)</f>
        <v>-78.78</v>
      </c>
      <c r="H21" s="2">
        <f>_xlfn.XLOOKUP(D21,Data!$A$8:$A$13,Data!$D$8:$D$13)</f>
        <v>27.33</v>
      </c>
      <c r="I21" s="2">
        <f>_xlfn.XLOOKUP(D21,Data!$A$8:$A$13,Data!$E$8:$E$13)</f>
        <v>-79.3</v>
      </c>
      <c r="J21" s="4">
        <f t="shared" si="0"/>
        <v>4.9199999999999982</v>
      </c>
    </row>
    <row r="22" spans="2:19" ht="15" thickBot="1" x14ac:dyDescent="0.4">
      <c r="B22" s="3" t="str">
        <f>_xlfn.XLOOKUP(C22,Data!$A$2:$A$5,Data!$B$2:$B$5)</f>
        <v>Fizzwhiz Fjord</v>
      </c>
      <c r="C22" s="2">
        <v>4</v>
      </c>
      <c r="D22" s="2">
        <v>1</v>
      </c>
      <c r="E22" s="2" t="str">
        <f>_xlfn.XLOOKUP(D22,Data!$A$8:$A$13,Data!$B$8:$B$13)</f>
        <v>Toffee Town</v>
      </c>
      <c r="F22" s="2">
        <f>_xlfn.XLOOKUP('Model Stipulation 1'!C22,Data!$A$2:$A$5,Data!$D$2:$D$5)</f>
        <v>43.92</v>
      </c>
      <c r="G22" s="2">
        <f>_xlfn.XLOOKUP(C22,Data!$A$2:$A$5,Data!$E$2:$E$5)</f>
        <v>-119.6</v>
      </c>
      <c r="H22" s="2">
        <f>_xlfn.XLOOKUP(D22,Data!$A$8:$A$13,Data!$D$8:$D$13)</f>
        <v>49.27</v>
      </c>
      <c r="I22" s="2">
        <f>_xlfn.XLOOKUP(D22,Data!$A$8:$A$13,Data!$E$8:$E$13)</f>
        <v>-122.21</v>
      </c>
      <c r="J22" s="4">
        <f t="shared" si="0"/>
        <v>7.9600000000000009</v>
      </c>
      <c r="L22" s="44" t="s">
        <v>32</v>
      </c>
      <c r="M22" s="36">
        <v>1</v>
      </c>
      <c r="N22" s="36">
        <v>0</v>
      </c>
      <c r="O22" s="36">
        <v>0</v>
      </c>
      <c r="P22" s="36">
        <v>0</v>
      </c>
      <c r="Q22" s="35">
        <f>SUM(M22:P22)</f>
        <v>1</v>
      </c>
    </row>
    <row r="23" spans="2:19" ht="15" thickBot="1" x14ac:dyDescent="0.4">
      <c r="B23" s="3" t="str">
        <f>_xlfn.XLOOKUP(C23,Data!$A$2:$A$5,Data!$B$2:$B$5)</f>
        <v>Fizzwhiz Fjord</v>
      </c>
      <c r="C23" s="2">
        <v>4</v>
      </c>
      <c r="D23" s="2">
        <v>2</v>
      </c>
      <c r="E23" s="2" t="str">
        <f>_xlfn.XLOOKUP(D23,Data!$A$8:$A$13,Data!$B$8:$B$13)</f>
        <v>Mallow Melt Mountains</v>
      </c>
      <c r="F23" s="2">
        <f>_xlfn.XLOOKUP('Model Stipulation 1'!C23,Data!$A$2:$A$5,Data!$D$2:$D$5)</f>
        <v>43.92</v>
      </c>
      <c r="G23" s="2">
        <f>_xlfn.XLOOKUP(C23,Data!$A$2:$A$5,Data!$E$2:$E$5)</f>
        <v>-119.6</v>
      </c>
      <c r="H23" s="2">
        <f>_xlfn.XLOOKUP(D23,Data!$A$8:$A$13,Data!$D$8:$D$13)</f>
        <v>46.82</v>
      </c>
      <c r="I23" s="2">
        <f>_xlfn.XLOOKUP(D23,Data!$A$8:$A$13,Data!$E$8:$E$13)</f>
        <v>-97.83</v>
      </c>
      <c r="J23" s="4">
        <f t="shared" si="0"/>
        <v>24.669999999999995</v>
      </c>
      <c r="L23" s="45" t="s">
        <v>33</v>
      </c>
      <c r="M23" s="37">
        <f>T11-(M25*M22)</f>
        <v>0</v>
      </c>
      <c r="N23" s="37">
        <f>T12-(N25*N22)</f>
        <v>0</v>
      </c>
      <c r="O23" s="37">
        <f>T13-(O25*O22)</f>
        <v>0</v>
      </c>
      <c r="P23" s="38">
        <f>T14-(P25*P22)</f>
        <v>0</v>
      </c>
    </row>
    <row r="24" spans="2:19" x14ac:dyDescent="0.35">
      <c r="B24" s="3" t="str">
        <f>_xlfn.XLOOKUP(C24,Data!$A$2:$A$5,Data!$B$2:$B$5)</f>
        <v>Fizzwhiz Fjord</v>
      </c>
      <c r="C24" s="2">
        <v>4</v>
      </c>
      <c r="D24" s="2">
        <v>3</v>
      </c>
      <c r="E24" s="2" t="str">
        <f>_xlfn.XLOOKUP(D24,Data!$A$8:$A$13,Data!$B$8:$B$13)</f>
        <v>Sherbet Shoreline</v>
      </c>
      <c r="F24" s="2">
        <f>_xlfn.XLOOKUP('Model Stipulation 1'!C24,Data!$A$2:$A$5,Data!$D$2:$D$5)</f>
        <v>43.92</v>
      </c>
      <c r="G24" s="2">
        <f>_xlfn.XLOOKUP(C24,Data!$A$2:$A$5,Data!$E$2:$E$5)</f>
        <v>-119.6</v>
      </c>
      <c r="H24" s="2">
        <f>_xlfn.XLOOKUP(D24,Data!$A$8:$A$13,Data!$D$8:$D$13)</f>
        <v>25.36</v>
      </c>
      <c r="I24" s="2">
        <f>_xlfn.XLOOKUP(D24,Data!$A$8:$A$13,Data!$E$8:$E$13)</f>
        <v>-99.09</v>
      </c>
      <c r="J24" s="4">
        <f t="shared" si="0"/>
        <v>39.069999999999993</v>
      </c>
    </row>
    <row r="25" spans="2:19" x14ac:dyDescent="0.35">
      <c r="B25" s="3" t="str">
        <f>_xlfn.XLOOKUP(C25,Data!$A$2:$A$5,Data!$B$2:$B$5)</f>
        <v>Fizzwhiz Fjord</v>
      </c>
      <c r="C25" s="2">
        <v>4</v>
      </c>
      <c r="D25" s="2">
        <v>4</v>
      </c>
      <c r="E25" s="2" t="str">
        <f>_xlfn.XLOOKUP(D25,Data!$A$8:$A$13,Data!$B$8:$B$13)</f>
        <v>Vanilla Chai Vortex</v>
      </c>
      <c r="F25" s="2">
        <f>_xlfn.XLOOKUP('Model Stipulation 1'!C25,Data!$A$2:$A$5,Data!$D$2:$D$5)</f>
        <v>43.92</v>
      </c>
      <c r="G25" s="2">
        <f>_xlfn.XLOOKUP(C25,Data!$A$2:$A$5,Data!$E$2:$E$5)</f>
        <v>-119.6</v>
      </c>
      <c r="H25" s="2">
        <f>_xlfn.XLOOKUP(D25,Data!$A$8:$A$13,Data!$D$8:$D$13)</f>
        <v>40.47</v>
      </c>
      <c r="I25" s="2">
        <f>_xlfn.XLOOKUP(D25,Data!$A$8:$A$13,Data!$E$8:$E$13)</f>
        <v>-102.52</v>
      </c>
      <c r="J25" s="4">
        <f t="shared" si="0"/>
        <v>20.53</v>
      </c>
      <c r="M25" s="46">
        <v>4515</v>
      </c>
      <c r="N25" s="46">
        <v>4515</v>
      </c>
      <c r="O25" s="46">
        <v>4515</v>
      </c>
      <c r="P25" s="46">
        <v>4515</v>
      </c>
    </row>
    <row r="26" spans="2:19" x14ac:dyDescent="0.35">
      <c r="B26" s="3" t="str">
        <f>_xlfn.XLOOKUP(C26,Data!$A$2:$A$5,Data!$B$2:$B$5)</f>
        <v>Fizzwhiz Fjord</v>
      </c>
      <c r="C26" s="2">
        <v>4</v>
      </c>
      <c r="D26" s="2">
        <v>5</v>
      </c>
      <c r="E26" s="2" t="str">
        <f>_xlfn.XLOOKUP(D26,Data!$A$8:$A$13,Data!$B$8:$B$13)</f>
        <v>Lollipop Lagoon</v>
      </c>
      <c r="F26" s="2">
        <f>_xlfn.XLOOKUP('Model Stipulation 1'!C26,Data!$A$2:$A$5,Data!$D$2:$D$5)</f>
        <v>43.92</v>
      </c>
      <c r="G26" s="2">
        <f>_xlfn.XLOOKUP(C26,Data!$A$2:$A$5,Data!$E$2:$E$5)</f>
        <v>-119.6</v>
      </c>
      <c r="H26" s="2">
        <f>_xlfn.XLOOKUP(D26,Data!$A$8:$A$13,Data!$D$8:$D$13)</f>
        <v>48.33</v>
      </c>
      <c r="I26" s="2">
        <f>_xlfn.XLOOKUP(D26,Data!$A$8:$A$13,Data!$E$8:$E$13)</f>
        <v>-104.71</v>
      </c>
      <c r="J26" s="4">
        <f t="shared" si="0"/>
        <v>19.299999999999997</v>
      </c>
    </row>
    <row r="27" spans="2:19" ht="15" thickBot="1" x14ac:dyDescent="0.4">
      <c r="B27" s="5" t="str">
        <f>_xlfn.XLOOKUP(C27,Data!$A$2:$A$5,Data!$B$2:$B$5)</f>
        <v>Fizzwhiz Fjord</v>
      </c>
      <c r="C27" s="6">
        <v>4</v>
      </c>
      <c r="D27" s="6">
        <v>6</v>
      </c>
      <c r="E27" s="6" t="str">
        <f>_xlfn.XLOOKUP(D27,Data!$A$8:$A$13,Data!$B$8:$B$13)</f>
        <v>Pixie Stix Plateau</v>
      </c>
      <c r="F27" s="6">
        <f>_xlfn.XLOOKUP('Model Stipulation 1'!C27,Data!$A$2:$A$5,Data!$D$2:$D$5)</f>
        <v>43.92</v>
      </c>
      <c r="G27" s="6">
        <f>_xlfn.XLOOKUP(C27,Data!$A$2:$A$5,Data!$E$2:$E$5)</f>
        <v>-119.6</v>
      </c>
      <c r="H27" s="6">
        <f>_xlfn.XLOOKUP(D27,Data!$A$8:$A$13,Data!$D$8:$D$13)</f>
        <v>27.33</v>
      </c>
      <c r="I27" s="6">
        <f>_xlfn.XLOOKUP(D27,Data!$A$8:$A$13,Data!$E$8:$E$13)</f>
        <v>-79.3</v>
      </c>
      <c r="J27" s="7">
        <f t="shared" si="0"/>
        <v>56.89</v>
      </c>
    </row>
    <row r="28" spans="2:19" x14ac:dyDescent="0.35">
      <c r="O28" s="1"/>
      <c r="P28" s="1"/>
      <c r="Q28" s="1"/>
      <c r="R28" s="1"/>
      <c r="S28" s="1"/>
    </row>
    <row r="29" spans="2:19" x14ac:dyDescent="0.35">
      <c r="M29" s="1"/>
      <c r="N29" s="1"/>
      <c r="O29" s="1"/>
      <c r="P29" s="1"/>
      <c r="Q29" s="1"/>
      <c r="R29" s="1"/>
      <c r="S29" s="1"/>
    </row>
    <row r="30" spans="2:19" x14ac:dyDescent="0.35">
      <c r="M30" s="1"/>
      <c r="N30" s="1"/>
      <c r="O30" s="1"/>
      <c r="P30" s="1"/>
      <c r="Q30" s="1"/>
      <c r="R30" s="1"/>
      <c r="S30" s="1"/>
    </row>
    <row r="31" spans="2:19" x14ac:dyDescent="0.35">
      <c r="M31" s="1"/>
      <c r="N31" s="1"/>
      <c r="O31" s="1"/>
      <c r="P31" s="1"/>
      <c r="Q31" s="1"/>
      <c r="R31" s="1"/>
      <c r="S31" s="1"/>
    </row>
    <row r="32" spans="2:19" x14ac:dyDescent="0.35">
      <c r="M32" s="1"/>
      <c r="N32" s="1"/>
      <c r="O32" s="1"/>
      <c r="P32" s="1"/>
      <c r="Q32" s="1"/>
      <c r="R32" s="1"/>
      <c r="S32" s="1"/>
    </row>
  </sheetData>
  <mergeCells count="2">
    <mergeCell ref="B3:C3"/>
    <mergeCell ref="D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EC6A-0A12-4641-B963-09F5D7D53A72}">
  <dimension ref="B2:V32"/>
  <sheetViews>
    <sheetView zoomScale="70" zoomScaleNormal="70" workbookViewId="0">
      <selection activeCell="V14" sqref="V14"/>
    </sheetView>
  </sheetViews>
  <sheetFormatPr defaultRowHeight="14.5" x14ac:dyDescent="0.35"/>
  <cols>
    <col min="1" max="1" width="10" bestFit="1" customWidth="1"/>
    <col min="2" max="2" width="16.54296875" bestFit="1" customWidth="1"/>
    <col min="3" max="4" width="1.81640625" bestFit="1" customWidth="1"/>
    <col min="5" max="5" width="19.81640625" bestFit="1" customWidth="1"/>
    <col min="6" max="6" width="6.7265625" bestFit="1" customWidth="1"/>
    <col min="7" max="7" width="8.1796875" bestFit="1" customWidth="1"/>
    <col min="8" max="8" width="6.36328125" bestFit="1" customWidth="1"/>
    <col min="9" max="9" width="7.7265625" bestFit="1" customWidth="1"/>
    <col min="10" max="10" width="9.81640625" bestFit="1" customWidth="1"/>
    <col min="11" max="11" width="9.54296875" customWidth="1"/>
    <col min="12" max="12" width="16.54296875" bestFit="1" customWidth="1"/>
    <col min="13" max="13" width="8.1796875" bestFit="1" customWidth="1"/>
    <col min="14" max="19" width="5.81640625" bestFit="1" customWidth="1"/>
    <col min="20" max="20" width="10.08984375" bestFit="1" customWidth="1"/>
    <col min="22" max="22" width="13.81640625" bestFit="1" customWidth="1"/>
  </cols>
  <sheetData>
    <row r="2" spans="2:22" ht="15" thickBot="1" x14ac:dyDescent="0.4"/>
    <row r="3" spans="2:22" ht="15" thickBot="1" x14ac:dyDescent="0.4">
      <c r="B3" s="55" t="s">
        <v>21</v>
      </c>
      <c r="C3" s="56"/>
      <c r="D3" s="56" t="s">
        <v>22</v>
      </c>
      <c r="E3" s="56"/>
      <c r="F3" s="40" t="s">
        <v>23</v>
      </c>
      <c r="G3" s="40" t="s">
        <v>24</v>
      </c>
      <c r="H3" s="40" t="s">
        <v>25</v>
      </c>
      <c r="I3" s="40" t="s">
        <v>26</v>
      </c>
      <c r="J3" s="41" t="s">
        <v>27</v>
      </c>
    </row>
    <row r="4" spans="2:22" ht="15" thickBot="1" x14ac:dyDescent="0.4">
      <c r="B4" s="3" t="str">
        <f>_xlfn.XLOOKUP(C4,Data!$A$2:$A$5,Data!$B$2:$B$5)</f>
        <v>Jelly River Delta</v>
      </c>
      <c r="C4" s="2">
        <v>1</v>
      </c>
      <c r="D4" s="2">
        <v>1</v>
      </c>
      <c r="E4" s="2" t="str">
        <f>_xlfn.XLOOKUP(D4,Data!$A$8:$A$13,Data!$B$8:$B$13)</f>
        <v>Toffee Town</v>
      </c>
      <c r="F4" s="2">
        <f>_xlfn.XLOOKUP('Model Stipualtion 2'!C4,Data!$A$2:$A$5,Data!$D$2:$D$5)</f>
        <v>43.11</v>
      </c>
      <c r="G4" s="2">
        <f>_xlfn.XLOOKUP(C4,Data!$A$2:$A$5,Data!$E$2:$E$5)</f>
        <v>-108.68</v>
      </c>
      <c r="H4" s="2">
        <f>_xlfn.XLOOKUP(D4,Data!$A$8:$A$13,Data!$D$8:$D$13)</f>
        <v>49.27</v>
      </c>
      <c r="I4" s="2">
        <f>_xlfn.XLOOKUP(D4,Data!$A$8:$A$13,Data!$E$8:$E$13)</f>
        <v>-122.21</v>
      </c>
      <c r="J4" s="4">
        <f>ABS(F4-H4)+ABS(G4-I4)</f>
        <v>19.689999999999991</v>
      </c>
      <c r="M4" s="10" t="s">
        <v>28</v>
      </c>
      <c r="N4" s="22">
        <v>1</v>
      </c>
      <c r="O4" s="22">
        <v>2</v>
      </c>
      <c r="P4" s="22">
        <v>3</v>
      </c>
      <c r="Q4" s="22">
        <v>4</v>
      </c>
      <c r="R4" s="22">
        <v>5</v>
      </c>
      <c r="S4" s="23">
        <v>6</v>
      </c>
      <c r="V4" s="8" t="s">
        <v>36</v>
      </c>
    </row>
    <row r="5" spans="2:22" ht="15" thickBot="1" x14ac:dyDescent="0.4">
      <c r="B5" s="3" t="str">
        <f>_xlfn.XLOOKUP(C5,Data!$A$2:$A$5,Data!$B$2:$B$5)</f>
        <v>Jelly River Delta</v>
      </c>
      <c r="C5" s="2">
        <v>1</v>
      </c>
      <c r="D5" s="2">
        <v>2</v>
      </c>
      <c r="E5" s="2" t="str">
        <f>_xlfn.XLOOKUP(D5,Data!$A$8:$A$13,Data!$B$8:$B$13)</f>
        <v>Mallow Melt Mountains</v>
      </c>
      <c r="F5" s="2">
        <f>_xlfn.XLOOKUP('Model Stipualtion 2'!C5,Data!$A$2:$A$5,Data!$D$2:$D$5)</f>
        <v>43.11</v>
      </c>
      <c r="G5" s="2">
        <f>_xlfn.XLOOKUP(C5,Data!$A$2:$A$5,Data!$E$2:$E$5)</f>
        <v>-108.68</v>
      </c>
      <c r="H5" s="2">
        <f>_xlfn.XLOOKUP(D5,Data!$A$8:$A$13,Data!$D$8:$D$13)</f>
        <v>46.82</v>
      </c>
      <c r="I5" s="2">
        <f>_xlfn.XLOOKUP(D5,Data!$A$8:$A$13,Data!$E$8:$E$13)</f>
        <v>-97.83</v>
      </c>
      <c r="J5" s="4">
        <f t="shared" ref="J5:J27" si="0">ABS(F5-H5)+ABS(G5-I5)</f>
        <v>14.560000000000009</v>
      </c>
      <c r="M5" s="21">
        <v>1</v>
      </c>
      <c r="N5" s="26" cm="1">
        <f t="array" ref="N5:S5">_xlfn.TOROW(J4:J9)</f>
        <v>19.689999999999991</v>
      </c>
      <c r="O5" s="27">
        <v>14.560000000000009</v>
      </c>
      <c r="P5" s="27">
        <v>27.340000000000003</v>
      </c>
      <c r="Q5" s="27">
        <v>8.8000000000000114</v>
      </c>
      <c r="R5" s="27">
        <v>9.1900000000000119</v>
      </c>
      <c r="S5" s="28">
        <v>45.160000000000011</v>
      </c>
      <c r="V5" s="52">
        <f>(SUMPRODUCT(N5:S8,N11:S14)+SUMPRODUCT(M19:P19,M22:P22))*M18</f>
        <v>1968871.8000000003</v>
      </c>
    </row>
    <row r="6" spans="2:22" x14ac:dyDescent="0.35">
      <c r="B6" s="3" t="str">
        <f>_xlfn.XLOOKUP(C6,Data!$A$2:$A$5,Data!$B$2:$B$5)</f>
        <v>Jelly River Delta</v>
      </c>
      <c r="C6" s="2">
        <v>1</v>
      </c>
      <c r="D6" s="2">
        <v>3</v>
      </c>
      <c r="E6" s="2" t="str">
        <f>_xlfn.XLOOKUP(D6,Data!$A$8:$A$13,Data!$B$8:$B$13)</f>
        <v>Sherbet Shoreline</v>
      </c>
      <c r="F6" s="2">
        <f>_xlfn.XLOOKUP('Model Stipualtion 2'!C6,Data!$A$2:$A$5,Data!$D$2:$D$5)</f>
        <v>43.11</v>
      </c>
      <c r="G6" s="2">
        <f>_xlfn.XLOOKUP(C6,Data!$A$2:$A$5,Data!$E$2:$E$5)</f>
        <v>-108.68</v>
      </c>
      <c r="H6" s="2">
        <f>_xlfn.XLOOKUP(D6,Data!$A$8:$A$13,Data!$D$8:$D$13)</f>
        <v>25.36</v>
      </c>
      <c r="I6" s="2">
        <f>_xlfn.XLOOKUP(D6,Data!$A$8:$A$13,Data!$E$8:$E$13)</f>
        <v>-99.09</v>
      </c>
      <c r="J6" s="4">
        <f t="shared" si="0"/>
        <v>27.340000000000003</v>
      </c>
      <c r="M6" s="21">
        <v>2</v>
      </c>
      <c r="N6" s="29" cm="1">
        <f t="array" ref="N6:S6">_xlfn.TOROW(J10:J15)</f>
        <v>59.47999999999999</v>
      </c>
      <c r="O6" s="9">
        <v>32.649999999999991</v>
      </c>
      <c r="P6" s="9">
        <v>34.270000000000003</v>
      </c>
      <c r="Q6" s="9">
        <v>30.989999999999988</v>
      </c>
      <c r="R6" s="9">
        <v>41.039999999999985</v>
      </c>
      <c r="S6" s="11">
        <v>12.509999999999998</v>
      </c>
    </row>
    <row r="7" spans="2:22" x14ac:dyDescent="0.35">
      <c r="B7" s="3" t="str">
        <f>_xlfn.XLOOKUP(C7,Data!$A$2:$A$5,Data!$B$2:$B$5)</f>
        <v>Jelly River Delta</v>
      </c>
      <c r="C7" s="2">
        <v>1</v>
      </c>
      <c r="D7" s="2">
        <v>4</v>
      </c>
      <c r="E7" s="2" t="str">
        <f>_xlfn.XLOOKUP(D7,Data!$A$8:$A$13,Data!$B$8:$B$13)</f>
        <v>Vanilla Chai Vortex</v>
      </c>
      <c r="F7" s="2">
        <f>_xlfn.XLOOKUP('Model Stipualtion 2'!C7,Data!$A$2:$A$5,Data!$D$2:$D$5)</f>
        <v>43.11</v>
      </c>
      <c r="G7" s="2">
        <f>_xlfn.XLOOKUP(C7,Data!$A$2:$A$5,Data!$E$2:$E$5)</f>
        <v>-108.68</v>
      </c>
      <c r="H7" s="2">
        <f>_xlfn.XLOOKUP(D7,Data!$A$8:$A$13,Data!$D$8:$D$13)</f>
        <v>40.47</v>
      </c>
      <c r="I7" s="2">
        <f>_xlfn.XLOOKUP(D7,Data!$A$8:$A$13,Data!$E$8:$E$13)</f>
        <v>-102.52</v>
      </c>
      <c r="J7" s="4">
        <f t="shared" si="0"/>
        <v>8.8000000000000114</v>
      </c>
      <c r="M7" s="21">
        <v>3</v>
      </c>
      <c r="N7" s="29" cm="1">
        <f t="array" ref="N7:S7">_xlfn.TOROW(J16:J21)</f>
        <v>60.97</v>
      </c>
      <c r="O7" s="9">
        <v>34.14</v>
      </c>
      <c r="P7" s="9">
        <v>26.680000000000003</v>
      </c>
      <c r="Q7" s="9">
        <v>32.47999999999999</v>
      </c>
      <c r="R7" s="9">
        <v>42.529999999999987</v>
      </c>
      <c r="S7" s="11">
        <v>4.9199999999999982</v>
      </c>
    </row>
    <row r="8" spans="2:22" ht="15" thickBot="1" x14ac:dyDescent="0.4">
      <c r="B8" s="3" t="str">
        <f>_xlfn.XLOOKUP(C8,Data!$A$2:$A$5,Data!$B$2:$B$5)</f>
        <v>Jelly River Delta</v>
      </c>
      <c r="C8" s="2">
        <v>1</v>
      </c>
      <c r="D8" s="2">
        <v>5</v>
      </c>
      <c r="E8" s="2" t="str">
        <f>_xlfn.XLOOKUP(D8,Data!$A$8:$A$13,Data!$B$8:$B$13)</f>
        <v>Lollipop Lagoon</v>
      </c>
      <c r="F8" s="2">
        <f>_xlfn.XLOOKUP('Model Stipualtion 2'!C8,Data!$A$2:$A$5,Data!$D$2:$D$5)</f>
        <v>43.11</v>
      </c>
      <c r="G8" s="2">
        <f>_xlfn.XLOOKUP(C8,Data!$A$2:$A$5,Data!$E$2:$E$5)</f>
        <v>-108.68</v>
      </c>
      <c r="H8" s="2">
        <f>_xlfn.XLOOKUP(D8,Data!$A$8:$A$13,Data!$D$8:$D$13)</f>
        <v>48.33</v>
      </c>
      <c r="I8" s="2">
        <f>_xlfn.XLOOKUP(D8,Data!$A$8:$A$13,Data!$E$8:$E$13)</f>
        <v>-104.71</v>
      </c>
      <c r="J8" s="4">
        <f t="shared" si="0"/>
        <v>9.1900000000000119</v>
      </c>
      <c r="M8" s="39">
        <v>4</v>
      </c>
      <c r="N8" s="30" cm="1">
        <f t="array" ref="N8:S8">_xlfn.TOROW(J22:J27)</f>
        <v>7.9600000000000009</v>
      </c>
      <c r="O8" s="12">
        <v>24.669999999999995</v>
      </c>
      <c r="P8" s="12">
        <v>39.069999999999993</v>
      </c>
      <c r="Q8" s="12">
        <v>20.53</v>
      </c>
      <c r="R8" s="12">
        <v>19.299999999999997</v>
      </c>
      <c r="S8" s="13">
        <v>56.89</v>
      </c>
    </row>
    <row r="9" spans="2:22" ht="15" thickBot="1" x14ac:dyDescent="0.4">
      <c r="B9" s="3" t="str">
        <f>_xlfn.XLOOKUP(C9,Data!$A$2:$A$5,Data!$B$2:$B$5)</f>
        <v>Jelly River Delta</v>
      </c>
      <c r="C9" s="2">
        <v>1</v>
      </c>
      <c r="D9" s="2">
        <v>6</v>
      </c>
      <c r="E9" s="2" t="str">
        <f>_xlfn.XLOOKUP(D9,Data!$A$8:$A$13,Data!$B$8:$B$13)</f>
        <v>Pixie Stix Plateau</v>
      </c>
      <c r="F9" s="2">
        <f>_xlfn.XLOOKUP('Model Stipualtion 2'!C9,Data!$A$2:$A$5,Data!$D$2:$D$5)</f>
        <v>43.11</v>
      </c>
      <c r="G9" s="2">
        <f>_xlfn.XLOOKUP(C9,Data!$A$2:$A$5,Data!$E$2:$E$5)</f>
        <v>-108.68</v>
      </c>
      <c r="H9" s="2">
        <f>_xlfn.XLOOKUP(D9,Data!$A$8:$A$13,Data!$D$8:$D$13)</f>
        <v>27.33</v>
      </c>
      <c r="I9" s="2">
        <f>_xlfn.XLOOKUP(D9,Data!$A$8:$A$13,Data!$E$8:$E$13)</f>
        <v>-79.3</v>
      </c>
      <c r="J9" s="4">
        <f t="shared" si="0"/>
        <v>45.160000000000011</v>
      </c>
    </row>
    <row r="10" spans="2:22" ht="15" thickBot="1" x14ac:dyDescent="0.4">
      <c r="B10" s="3" t="str">
        <f>_xlfn.XLOOKUP(C10,Data!$A$2:$A$5,Data!$B$2:$B$5)</f>
        <v>Buttercream Beach</v>
      </c>
      <c r="C10" s="2">
        <v>2</v>
      </c>
      <c r="D10" s="2">
        <v>1</v>
      </c>
      <c r="E10" s="2" t="str">
        <f>_xlfn.XLOOKUP(D10,Data!$A$8:$A$13,Data!$B$8:$B$13)</f>
        <v>Toffee Town</v>
      </c>
      <c r="F10" s="2">
        <f>_xlfn.XLOOKUP('Model Stipualtion 2'!C10,Data!$A$2:$A$5,Data!$D$2:$D$5)</f>
        <v>36.270000000000003</v>
      </c>
      <c r="G10" s="2">
        <f>_xlfn.XLOOKUP(C10,Data!$A$2:$A$5,Data!$E$2:$E$5)</f>
        <v>-75.73</v>
      </c>
      <c r="H10" s="2">
        <f>_xlfn.XLOOKUP(D10,Data!$A$8:$A$13,Data!$D$8:$D$13)</f>
        <v>49.27</v>
      </c>
      <c r="I10" s="2">
        <f>_xlfn.XLOOKUP(D10,Data!$A$8:$A$13,Data!$E$8:$E$13)</f>
        <v>-122.21</v>
      </c>
      <c r="J10" s="4">
        <f t="shared" si="0"/>
        <v>59.47999999999999</v>
      </c>
      <c r="M10" s="10" t="s">
        <v>28</v>
      </c>
      <c r="N10" s="22">
        <v>1</v>
      </c>
      <c r="O10" s="22">
        <v>2</v>
      </c>
      <c r="P10" s="22">
        <v>3</v>
      </c>
      <c r="Q10" s="22">
        <v>4</v>
      </c>
      <c r="R10" s="22">
        <v>5</v>
      </c>
      <c r="S10" s="23">
        <v>6</v>
      </c>
      <c r="T10" s="18" t="s">
        <v>29</v>
      </c>
    </row>
    <row r="11" spans="2:22" x14ac:dyDescent="0.35">
      <c r="B11" s="3" t="str">
        <f>_xlfn.XLOOKUP(C11,Data!$A$2:$A$5,Data!$B$2:$B$5)</f>
        <v>Buttercream Beach</v>
      </c>
      <c r="C11" s="2">
        <v>2</v>
      </c>
      <c r="D11" s="2">
        <v>2</v>
      </c>
      <c r="E11" s="2" t="str">
        <f>_xlfn.XLOOKUP(D11,Data!$A$8:$A$13,Data!$B$8:$B$13)</f>
        <v>Mallow Melt Mountains</v>
      </c>
      <c r="F11" s="2">
        <f>_xlfn.XLOOKUP('Model Stipualtion 2'!C11,Data!$A$2:$A$5,Data!$D$2:$D$5)</f>
        <v>36.270000000000003</v>
      </c>
      <c r="G11" s="2">
        <f>_xlfn.XLOOKUP(C11,Data!$A$2:$A$5,Data!$E$2:$E$5)</f>
        <v>-75.73</v>
      </c>
      <c r="H11" s="2">
        <f>_xlfn.XLOOKUP(D11,Data!$A$8:$A$13,Data!$D$8:$D$13)</f>
        <v>46.82</v>
      </c>
      <c r="I11" s="2">
        <f>_xlfn.XLOOKUP(D11,Data!$A$8:$A$13,Data!$E$8:$E$13)</f>
        <v>-97.83</v>
      </c>
      <c r="J11" s="4">
        <f t="shared" si="0"/>
        <v>32.649999999999991</v>
      </c>
      <c r="M11" s="21">
        <v>1</v>
      </c>
      <c r="N11" s="26">
        <v>973</v>
      </c>
      <c r="O11" s="27">
        <v>805</v>
      </c>
      <c r="P11" s="27">
        <v>0</v>
      </c>
      <c r="Q11" s="27">
        <v>550</v>
      </c>
      <c r="R11" s="27">
        <v>707</v>
      </c>
      <c r="S11" s="28">
        <v>0</v>
      </c>
      <c r="T11" s="19">
        <f>SUM(N11:S11)</f>
        <v>3035</v>
      </c>
    </row>
    <row r="12" spans="2:22" x14ac:dyDescent="0.35">
      <c r="B12" s="3" t="str">
        <f>_xlfn.XLOOKUP(C12,Data!$A$2:$A$5,Data!$B$2:$B$5)</f>
        <v>Buttercream Beach</v>
      </c>
      <c r="C12" s="2">
        <v>2</v>
      </c>
      <c r="D12" s="2">
        <v>3</v>
      </c>
      <c r="E12" s="2" t="str">
        <f>_xlfn.XLOOKUP(D12,Data!$A$8:$A$13,Data!$B$8:$B$13)</f>
        <v>Sherbet Shoreline</v>
      </c>
      <c r="F12" s="2">
        <f>_xlfn.XLOOKUP('Model Stipualtion 2'!C12,Data!$A$2:$A$5,Data!$D$2:$D$5)</f>
        <v>36.270000000000003</v>
      </c>
      <c r="G12" s="2">
        <f>_xlfn.XLOOKUP(C12,Data!$A$2:$A$5,Data!$E$2:$E$5)</f>
        <v>-75.73</v>
      </c>
      <c r="H12" s="2">
        <f>_xlfn.XLOOKUP(D12,Data!$A$8:$A$13,Data!$D$8:$D$13)</f>
        <v>25.36</v>
      </c>
      <c r="I12" s="2">
        <f>_xlfn.XLOOKUP(D12,Data!$A$8:$A$13,Data!$E$8:$E$13)</f>
        <v>-99.09</v>
      </c>
      <c r="J12" s="4">
        <f t="shared" si="0"/>
        <v>34.270000000000003</v>
      </c>
      <c r="M12" s="21">
        <v>2</v>
      </c>
      <c r="N12" s="29">
        <v>0</v>
      </c>
      <c r="O12" s="9">
        <v>0</v>
      </c>
      <c r="P12" s="9">
        <v>0</v>
      </c>
      <c r="Q12" s="9">
        <v>0</v>
      </c>
      <c r="R12" s="9">
        <v>0</v>
      </c>
      <c r="S12" s="11">
        <v>0</v>
      </c>
      <c r="T12" s="19">
        <f t="shared" ref="T12:T14" si="1">SUM(N12:S12)</f>
        <v>0</v>
      </c>
    </row>
    <row r="13" spans="2:22" x14ac:dyDescent="0.35">
      <c r="B13" s="3" t="str">
        <f>_xlfn.XLOOKUP(C13,Data!$A$2:$A$5,Data!$B$2:$B$5)</f>
        <v>Buttercream Beach</v>
      </c>
      <c r="C13" s="2">
        <v>2</v>
      </c>
      <c r="D13" s="2">
        <v>4</v>
      </c>
      <c r="E13" s="2" t="str">
        <f>_xlfn.XLOOKUP(D13,Data!$A$8:$A$13,Data!$B$8:$B$13)</f>
        <v>Vanilla Chai Vortex</v>
      </c>
      <c r="F13" s="2">
        <f>_xlfn.XLOOKUP('Model Stipualtion 2'!C13,Data!$A$2:$A$5,Data!$D$2:$D$5)</f>
        <v>36.270000000000003</v>
      </c>
      <c r="G13" s="2">
        <f>_xlfn.XLOOKUP(C13,Data!$A$2:$A$5,Data!$E$2:$E$5)</f>
        <v>-75.73</v>
      </c>
      <c r="H13" s="2">
        <f>_xlfn.XLOOKUP(D13,Data!$A$8:$A$13,Data!$D$8:$D$13)</f>
        <v>40.47</v>
      </c>
      <c r="I13" s="2">
        <f>_xlfn.XLOOKUP(D13,Data!$A$8:$A$13,Data!$E$8:$E$13)</f>
        <v>-102.52</v>
      </c>
      <c r="J13" s="4">
        <f t="shared" si="0"/>
        <v>30.989999999999988</v>
      </c>
      <c r="M13" s="21">
        <v>3</v>
      </c>
      <c r="N13" s="29">
        <v>0</v>
      </c>
      <c r="O13" s="9">
        <v>0</v>
      </c>
      <c r="P13" s="9">
        <v>521</v>
      </c>
      <c r="Q13" s="9">
        <v>0</v>
      </c>
      <c r="R13" s="9">
        <v>0</v>
      </c>
      <c r="S13" s="11">
        <v>959</v>
      </c>
      <c r="T13" s="19">
        <f t="shared" si="1"/>
        <v>1480</v>
      </c>
    </row>
    <row r="14" spans="2:22" ht="15" thickBot="1" x14ac:dyDescent="0.4">
      <c r="B14" s="3" t="str">
        <f>_xlfn.XLOOKUP(C14,Data!$A$2:$A$5,Data!$B$2:$B$5)</f>
        <v>Buttercream Beach</v>
      </c>
      <c r="C14" s="2">
        <v>2</v>
      </c>
      <c r="D14" s="2">
        <v>5</v>
      </c>
      <c r="E14" s="2" t="str">
        <f>_xlfn.XLOOKUP(D14,Data!$A$8:$A$13,Data!$B$8:$B$13)</f>
        <v>Lollipop Lagoon</v>
      </c>
      <c r="F14" s="2">
        <f>_xlfn.XLOOKUP('Model Stipualtion 2'!C14,Data!$A$2:$A$5,Data!$D$2:$D$5)</f>
        <v>36.270000000000003</v>
      </c>
      <c r="G14" s="2">
        <f>_xlfn.XLOOKUP(C14,Data!$A$2:$A$5,Data!$E$2:$E$5)</f>
        <v>-75.73</v>
      </c>
      <c r="H14" s="2">
        <f>_xlfn.XLOOKUP(D14,Data!$A$8:$A$13,Data!$D$8:$D$13)</f>
        <v>48.33</v>
      </c>
      <c r="I14" s="2">
        <f>_xlfn.XLOOKUP(D14,Data!$A$8:$A$13,Data!$E$8:$E$13)</f>
        <v>-104.71</v>
      </c>
      <c r="J14" s="4">
        <f t="shared" si="0"/>
        <v>41.039999999999985</v>
      </c>
      <c r="M14" s="21">
        <v>4</v>
      </c>
      <c r="N14" s="30">
        <v>0</v>
      </c>
      <c r="O14" s="12">
        <v>0</v>
      </c>
      <c r="P14" s="12">
        <v>0</v>
      </c>
      <c r="Q14" s="12">
        <v>0</v>
      </c>
      <c r="R14" s="12">
        <v>0</v>
      </c>
      <c r="S14" s="13">
        <v>0</v>
      </c>
      <c r="T14" s="20">
        <f t="shared" si="1"/>
        <v>0</v>
      </c>
    </row>
    <row r="15" spans="2:22" x14ac:dyDescent="0.35">
      <c r="B15" s="3" t="str">
        <f>_xlfn.XLOOKUP(C15,Data!$A$2:$A$5,Data!$B$2:$B$5)</f>
        <v>Buttercream Beach</v>
      </c>
      <c r="C15" s="2">
        <v>2</v>
      </c>
      <c r="D15" s="2">
        <v>6</v>
      </c>
      <c r="E15" s="2" t="str">
        <f>_xlfn.XLOOKUP(D15,Data!$A$8:$A$13,Data!$B$8:$B$13)</f>
        <v>Pixie Stix Plateau</v>
      </c>
      <c r="F15" s="2">
        <f>_xlfn.XLOOKUP('Model Stipualtion 2'!C15,Data!$A$2:$A$5,Data!$D$2:$D$5)</f>
        <v>36.270000000000003</v>
      </c>
      <c r="G15" s="2">
        <f>_xlfn.XLOOKUP(C15,Data!$A$2:$A$5,Data!$E$2:$E$5)</f>
        <v>-75.73</v>
      </c>
      <c r="H15" s="2">
        <f>_xlfn.XLOOKUP(D15,Data!$A$8:$A$13,Data!$D$8:$D$13)</f>
        <v>27.33</v>
      </c>
      <c r="I15" s="2">
        <f>_xlfn.XLOOKUP(D15,Data!$A$8:$A$13,Data!$E$8:$E$13)</f>
        <v>-79.3</v>
      </c>
      <c r="J15" s="4">
        <f t="shared" si="0"/>
        <v>12.509999999999998</v>
      </c>
      <c r="M15" s="14" t="s">
        <v>30</v>
      </c>
      <c r="N15" s="24">
        <f>SUM(N11:N14)</f>
        <v>973</v>
      </c>
      <c r="O15" s="24">
        <f t="shared" ref="O15:S15" si="2">SUM(O11:O14)</f>
        <v>805</v>
      </c>
      <c r="P15" s="24">
        <f t="shared" si="2"/>
        <v>521</v>
      </c>
      <c r="Q15" s="24">
        <f t="shared" si="2"/>
        <v>550</v>
      </c>
      <c r="R15" s="24">
        <f t="shared" si="2"/>
        <v>707</v>
      </c>
      <c r="S15" s="25">
        <f t="shared" si="2"/>
        <v>959</v>
      </c>
    </row>
    <row r="16" spans="2:22" ht="15" thickBot="1" x14ac:dyDescent="0.4">
      <c r="B16" s="3" t="str">
        <f>_xlfn.XLOOKUP(C16,Data!$A$2:$A$5,Data!$B$2:$B$5)</f>
        <v>Bubblegum Bay</v>
      </c>
      <c r="C16" s="2">
        <v>3</v>
      </c>
      <c r="D16" s="2">
        <v>1</v>
      </c>
      <c r="E16" s="2" t="str">
        <f>_xlfn.XLOOKUP(D16,Data!$A$8:$A$13,Data!$B$8:$B$13)</f>
        <v>Toffee Town</v>
      </c>
      <c r="F16" s="2">
        <f>_xlfn.XLOOKUP('Model Stipualtion 2'!C16,Data!$A$2:$A$5,Data!$D$2:$D$5)</f>
        <v>31.73</v>
      </c>
      <c r="G16" s="2">
        <f>_xlfn.XLOOKUP(C16,Data!$A$2:$A$5,Data!$E$2:$E$5)</f>
        <v>-78.78</v>
      </c>
      <c r="H16" s="2">
        <f>_xlfn.XLOOKUP(D16,Data!$A$8:$A$13,Data!$D$8:$D$13)</f>
        <v>49.27</v>
      </c>
      <c r="I16" s="2">
        <f>_xlfn.XLOOKUP(D16,Data!$A$8:$A$13,Data!$E$8:$E$13)</f>
        <v>-122.21</v>
      </c>
      <c r="J16" s="4">
        <f t="shared" si="0"/>
        <v>60.97</v>
      </c>
      <c r="M16" s="15" t="s">
        <v>31</v>
      </c>
      <c r="N16" s="16" cm="1">
        <f t="array" ref="N16:S16">_xlfn.TOROW(Data!C8:C13)</f>
        <v>973</v>
      </c>
      <c r="O16" s="16">
        <v>805</v>
      </c>
      <c r="P16" s="16">
        <v>521</v>
      </c>
      <c r="Q16" s="16">
        <v>550</v>
      </c>
      <c r="R16" s="16">
        <v>707</v>
      </c>
      <c r="S16" s="17">
        <v>959</v>
      </c>
    </row>
    <row r="17" spans="2:19" ht="15" thickBot="1" x14ac:dyDescent="0.4">
      <c r="B17" s="3" t="str">
        <f>_xlfn.XLOOKUP(C17,Data!$A$2:$A$5,Data!$B$2:$B$5)</f>
        <v>Bubblegum Bay</v>
      </c>
      <c r="C17" s="2">
        <v>3</v>
      </c>
      <c r="D17" s="2">
        <v>2</v>
      </c>
      <c r="E17" s="2" t="str">
        <f>_xlfn.XLOOKUP(D17,Data!$A$8:$A$13,Data!$B$8:$B$13)</f>
        <v>Mallow Melt Mountains</v>
      </c>
      <c r="F17" s="2">
        <f>_xlfn.XLOOKUP('Model Stipualtion 2'!C17,Data!$A$2:$A$5,Data!$D$2:$D$5)</f>
        <v>31.73</v>
      </c>
      <c r="G17" s="2">
        <f>_xlfn.XLOOKUP(C17,Data!$A$2:$A$5,Data!$E$2:$E$5)</f>
        <v>-78.78</v>
      </c>
      <c r="H17" s="2">
        <f>_xlfn.XLOOKUP(D17,Data!$A$8:$A$13,Data!$D$8:$D$13)</f>
        <v>46.82</v>
      </c>
      <c r="I17" s="2">
        <f>_xlfn.XLOOKUP(D17,Data!$A$8:$A$13,Data!$E$8:$E$13)</f>
        <v>-97.83</v>
      </c>
      <c r="J17" s="4">
        <f t="shared" si="0"/>
        <v>34.14</v>
      </c>
    </row>
    <row r="18" spans="2:19" ht="15" thickBot="1" x14ac:dyDescent="0.4">
      <c r="B18" s="3" t="str">
        <f>_xlfn.XLOOKUP(C18,Data!$A$2:$A$5,Data!$B$2:$B$5)</f>
        <v>Bubblegum Bay</v>
      </c>
      <c r="C18" s="2">
        <v>3</v>
      </c>
      <c r="D18" s="2">
        <v>3</v>
      </c>
      <c r="E18" s="2" t="str">
        <f>_xlfn.XLOOKUP(D18,Data!$A$8:$A$13,Data!$B$8:$B$13)</f>
        <v>Sherbet Shoreline</v>
      </c>
      <c r="F18" s="2">
        <f>_xlfn.XLOOKUP('Model Stipualtion 2'!C18,Data!$A$2:$A$5,Data!$D$2:$D$5)</f>
        <v>31.73</v>
      </c>
      <c r="G18" s="2">
        <f>_xlfn.XLOOKUP(C18,Data!$A$2:$A$5,Data!$E$2:$E$5)</f>
        <v>-78.78</v>
      </c>
      <c r="H18" s="2">
        <f>_xlfn.XLOOKUP(D18,Data!$A$8:$A$13,Data!$D$8:$D$13)</f>
        <v>25.36</v>
      </c>
      <c r="I18" s="2">
        <f>_xlfn.XLOOKUP(D18,Data!$A$8:$A$13,Data!$E$8:$E$13)</f>
        <v>-99.09</v>
      </c>
      <c r="J18" s="4">
        <f t="shared" si="0"/>
        <v>26.680000000000003</v>
      </c>
      <c r="L18" s="50" t="s">
        <v>37</v>
      </c>
      <c r="M18" s="51">
        <v>30</v>
      </c>
    </row>
    <row r="19" spans="2:19" ht="15" thickBot="1" x14ac:dyDescent="0.4">
      <c r="B19" s="3" t="str">
        <f>_xlfn.XLOOKUP(C19,Data!$A$2:$A$5,Data!$B$2:$B$5)</f>
        <v>Bubblegum Bay</v>
      </c>
      <c r="C19" s="2">
        <v>3</v>
      </c>
      <c r="D19" s="2">
        <v>4</v>
      </c>
      <c r="E19" s="2" t="str">
        <f>_xlfn.XLOOKUP(D19,Data!$A$8:$A$13,Data!$B$8:$B$13)</f>
        <v>Vanilla Chai Vortex</v>
      </c>
      <c r="F19" s="2">
        <f>_xlfn.XLOOKUP('Model Stipualtion 2'!C19,Data!$A$2:$A$5,Data!$D$2:$D$5)</f>
        <v>31.73</v>
      </c>
      <c r="G19" s="2">
        <f>_xlfn.XLOOKUP(C19,Data!$A$2:$A$5,Data!$E$2:$E$5)</f>
        <v>-78.78</v>
      </c>
      <c r="H19" s="2">
        <f>_xlfn.XLOOKUP(D19,Data!$A$8:$A$13,Data!$D$8:$D$13)</f>
        <v>40.47</v>
      </c>
      <c r="I19" s="2">
        <f>_xlfn.XLOOKUP(D19,Data!$A$8:$A$13,Data!$E$8:$E$13)</f>
        <v>-102.52</v>
      </c>
      <c r="J19" s="4">
        <f t="shared" si="0"/>
        <v>32.47999999999999</v>
      </c>
      <c r="L19" s="48" t="s">
        <v>34</v>
      </c>
      <c r="M19" s="49" cm="1">
        <f t="array" ref="M19:P19">_xlfn.TOROW(Data!C2:C5)</f>
        <v>2467</v>
      </c>
      <c r="N19" s="31">
        <v>2163</v>
      </c>
      <c r="O19" s="31">
        <v>2327</v>
      </c>
      <c r="P19" s="32">
        <v>2213</v>
      </c>
    </row>
    <row r="20" spans="2:19" ht="15" thickBot="1" x14ac:dyDescent="0.4">
      <c r="B20" s="3" t="str">
        <f>_xlfn.XLOOKUP(C20,Data!$A$2:$A$5,Data!$B$2:$B$5)</f>
        <v>Bubblegum Bay</v>
      </c>
      <c r="C20" s="2">
        <v>3</v>
      </c>
      <c r="D20" s="2">
        <v>5</v>
      </c>
      <c r="E20" s="2" t="str">
        <f>_xlfn.XLOOKUP(D20,Data!$A$8:$A$13,Data!$B$8:$B$13)</f>
        <v>Lollipop Lagoon</v>
      </c>
      <c r="F20" s="2">
        <f>_xlfn.XLOOKUP('Model Stipualtion 2'!C20,Data!$A$2:$A$5,Data!$D$2:$D$5)</f>
        <v>31.73</v>
      </c>
      <c r="G20" s="2">
        <f>_xlfn.XLOOKUP(C20,Data!$A$2:$A$5,Data!$E$2:$E$5)</f>
        <v>-78.78</v>
      </c>
      <c r="H20" s="2">
        <f>_xlfn.XLOOKUP(D20,Data!$A$8:$A$13,Data!$D$8:$D$13)</f>
        <v>48.33</v>
      </c>
      <c r="I20" s="2">
        <f>_xlfn.XLOOKUP(D20,Data!$A$8:$A$13,Data!$E$8:$E$13)</f>
        <v>-104.71</v>
      </c>
      <c r="J20" s="4">
        <f t="shared" si="0"/>
        <v>42.529999999999987</v>
      </c>
      <c r="L20" s="43" t="s">
        <v>35</v>
      </c>
      <c r="M20" s="33">
        <f>M19*M22</f>
        <v>2467</v>
      </c>
      <c r="N20" s="33">
        <f t="shared" ref="N20:P20" si="3">N19*N22</f>
        <v>0</v>
      </c>
      <c r="O20" s="33">
        <f t="shared" si="3"/>
        <v>2327</v>
      </c>
      <c r="P20" s="34">
        <f t="shared" si="3"/>
        <v>0</v>
      </c>
    </row>
    <row r="21" spans="2:19" ht="15" thickBot="1" x14ac:dyDescent="0.4">
      <c r="B21" s="3" t="str">
        <f>_xlfn.XLOOKUP(C21,Data!$A$2:$A$5,Data!$B$2:$B$5)</f>
        <v>Bubblegum Bay</v>
      </c>
      <c r="C21" s="2">
        <v>3</v>
      </c>
      <c r="D21" s="2">
        <v>6</v>
      </c>
      <c r="E21" s="2" t="str">
        <f>_xlfn.XLOOKUP(D21,Data!$A$8:$A$13,Data!$B$8:$B$13)</f>
        <v>Pixie Stix Plateau</v>
      </c>
      <c r="F21" s="2">
        <f>_xlfn.XLOOKUP('Model Stipualtion 2'!C21,Data!$A$2:$A$5,Data!$D$2:$D$5)</f>
        <v>31.73</v>
      </c>
      <c r="G21" s="2">
        <f>_xlfn.XLOOKUP(C21,Data!$A$2:$A$5,Data!$E$2:$E$5)</f>
        <v>-78.78</v>
      </c>
      <c r="H21" s="2">
        <f>_xlfn.XLOOKUP(D21,Data!$A$8:$A$13,Data!$D$8:$D$13)</f>
        <v>27.33</v>
      </c>
      <c r="I21" s="2">
        <f>_xlfn.XLOOKUP(D21,Data!$A$8:$A$13,Data!$E$8:$E$13)</f>
        <v>-79.3</v>
      </c>
      <c r="J21" s="4">
        <f t="shared" si="0"/>
        <v>4.9199999999999982</v>
      </c>
    </row>
    <row r="22" spans="2:19" ht="15" thickBot="1" x14ac:dyDescent="0.4">
      <c r="B22" s="3" t="str">
        <f>_xlfn.XLOOKUP(C22,Data!$A$2:$A$5,Data!$B$2:$B$5)</f>
        <v>Fizzwhiz Fjord</v>
      </c>
      <c r="C22" s="2">
        <v>4</v>
      </c>
      <c r="D22" s="2">
        <v>1</v>
      </c>
      <c r="E22" s="2" t="str">
        <f>_xlfn.XLOOKUP(D22,Data!$A$8:$A$13,Data!$B$8:$B$13)</f>
        <v>Toffee Town</v>
      </c>
      <c r="F22" s="2">
        <f>_xlfn.XLOOKUP('Model Stipualtion 2'!C22,Data!$A$2:$A$5,Data!$D$2:$D$5)</f>
        <v>43.92</v>
      </c>
      <c r="G22" s="2">
        <f>_xlfn.XLOOKUP(C22,Data!$A$2:$A$5,Data!$E$2:$E$5)</f>
        <v>-119.6</v>
      </c>
      <c r="H22" s="2">
        <f>_xlfn.XLOOKUP(D22,Data!$A$8:$A$13,Data!$D$8:$D$13)</f>
        <v>49.27</v>
      </c>
      <c r="I22" s="2">
        <f>_xlfn.XLOOKUP(D22,Data!$A$8:$A$13,Data!$E$8:$E$13)</f>
        <v>-122.21</v>
      </c>
      <c r="J22" s="4">
        <f t="shared" si="0"/>
        <v>7.9600000000000009</v>
      </c>
      <c r="L22" s="44" t="s">
        <v>32</v>
      </c>
      <c r="M22" s="36">
        <v>1</v>
      </c>
      <c r="N22" s="36">
        <v>0</v>
      </c>
      <c r="O22" s="36">
        <v>1</v>
      </c>
      <c r="P22" s="36">
        <v>0</v>
      </c>
      <c r="Q22" s="35">
        <f>SUM(M22:P22)</f>
        <v>2</v>
      </c>
    </row>
    <row r="23" spans="2:19" ht="15" thickBot="1" x14ac:dyDescent="0.4">
      <c r="B23" s="3" t="str">
        <f>_xlfn.XLOOKUP(C23,Data!$A$2:$A$5,Data!$B$2:$B$5)</f>
        <v>Fizzwhiz Fjord</v>
      </c>
      <c r="C23" s="2">
        <v>4</v>
      </c>
      <c r="D23" s="2">
        <v>2</v>
      </c>
      <c r="E23" s="2" t="str">
        <f>_xlfn.XLOOKUP(D23,Data!$A$8:$A$13,Data!$B$8:$B$13)</f>
        <v>Mallow Melt Mountains</v>
      </c>
      <c r="F23" s="2">
        <f>_xlfn.XLOOKUP('Model Stipualtion 2'!C23,Data!$A$2:$A$5,Data!$D$2:$D$5)</f>
        <v>43.92</v>
      </c>
      <c r="G23" s="2">
        <f>_xlfn.XLOOKUP(C23,Data!$A$2:$A$5,Data!$E$2:$E$5)</f>
        <v>-119.6</v>
      </c>
      <c r="H23" s="2">
        <f>_xlfn.XLOOKUP(D23,Data!$A$8:$A$13,Data!$D$8:$D$13)</f>
        <v>46.82</v>
      </c>
      <c r="I23" s="2">
        <f>_xlfn.XLOOKUP(D23,Data!$A$8:$A$13,Data!$E$8:$E$13)</f>
        <v>-97.83</v>
      </c>
      <c r="J23" s="4">
        <f t="shared" si="0"/>
        <v>24.669999999999995</v>
      </c>
      <c r="L23" s="45" t="s">
        <v>33</v>
      </c>
      <c r="M23" s="37">
        <f>T11-(M25*M22)</f>
        <v>-1480</v>
      </c>
      <c r="N23" s="37">
        <f>T12-(N25*N22)</f>
        <v>0</v>
      </c>
      <c r="O23" s="37">
        <f>T13-(O25*O22)</f>
        <v>-3035</v>
      </c>
      <c r="P23" s="38">
        <f>T14-(P25*P22)</f>
        <v>0</v>
      </c>
    </row>
    <row r="24" spans="2:19" x14ac:dyDescent="0.35">
      <c r="B24" s="3" t="str">
        <f>_xlfn.XLOOKUP(C24,Data!$A$2:$A$5,Data!$B$2:$B$5)</f>
        <v>Fizzwhiz Fjord</v>
      </c>
      <c r="C24" s="2">
        <v>4</v>
      </c>
      <c r="D24" s="2">
        <v>3</v>
      </c>
      <c r="E24" s="2" t="str">
        <f>_xlfn.XLOOKUP(D24,Data!$A$8:$A$13,Data!$B$8:$B$13)</f>
        <v>Sherbet Shoreline</v>
      </c>
      <c r="F24" s="2">
        <f>_xlfn.XLOOKUP('Model Stipualtion 2'!C24,Data!$A$2:$A$5,Data!$D$2:$D$5)</f>
        <v>43.92</v>
      </c>
      <c r="G24" s="2">
        <f>_xlfn.XLOOKUP(C24,Data!$A$2:$A$5,Data!$E$2:$E$5)</f>
        <v>-119.6</v>
      </c>
      <c r="H24" s="2">
        <f>_xlfn.XLOOKUP(D24,Data!$A$8:$A$13,Data!$D$8:$D$13)</f>
        <v>25.36</v>
      </c>
      <c r="I24" s="2">
        <f>_xlfn.XLOOKUP(D24,Data!$A$8:$A$13,Data!$E$8:$E$13)</f>
        <v>-99.09</v>
      </c>
      <c r="J24" s="4">
        <f t="shared" si="0"/>
        <v>39.069999999999993</v>
      </c>
    </row>
    <row r="25" spans="2:19" x14ac:dyDescent="0.35">
      <c r="B25" s="3" t="str">
        <f>_xlfn.XLOOKUP(C25,Data!$A$2:$A$5,Data!$B$2:$B$5)</f>
        <v>Fizzwhiz Fjord</v>
      </c>
      <c r="C25" s="2">
        <v>4</v>
      </c>
      <c r="D25" s="2">
        <v>4</v>
      </c>
      <c r="E25" s="2" t="str">
        <f>_xlfn.XLOOKUP(D25,Data!$A$8:$A$13,Data!$B$8:$B$13)</f>
        <v>Vanilla Chai Vortex</v>
      </c>
      <c r="F25" s="2">
        <f>_xlfn.XLOOKUP('Model Stipualtion 2'!C25,Data!$A$2:$A$5,Data!$D$2:$D$5)</f>
        <v>43.92</v>
      </c>
      <c r="G25" s="2">
        <f>_xlfn.XLOOKUP(C25,Data!$A$2:$A$5,Data!$E$2:$E$5)</f>
        <v>-119.6</v>
      </c>
      <c r="H25" s="2">
        <f>_xlfn.XLOOKUP(D25,Data!$A$8:$A$13,Data!$D$8:$D$13)</f>
        <v>40.47</v>
      </c>
      <c r="I25" s="2">
        <f>_xlfn.XLOOKUP(D25,Data!$A$8:$A$13,Data!$E$8:$E$13)</f>
        <v>-102.52</v>
      </c>
      <c r="J25" s="4">
        <f t="shared" si="0"/>
        <v>20.53</v>
      </c>
      <c r="M25" s="46">
        <v>4515</v>
      </c>
      <c r="N25" s="46">
        <v>4515</v>
      </c>
      <c r="O25" s="46">
        <v>4515</v>
      </c>
      <c r="P25" s="46">
        <v>4515</v>
      </c>
    </row>
    <row r="26" spans="2:19" x14ac:dyDescent="0.35">
      <c r="B26" s="3" t="str">
        <f>_xlfn.XLOOKUP(C26,Data!$A$2:$A$5,Data!$B$2:$B$5)</f>
        <v>Fizzwhiz Fjord</v>
      </c>
      <c r="C26" s="2">
        <v>4</v>
      </c>
      <c r="D26" s="2">
        <v>5</v>
      </c>
      <c r="E26" s="2" t="str">
        <f>_xlfn.XLOOKUP(D26,Data!$A$8:$A$13,Data!$B$8:$B$13)</f>
        <v>Lollipop Lagoon</v>
      </c>
      <c r="F26" s="2">
        <f>_xlfn.XLOOKUP('Model Stipualtion 2'!C26,Data!$A$2:$A$5,Data!$D$2:$D$5)</f>
        <v>43.92</v>
      </c>
      <c r="G26" s="2">
        <f>_xlfn.XLOOKUP(C26,Data!$A$2:$A$5,Data!$E$2:$E$5)</f>
        <v>-119.6</v>
      </c>
      <c r="H26" s="2">
        <f>_xlfn.XLOOKUP(D26,Data!$A$8:$A$13,Data!$D$8:$D$13)</f>
        <v>48.33</v>
      </c>
      <c r="I26" s="2">
        <f>_xlfn.XLOOKUP(D26,Data!$A$8:$A$13,Data!$E$8:$E$13)</f>
        <v>-104.71</v>
      </c>
      <c r="J26" s="4">
        <f t="shared" si="0"/>
        <v>19.299999999999997</v>
      </c>
    </row>
    <row r="27" spans="2:19" ht="15" thickBot="1" x14ac:dyDescent="0.4">
      <c r="B27" s="5" t="str">
        <f>_xlfn.XLOOKUP(C27,Data!$A$2:$A$5,Data!$B$2:$B$5)</f>
        <v>Fizzwhiz Fjord</v>
      </c>
      <c r="C27" s="6">
        <v>4</v>
      </c>
      <c r="D27" s="6">
        <v>6</v>
      </c>
      <c r="E27" s="6" t="str">
        <f>_xlfn.XLOOKUP(D27,Data!$A$8:$A$13,Data!$B$8:$B$13)</f>
        <v>Pixie Stix Plateau</v>
      </c>
      <c r="F27" s="6">
        <f>_xlfn.XLOOKUP('Model Stipualtion 2'!C27,Data!$A$2:$A$5,Data!$D$2:$D$5)</f>
        <v>43.92</v>
      </c>
      <c r="G27" s="6">
        <f>_xlfn.XLOOKUP(C27,Data!$A$2:$A$5,Data!$E$2:$E$5)</f>
        <v>-119.6</v>
      </c>
      <c r="H27" s="6">
        <f>_xlfn.XLOOKUP(D27,Data!$A$8:$A$13,Data!$D$8:$D$13)</f>
        <v>27.33</v>
      </c>
      <c r="I27" s="6">
        <f>_xlfn.XLOOKUP(D27,Data!$A$8:$A$13,Data!$E$8:$E$13)</f>
        <v>-79.3</v>
      </c>
      <c r="J27" s="7">
        <f t="shared" si="0"/>
        <v>56.89</v>
      </c>
    </row>
    <row r="28" spans="2:19" x14ac:dyDescent="0.35">
      <c r="O28" s="1"/>
      <c r="P28" s="1"/>
      <c r="Q28" s="1"/>
      <c r="R28" s="1"/>
      <c r="S28" s="1"/>
    </row>
    <row r="29" spans="2:19" x14ac:dyDescent="0.35">
      <c r="M29" s="1"/>
      <c r="N29" s="1"/>
      <c r="O29" s="1"/>
      <c r="P29" s="1"/>
      <c r="Q29" s="1"/>
      <c r="R29" s="1"/>
      <c r="S29" s="1"/>
    </row>
    <row r="30" spans="2:19" x14ac:dyDescent="0.35">
      <c r="M30" s="1"/>
      <c r="N30" s="1"/>
      <c r="O30" s="1"/>
      <c r="P30" s="1"/>
      <c r="Q30" s="1"/>
      <c r="R30" s="1"/>
      <c r="S30" s="1"/>
    </row>
    <row r="31" spans="2:19" x14ac:dyDescent="0.35">
      <c r="M31" s="1"/>
      <c r="N31" s="1"/>
      <c r="O31" s="1"/>
      <c r="P31" s="1"/>
      <c r="Q31" s="1"/>
      <c r="R31" s="1"/>
      <c r="S31" s="1"/>
    </row>
    <row r="32" spans="2:19" x14ac:dyDescent="0.35">
      <c r="M32" s="1"/>
      <c r="N32" s="1"/>
      <c r="O32" s="1"/>
      <c r="P32" s="1"/>
      <c r="Q32" s="1"/>
      <c r="R32" s="1"/>
      <c r="S32" s="1"/>
    </row>
  </sheetData>
  <mergeCells count="2">
    <mergeCell ref="B3:C3"/>
    <mergeCell ref="D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4DAD-6A18-4E4D-8AA2-A4EFDD8489C5}">
  <dimension ref="A1:I13"/>
  <sheetViews>
    <sheetView workbookViewId="0">
      <selection activeCell="G1" sqref="G1"/>
    </sheetView>
  </sheetViews>
  <sheetFormatPr defaultRowHeight="14.5" x14ac:dyDescent="0.35"/>
  <cols>
    <col min="1" max="1" width="16.1796875" bestFit="1" customWidth="1"/>
    <col min="2" max="2" width="19.36328125" bestFit="1" customWidth="1"/>
    <col min="3" max="3" width="10.54296875" bestFit="1" customWidth="1"/>
    <col min="4" max="4" width="7" bestFit="1" customWidth="1"/>
    <col min="5" max="5" width="8.26953125" bestFit="1" customWidth="1"/>
    <col min="7" max="7" width="7.90625" bestFit="1" customWidth="1"/>
    <col min="8" max="8" width="19.7265625" bestFit="1" customWidth="1"/>
    <col min="9" max="9" width="26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9</v>
      </c>
      <c r="H1" t="s">
        <v>10</v>
      </c>
      <c r="I1" t="s">
        <v>11</v>
      </c>
    </row>
    <row r="2" spans="1:9" x14ac:dyDescent="0.35">
      <c r="A2">
        <v>1</v>
      </c>
      <c r="B2" t="s">
        <v>5</v>
      </c>
      <c r="C2">
        <v>2467</v>
      </c>
      <c r="D2">
        <v>43.11</v>
      </c>
      <c r="E2">
        <v>-108.68</v>
      </c>
      <c r="G2">
        <v>2</v>
      </c>
      <c r="H2">
        <v>1</v>
      </c>
      <c r="I2" t="s">
        <v>12</v>
      </c>
    </row>
    <row r="3" spans="1:9" x14ac:dyDescent="0.35">
      <c r="A3">
        <v>2</v>
      </c>
      <c r="B3" t="s">
        <v>6</v>
      </c>
      <c r="C3">
        <v>2163</v>
      </c>
      <c r="D3">
        <v>36.270000000000003</v>
      </c>
      <c r="E3">
        <v>-75.73</v>
      </c>
    </row>
    <row r="4" spans="1:9" x14ac:dyDescent="0.35">
      <c r="A4">
        <v>3</v>
      </c>
      <c r="B4" t="s">
        <v>7</v>
      </c>
      <c r="C4">
        <v>2327</v>
      </c>
      <c r="D4">
        <v>31.73</v>
      </c>
      <c r="E4">
        <v>-78.78</v>
      </c>
    </row>
    <row r="5" spans="1:9" x14ac:dyDescent="0.35">
      <c r="A5">
        <v>4</v>
      </c>
      <c r="B5" t="s">
        <v>8</v>
      </c>
      <c r="C5">
        <v>2213</v>
      </c>
      <c r="D5">
        <v>43.92</v>
      </c>
      <c r="E5">
        <v>-119.6</v>
      </c>
    </row>
    <row r="7" spans="1:9" x14ac:dyDescent="0.35">
      <c r="A7" t="s">
        <v>13</v>
      </c>
      <c r="B7" t="s">
        <v>1</v>
      </c>
      <c r="C7" t="s">
        <v>14</v>
      </c>
      <c r="D7" t="s">
        <v>3</v>
      </c>
      <c r="E7" t="s">
        <v>4</v>
      </c>
    </row>
    <row r="8" spans="1:9" x14ac:dyDescent="0.35">
      <c r="A8">
        <v>1</v>
      </c>
      <c r="B8" t="s">
        <v>15</v>
      </c>
      <c r="C8">
        <v>973</v>
      </c>
      <c r="D8">
        <v>49.27</v>
      </c>
      <c r="E8">
        <v>-122.21</v>
      </c>
    </row>
    <row r="9" spans="1:9" x14ac:dyDescent="0.35">
      <c r="A9">
        <v>2</v>
      </c>
      <c r="B9" t="s">
        <v>16</v>
      </c>
      <c r="C9">
        <v>805</v>
      </c>
      <c r="D9">
        <v>46.82</v>
      </c>
      <c r="E9">
        <v>-97.83</v>
      </c>
    </row>
    <row r="10" spans="1:9" x14ac:dyDescent="0.35">
      <c r="A10">
        <v>3</v>
      </c>
      <c r="B10" t="s">
        <v>17</v>
      </c>
      <c r="C10">
        <v>521</v>
      </c>
      <c r="D10">
        <v>25.36</v>
      </c>
      <c r="E10">
        <v>-99.09</v>
      </c>
    </row>
    <row r="11" spans="1:9" x14ac:dyDescent="0.35">
      <c r="A11">
        <v>4</v>
      </c>
      <c r="B11" t="s">
        <v>18</v>
      </c>
      <c r="C11">
        <v>550</v>
      </c>
      <c r="D11">
        <v>40.47</v>
      </c>
      <c r="E11">
        <v>-102.52</v>
      </c>
    </row>
    <row r="12" spans="1:9" x14ac:dyDescent="0.35">
      <c r="A12">
        <v>5</v>
      </c>
      <c r="B12" t="s">
        <v>19</v>
      </c>
      <c r="C12">
        <v>707</v>
      </c>
      <c r="D12">
        <v>48.33</v>
      </c>
      <c r="E12">
        <v>-104.71</v>
      </c>
    </row>
    <row r="13" spans="1:9" x14ac:dyDescent="0.35">
      <c r="A13">
        <v>6</v>
      </c>
      <c r="B13" t="s">
        <v>20</v>
      </c>
      <c r="C13">
        <v>959</v>
      </c>
      <c r="D13">
        <v>27.33</v>
      </c>
      <c r="E13">
        <v>-79.3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c853569-e95e-4378-8926-ab9501a771a3}" enabled="0" method="" siteId="{6c853569-e95e-4378-8926-ab9501a771a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Caramelo Fixed-Charge</vt:lpstr>
      <vt:lpstr>Model Stipulation 1</vt:lpstr>
      <vt:lpstr>Model Stipualtion 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Medina</dc:creator>
  <cp:lastModifiedBy>Emil Medina</cp:lastModifiedBy>
  <dcterms:created xsi:type="dcterms:W3CDTF">2025-04-09T22:09:04Z</dcterms:created>
  <dcterms:modified xsi:type="dcterms:W3CDTF">2025-04-16T12:52:06Z</dcterms:modified>
</cp:coreProperties>
</file>