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E65FD80D-6F32-4490-9A1C-62AC9F5F0FAA}" xr6:coauthVersionLast="47" xr6:coauthVersionMax="47" xr10:uidLastSave="{00000000-0000-0000-0000-000000000000}"/>
  <bookViews>
    <workbookView xWindow="-120" yWindow="-120" windowWidth="20730" windowHeight="11310" firstSheet="1" activeTab="1" xr2:uid="{F8AAE20B-DA44-4CED-A994-4F078CEE1ADA}"/>
  </bookViews>
  <sheets>
    <sheet name="COVER PAGE " sheetId="1" r:id="rId1"/>
    <sheet name="Model guide" sheetId="2" r:id="rId2"/>
    <sheet name="Historical data" sheetId="3" r:id="rId3"/>
    <sheet name="Assumptions and drivers" sheetId="4" r:id="rId4"/>
    <sheet name="SOFP" sheetId="6" r:id="rId5"/>
    <sheet name="SOPL" sheetId="5" r:id="rId6"/>
    <sheet name="SOCF" sheetId="7" r:id="rId7"/>
    <sheet name="Financial analysi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7" l="1"/>
  <c r="L6" i="7"/>
  <c r="M6" i="7"/>
  <c r="I6" i="7"/>
  <c r="K6" i="4"/>
  <c r="L6" i="4"/>
  <c r="M6" i="4"/>
  <c r="I6" i="4"/>
  <c r="I75" i="4"/>
  <c r="J75" i="4" s="1"/>
  <c r="K75" i="4"/>
  <c r="L75" i="4"/>
  <c r="M75" i="4"/>
  <c r="J28" i="7"/>
  <c r="J27" i="7"/>
  <c r="J17" i="7"/>
  <c r="J14" i="5"/>
  <c r="K17" i="7"/>
  <c r="L17" i="7"/>
  <c r="M17" i="7"/>
  <c r="I20" i="4"/>
  <c r="H75" i="4"/>
  <c r="I29" i="8" l="1"/>
  <c r="H29" i="8"/>
  <c r="I18" i="8" l="1"/>
  <c r="I19" i="8"/>
  <c r="I20" i="8"/>
  <c r="H20" i="8"/>
  <c r="H19" i="8"/>
  <c r="H18" i="8"/>
  <c r="H23" i="6"/>
  <c r="H35" i="4" s="1"/>
  <c r="I23" i="6"/>
  <c r="I66" i="4" s="1"/>
  <c r="J63" i="4" s="1"/>
  <c r="H24" i="6"/>
  <c r="I24" i="6"/>
  <c r="I36" i="4" s="1"/>
  <c r="J36" i="4" s="1"/>
  <c r="H25" i="6"/>
  <c r="H37" i="4" s="1"/>
  <c r="I25" i="6"/>
  <c r="I37" i="4" s="1"/>
  <c r="H30" i="6"/>
  <c r="H87" i="4" s="1"/>
  <c r="I30" i="6"/>
  <c r="I87" i="4" s="1"/>
  <c r="H31" i="6"/>
  <c r="H88" i="4" s="1"/>
  <c r="I31" i="6"/>
  <c r="H32" i="6"/>
  <c r="I32" i="6"/>
  <c r="H33" i="6"/>
  <c r="I33" i="6"/>
  <c r="H38" i="6"/>
  <c r="H47" i="4" s="1"/>
  <c r="I38" i="6"/>
  <c r="I47" i="4" s="1"/>
  <c r="J47" i="4" s="1"/>
  <c r="H39" i="6"/>
  <c r="H48" i="4" s="1"/>
  <c r="I39" i="6"/>
  <c r="I48" i="4" s="1"/>
  <c r="J48" i="4" s="1"/>
  <c r="H40" i="6"/>
  <c r="H49" i="4" s="1"/>
  <c r="I40" i="6"/>
  <c r="I49" i="4" s="1"/>
  <c r="J49" i="4" s="1"/>
  <c r="I29" i="5"/>
  <c r="H20" i="4"/>
  <c r="K26" i="5"/>
  <c r="L26" i="5" s="1"/>
  <c r="M26" i="5" s="1"/>
  <c r="J26" i="5"/>
  <c r="J19" i="4"/>
  <c r="K19" i="4"/>
  <c r="L19" i="4"/>
  <c r="M19" i="4"/>
  <c r="I19" i="4"/>
  <c r="H19" i="4"/>
  <c r="K19" i="5"/>
  <c r="L19" i="5" s="1"/>
  <c r="M19" i="5" s="1"/>
  <c r="J19" i="5"/>
  <c r="K18" i="5"/>
  <c r="L18" i="5" s="1"/>
  <c r="M18" i="5" s="1"/>
  <c r="J18" i="5"/>
  <c r="H16" i="4"/>
  <c r="I16" i="4"/>
  <c r="J16" i="4" s="1"/>
  <c r="K16" i="4" s="1"/>
  <c r="L16" i="4" s="1"/>
  <c r="M16" i="4" s="1"/>
  <c r="I15" i="4"/>
  <c r="J15" i="4" s="1"/>
  <c r="K15" i="4" s="1"/>
  <c r="L15" i="4" s="1"/>
  <c r="M15" i="4" s="1"/>
  <c r="H15" i="4"/>
  <c r="I14" i="4"/>
  <c r="H14" i="4"/>
  <c r="I13" i="4"/>
  <c r="H13" i="4"/>
  <c r="I12" i="4"/>
  <c r="K12" i="4" s="1"/>
  <c r="G5" i="8"/>
  <c r="H4" i="8" s="1"/>
  <c r="I45" i="6"/>
  <c r="I52" i="4" s="1"/>
  <c r="J52" i="4" s="1"/>
  <c r="I46" i="6"/>
  <c r="I53" i="4" s="1"/>
  <c r="J53" i="4" s="1"/>
  <c r="I47" i="6"/>
  <c r="I54" i="4" s="1"/>
  <c r="I72" i="4" s="1"/>
  <c r="J69" i="4" s="1"/>
  <c r="H47" i="6"/>
  <c r="H54" i="4" s="1"/>
  <c r="H46" i="6"/>
  <c r="H53" i="4" s="1"/>
  <c r="H45" i="6"/>
  <c r="H52" i="4" s="1"/>
  <c r="I16" i="6"/>
  <c r="I37" i="7" s="1"/>
  <c r="J35" i="7" s="1"/>
  <c r="I17" i="6"/>
  <c r="I30" i="4" s="1"/>
  <c r="I81" i="4" s="1"/>
  <c r="I18" i="6"/>
  <c r="I19" i="6"/>
  <c r="H19" i="6"/>
  <c r="H18" i="6"/>
  <c r="H82" i="4" s="1"/>
  <c r="H17" i="6"/>
  <c r="H12" i="8" s="1"/>
  <c r="H16" i="6"/>
  <c r="H29" i="5"/>
  <c r="I26" i="5"/>
  <c r="I25" i="5"/>
  <c r="H26" i="5"/>
  <c r="H25" i="5"/>
  <c r="I17" i="5"/>
  <c r="I18" i="5"/>
  <c r="I19" i="5"/>
  <c r="I22" i="5"/>
  <c r="H22" i="5"/>
  <c r="H17" i="5"/>
  <c r="H19" i="5"/>
  <c r="H18" i="5"/>
  <c r="I13" i="5"/>
  <c r="I14" i="5"/>
  <c r="H13" i="5"/>
  <c r="H14" i="5"/>
  <c r="G5" i="4"/>
  <c r="H4" i="4" s="1"/>
  <c r="G5" i="5"/>
  <c r="H4" i="5" s="1"/>
  <c r="G6" i="6"/>
  <c r="H5" i="6" s="1"/>
  <c r="G5" i="7"/>
  <c r="H4" i="7" s="1"/>
  <c r="G5" i="3"/>
  <c r="H4" i="3" s="1"/>
  <c r="J26" i="2"/>
  <c r="J27" i="2"/>
  <c r="H17" i="4" l="1"/>
  <c r="H34" i="6"/>
  <c r="H44" i="4" s="1"/>
  <c r="H26" i="6"/>
  <c r="H41" i="4"/>
  <c r="I32" i="4"/>
  <c r="J32" i="4" s="1"/>
  <c r="I83" i="4"/>
  <c r="H43" i="4"/>
  <c r="H90" i="4"/>
  <c r="H91" i="4"/>
  <c r="H13" i="8"/>
  <c r="H89" i="4"/>
  <c r="H92" i="4" s="1"/>
  <c r="I12" i="8"/>
  <c r="H32" i="4"/>
  <c r="H83" i="4"/>
  <c r="I43" i="4"/>
  <c r="J43" i="4" s="1"/>
  <c r="K43" i="4" s="1"/>
  <c r="I90" i="4"/>
  <c r="I34" i="6"/>
  <c r="I88" i="4"/>
  <c r="H14" i="8"/>
  <c r="K14" i="8" s="1"/>
  <c r="I14" i="8"/>
  <c r="I82" i="4"/>
  <c r="I17" i="4"/>
  <c r="J17" i="4" s="1"/>
  <c r="J65" i="4" s="1"/>
  <c r="J64" i="4" s="1"/>
  <c r="J23" i="7" s="1"/>
  <c r="J24" i="7" s="1"/>
  <c r="I13" i="8"/>
  <c r="I89" i="4"/>
  <c r="H31" i="4"/>
  <c r="I40" i="4"/>
  <c r="J40" i="4" s="1"/>
  <c r="J30" i="6" s="1"/>
  <c r="J87" i="4" s="1"/>
  <c r="K48" i="4"/>
  <c r="J39" i="6"/>
  <c r="K53" i="4"/>
  <c r="J46" i="6"/>
  <c r="K49" i="4"/>
  <c r="J40" i="6"/>
  <c r="K47" i="4"/>
  <c r="J38" i="6"/>
  <c r="K52" i="4"/>
  <c r="J45" i="6"/>
  <c r="H6" i="7"/>
  <c r="H5" i="7"/>
  <c r="I4" i="7" s="1"/>
  <c r="H35" i="6"/>
  <c r="H23" i="8" s="1"/>
  <c r="H30" i="4"/>
  <c r="H81" i="4" s="1"/>
  <c r="H36" i="4"/>
  <c r="H40" i="4"/>
  <c r="I41" i="4"/>
  <c r="J41" i="4" s="1"/>
  <c r="I31" i="4"/>
  <c r="I41" i="6"/>
  <c r="H41" i="6"/>
  <c r="H42" i="4"/>
  <c r="H18" i="4"/>
  <c r="I35" i="6"/>
  <c r="I42" i="6" s="1"/>
  <c r="I26" i="6"/>
  <c r="H29" i="4"/>
  <c r="I35" i="4"/>
  <c r="I29" i="4"/>
  <c r="I42" i="4"/>
  <c r="J19" i="6"/>
  <c r="J83" i="4" s="1"/>
  <c r="K32" i="4"/>
  <c r="J31" i="6"/>
  <c r="J88" i="4" s="1"/>
  <c r="K41" i="4"/>
  <c r="J24" i="6"/>
  <c r="K36" i="4"/>
  <c r="I15" i="8"/>
  <c r="M12" i="8"/>
  <c r="J12" i="8"/>
  <c r="L12" i="8"/>
  <c r="K12" i="8"/>
  <c r="M20" i="4"/>
  <c r="J14" i="4"/>
  <c r="I18" i="4"/>
  <c r="K20" i="4"/>
  <c r="J20" i="4"/>
  <c r="L20" i="4"/>
  <c r="M13" i="4"/>
  <c r="K13" i="4"/>
  <c r="J13" i="4"/>
  <c r="M14" i="4"/>
  <c r="L12" i="4"/>
  <c r="L13" i="4"/>
  <c r="K14" i="4"/>
  <c r="J12" i="4"/>
  <c r="J13" i="5" s="1"/>
  <c r="J17" i="5" s="1"/>
  <c r="M12" i="4"/>
  <c r="L14" i="4"/>
  <c r="H6" i="4"/>
  <c r="H5" i="4"/>
  <c r="I4" i="4" s="1"/>
  <c r="H15" i="5"/>
  <c r="H20" i="5" s="1"/>
  <c r="H23" i="5" s="1"/>
  <c r="H27" i="5" s="1"/>
  <c r="H30" i="5" s="1"/>
  <c r="H6" i="8"/>
  <c r="H5" i="8"/>
  <c r="I4" i="8" s="1"/>
  <c r="I48" i="6"/>
  <c r="H48" i="6"/>
  <c r="H20" i="6"/>
  <c r="I20" i="6"/>
  <c r="H7" i="6"/>
  <c r="H6" i="6"/>
  <c r="I5" i="6" s="1"/>
  <c r="I15" i="5"/>
  <c r="I20" i="5" s="1"/>
  <c r="I23" i="5" s="1"/>
  <c r="I27" i="5" s="1"/>
  <c r="I30" i="5" s="1"/>
  <c r="H6" i="5"/>
  <c r="H5" i="5"/>
  <c r="I4" i="5" s="1"/>
  <c r="H6" i="3"/>
  <c r="H5" i="3"/>
  <c r="I4" i="3" s="1"/>
  <c r="M14" i="8" l="1"/>
  <c r="J33" i="6"/>
  <c r="J90" i="4" s="1"/>
  <c r="K13" i="8"/>
  <c r="K40" i="4"/>
  <c r="K30" i="6" s="1"/>
  <c r="K87" i="4" s="1"/>
  <c r="H15" i="8"/>
  <c r="L14" i="8"/>
  <c r="J14" i="8"/>
  <c r="J31" i="4" s="1"/>
  <c r="L17" i="4"/>
  <c r="M17" i="4"/>
  <c r="K17" i="4"/>
  <c r="I27" i="6"/>
  <c r="I30" i="8" s="1"/>
  <c r="L13" i="8"/>
  <c r="M13" i="8"/>
  <c r="H84" i="4"/>
  <c r="H94" i="4" s="1"/>
  <c r="J17" i="6"/>
  <c r="J30" i="4"/>
  <c r="J81" i="4" s="1"/>
  <c r="J13" i="8"/>
  <c r="I84" i="4"/>
  <c r="I44" i="4"/>
  <c r="J44" i="4" s="1"/>
  <c r="I91" i="4"/>
  <c r="I92" i="4" s="1"/>
  <c r="L53" i="4"/>
  <c r="K46" i="6"/>
  <c r="M18" i="4"/>
  <c r="L41" i="4"/>
  <c r="K31" i="6"/>
  <c r="K88" i="4" s="1"/>
  <c r="J41" i="6"/>
  <c r="L47" i="4"/>
  <c r="K38" i="6"/>
  <c r="L43" i="4"/>
  <c r="K33" i="6"/>
  <c r="K90" i="4" s="1"/>
  <c r="L52" i="4"/>
  <c r="K45" i="6"/>
  <c r="L49" i="4"/>
  <c r="K40" i="6"/>
  <c r="L48" i="4"/>
  <c r="K39" i="6"/>
  <c r="I5" i="7"/>
  <c r="H7" i="7"/>
  <c r="H24" i="8"/>
  <c r="H25" i="8"/>
  <c r="I28" i="8"/>
  <c r="I23" i="8"/>
  <c r="H27" i="6"/>
  <c r="I24" i="8"/>
  <c r="I25" i="8"/>
  <c r="H42" i="6"/>
  <c r="H49" i="6" s="1"/>
  <c r="L15" i="8"/>
  <c r="K24" i="6"/>
  <c r="L36" i="4"/>
  <c r="J15" i="8"/>
  <c r="L40" i="4"/>
  <c r="K19" i="6"/>
  <c r="K83" i="4" s="1"/>
  <c r="L32" i="4"/>
  <c r="J22" i="5"/>
  <c r="J15" i="7" s="1"/>
  <c r="K15" i="8"/>
  <c r="M15" i="8"/>
  <c r="K18" i="4"/>
  <c r="L18" i="4"/>
  <c r="J18" i="4"/>
  <c r="H7" i="4"/>
  <c r="J18" i="6"/>
  <c r="K13" i="5"/>
  <c r="I5" i="4"/>
  <c r="I5" i="8"/>
  <c r="J4" i="8" s="1"/>
  <c r="I6" i="8"/>
  <c r="H7" i="8"/>
  <c r="I49" i="6"/>
  <c r="H8" i="6"/>
  <c r="I7" i="6"/>
  <c r="I6" i="6"/>
  <c r="J5" i="6" s="1"/>
  <c r="H7" i="5"/>
  <c r="I6" i="5"/>
  <c r="I5" i="5"/>
  <c r="J4" i="5" s="1"/>
  <c r="H7" i="3"/>
  <c r="I6" i="3"/>
  <c r="I5" i="3"/>
  <c r="H2" i="6" l="1"/>
  <c r="I2" i="6"/>
  <c r="K44" i="4"/>
  <c r="J34" i="6"/>
  <c r="J91" i="4" s="1"/>
  <c r="K41" i="6"/>
  <c r="I94" i="4"/>
  <c r="I95" i="4" s="1"/>
  <c r="H95" i="4"/>
  <c r="J82" i="4"/>
  <c r="J66" i="4"/>
  <c r="K63" i="4" s="1"/>
  <c r="K65" i="4" s="1"/>
  <c r="K64" i="4" s="1"/>
  <c r="K23" i="7" s="1"/>
  <c r="K24" i="7" s="1"/>
  <c r="K17" i="5"/>
  <c r="K14" i="5"/>
  <c r="M52" i="4"/>
  <c r="M45" i="6" s="1"/>
  <c r="L45" i="6"/>
  <c r="K30" i="4"/>
  <c r="M48" i="4"/>
  <c r="M39" i="6" s="1"/>
  <c r="L39" i="6"/>
  <c r="M49" i="4"/>
  <c r="M40" i="6" s="1"/>
  <c r="L40" i="6"/>
  <c r="M47" i="4"/>
  <c r="M38" i="6" s="1"/>
  <c r="L38" i="6"/>
  <c r="M53" i="4"/>
  <c r="M46" i="6" s="1"/>
  <c r="L46" i="6"/>
  <c r="M43" i="4"/>
  <c r="M33" i="6" s="1"/>
  <c r="M90" i="4" s="1"/>
  <c r="L33" i="6"/>
  <c r="L90" i="4" s="1"/>
  <c r="J42" i="4"/>
  <c r="J32" i="6" s="1"/>
  <c r="M41" i="4"/>
  <c r="M31" i="6" s="1"/>
  <c r="M88" i="4" s="1"/>
  <c r="L31" i="6"/>
  <c r="L88" i="4" s="1"/>
  <c r="I7" i="7"/>
  <c r="J4" i="7"/>
  <c r="H30" i="8"/>
  <c r="H28" i="8"/>
  <c r="M40" i="4"/>
  <c r="M30" i="6" s="1"/>
  <c r="M87" i="4" s="1"/>
  <c r="L30" i="6"/>
  <c r="L87" i="4" s="1"/>
  <c r="L19" i="6"/>
  <c r="L83" i="4" s="1"/>
  <c r="M32" i="4"/>
  <c r="M19" i="6" s="1"/>
  <c r="M83" i="4" s="1"/>
  <c r="M36" i="4"/>
  <c r="M24" i="6" s="1"/>
  <c r="L24" i="6"/>
  <c r="J35" i="4"/>
  <c r="J23" i="6" s="1"/>
  <c r="J26" i="6" s="1"/>
  <c r="L13" i="5"/>
  <c r="J15" i="5"/>
  <c r="J4" i="4"/>
  <c r="I7" i="4"/>
  <c r="H3" i="6"/>
  <c r="I3" i="6"/>
  <c r="J5" i="8"/>
  <c r="K4" i="8" s="1"/>
  <c r="J6" i="8"/>
  <c r="I7" i="8"/>
  <c r="I8" i="6"/>
  <c r="J6" i="6"/>
  <c r="K5" i="6" s="1"/>
  <c r="J7" i="6"/>
  <c r="I7" i="5"/>
  <c r="J5" i="5"/>
  <c r="K4" i="5" s="1"/>
  <c r="J6" i="5"/>
  <c r="I7" i="3"/>
  <c r="M41" i="6" l="1"/>
  <c r="L44" i="4"/>
  <c r="K34" i="6"/>
  <c r="K91" i="4" s="1"/>
  <c r="K17" i="6"/>
  <c r="K81" i="4"/>
  <c r="J35" i="6"/>
  <c r="J42" i="6" s="1"/>
  <c r="J89" i="4"/>
  <c r="J92" i="4" s="1"/>
  <c r="K66" i="4"/>
  <c r="L63" i="4" s="1"/>
  <c r="L65" i="4" s="1"/>
  <c r="L64" i="4" s="1"/>
  <c r="L23" i="7" s="1"/>
  <c r="L24" i="7" s="1"/>
  <c r="L14" i="5"/>
  <c r="L17" i="5"/>
  <c r="L30" i="4"/>
  <c r="K22" i="5"/>
  <c r="K15" i="7" s="1"/>
  <c r="K42" i="4"/>
  <c r="K32" i="6" s="1"/>
  <c r="K31" i="4"/>
  <c r="K18" i="6" s="1"/>
  <c r="K82" i="4" s="1"/>
  <c r="L41" i="6"/>
  <c r="J6" i="7"/>
  <c r="J5" i="7"/>
  <c r="K4" i="7" s="1"/>
  <c r="J20" i="5"/>
  <c r="J18" i="8"/>
  <c r="J7" i="8"/>
  <c r="K15" i="5"/>
  <c r="M13" i="5"/>
  <c r="J5" i="4"/>
  <c r="K4" i="4" s="1"/>
  <c r="J6" i="4"/>
  <c r="K6" i="8"/>
  <c r="K5" i="8"/>
  <c r="L4" i="8" s="1"/>
  <c r="K7" i="6"/>
  <c r="K6" i="6"/>
  <c r="J8" i="6"/>
  <c r="K6" i="5"/>
  <c r="K5" i="5"/>
  <c r="L4" i="5" s="1"/>
  <c r="J7" i="5"/>
  <c r="K35" i="6" l="1"/>
  <c r="K42" i="6" s="1"/>
  <c r="K89" i="4"/>
  <c r="K92" i="4" s="1"/>
  <c r="M44" i="4"/>
  <c r="M34" i="6" s="1"/>
  <c r="M91" i="4" s="1"/>
  <c r="L34" i="6"/>
  <c r="L91" i="4" s="1"/>
  <c r="L17" i="6"/>
  <c r="L81" i="4"/>
  <c r="K84" i="4"/>
  <c r="K94" i="4" s="1"/>
  <c r="K35" i="4"/>
  <c r="K23" i="6" s="1"/>
  <c r="K26" i="6" s="1"/>
  <c r="M17" i="5"/>
  <c r="M14" i="5"/>
  <c r="M30" i="4"/>
  <c r="L42" i="4"/>
  <c r="L32" i="6" s="1"/>
  <c r="L31" i="4"/>
  <c r="L18" i="6" s="1"/>
  <c r="L82" i="4" s="1"/>
  <c r="K5" i="7"/>
  <c r="L4" i="7" s="1"/>
  <c r="J7" i="7"/>
  <c r="K20" i="5"/>
  <c r="K18" i="8"/>
  <c r="J23" i="5"/>
  <c r="J14" i="7" s="1"/>
  <c r="J19" i="8"/>
  <c r="K7" i="8"/>
  <c r="L15" i="5"/>
  <c r="M15" i="5"/>
  <c r="J7" i="4"/>
  <c r="K5" i="4"/>
  <c r="L4" i="4" s="1"/>
  <c r="L6" i="8"/>
  <c r="L5" i="8"/>
  <c r="M4" i="8" s="1"/>
  <c r="L5" i="6"/>
  <c r="K8" i="6"/>
  <c r="K7" i="5"/>
  <c r="L6" i="5"/>
  <c r="L5" i="5"/>
  <c r="M4" i="5" s="1"/>
  <c r="L35" i="6" l="1"/>
  <c r="L42" i="6" s="1"/>
  <c r="L89" i="4"/>
  <c r="L92" i="4" s="1"/>
  <c r="M17" i="6"/>
  <c r="M81" i="4"/>
  <c r="L84" i="4"/>
  <c r="L22" i="5"/>
  <c r="L15" i="7" s="1"/>
  <c r="L66" i="4"/>
  <c r="M42" i="4"/>
  <c r="M32" i="6" s="1"/>
  <c r="M31" i="4"/>
  <c r="M18" i="6" s="1"/>
  <c r="M82" i="4" s="1"/>
  <c r="K7" i="7"/>
  <c r="L5" i="7"/>
  <c r="M4" i="7" s="1"/>
  <c r="J25" i="5"/>
  <c r="J16" i="7" s="1"/>
  <c r="K23" i="5"/>
  <c r="K14" i="7" s="1"/>
  <c r="K19" i="8"/>
  <c r="L20" i="5"/>
  <c r="L18" i="8"/>
  <c r="M20" i="5"/>
  <c r="M18" i="8"/>
  <c r="L5" i="4"/>
  <c r="M4" i="4" s="1"/>
  <c r="K7" i="4"/>
  <c r="M5" i="8"/>
  <c r="M7" i="8" s="1"/>
  <c r="M6" i="8"/>
  <c r="L7" i="8"/>
  <c r="L7" i="6"/>
  <c r="L6" i="6"/>
  <c r="M5" i="6" s="1"/>
  <c r="M6" i="5"/>
  <c r="M5" i="5"/>
  <c r="M7" i="5" s="1"/>
  <c r="L7" i="5"/>
  <c r="L94" i="4" l="1"/>
  <c r="M84" i="4"/>
  <c r="M35" i="6"/>
  <c r="M42" i="6" s="1"/>
  <c r="M89" i="4"/>
  <c r="M92" i="4" s="1"/>
  <c r="L95" i="4"/>
  <c r="L19" i="7" s="1"/>
  <c r="M63" i="4"/>
  <c r="L35" i="4"/>
  <c r="L23" i="6" s="1"/>
  <c r="J27" i="5"/>
  <c r="M5" i="7"/>
  <c r="M7" i="7" s="1"/>
  <c r="L7" i="7"/>
  <c r="K25" i="5"/>
  <c r="L23" i="5"/>
  <c r="L14" i="7" s="1"/>
  <c r="L19" i="8"/>
  <c r="M19" i="8"/>
  <c r="M5" i="4"/>
  <c r="M7" i="4" s="1"/>
  <c r="L7" i="4"/>
  <c r="L8" i="6"/>
  <c r="M7" i="6"/>
  <c r="M6" i="6"/>
  <c r="M8" i="6" s="1"/>
  <c r="M94" i="4" l="1"/>
  <c r="M95" i="4" s="1"/>
  <c r="M19" i="7" s="1"/>
  <c r="J29" i="5"/>
  <c r="J18" i="7" s="1"/>
  <c r="M65" i="4"/>
  <c r="M64" i="4" s="1"/>
  <c r="M23" i="7" s="1"/>
  <c r="M24" i="7" s="1"/>
  <c r="L26" i="6"/>
  <c r="K27" i="5"/>
  <c r="K16" i="7"/>
  <c r="L25" i="5"/>
  <c r="M22" i="5" l="1"/>
  <c r="J30" i="5"/>
  <c r="J70" i="4" s="1"/>
  <c r="M66" i="4"/>
  <c r="M35" i="4" s="1"/>
  <c r="M23" i="6" s="1"/>
  <c r="M15" i="7"/>
  <c r="M23" i="5"/>
  <c r="L27" i="5"/>
  <c r="L16" i="7"/>
  <c r="K29" i="5"/>
  <c r="M25" i="5" l="1"/>
  <c r="M16" i="7" s="1"/>
  <c r="M14" i="7"/>
  <c r="J20" i="8"/>
  <c r="J71" i="4"/>
  <c r="M27" i="5"/>
  <c r="M29" i="5" s="1"/>
  <c r="M26" i="6"/>
  <c r="K30" i="5"/>
  <c r="K18" i="7"/>
  <c r="L29" i="5"/>
  <c r="K71" i="4" l="1"/>
  <c r="K100" i="4" s="1"/>
  <c r="J72" i="4"/>
  <c r="J100" i="4"/>
  <c r="J29" i="7" s="1"/>
  <c r="J30" i="7" s="1"/>
  <c r="L30" i="5"/>
  <c r="L18" i="7"/>
  <c r="L20" i="7" s="1"/>
  <c r="K70" i="4"/>
  <c r="K20" i="8"/>
  <c r="M30" i="5"/>
  <c r="M18" i="7"/>
  <c r="M20" i="7" s="1"/>
  <c r="K29" i="7" l="1"/>
  <c r="K30" i="7" s="1"/>
  <c r="J54" i="4"/>
  <c r="K69" i="4"/>
  <c r="K72" i="4" s="1"/>
  <c r="L69" i="4" s="1"/>
  <c r="J47" i="6"/>
  <c r="J48" i="6" s="1"/>
  <c r="J49" i="6" s="1"/>
  <c r="M71" i="4"/>
  <c r="M100" i="4" s="1"/>
  <c r="L71" i="4"/>
  <c r="L100" i="4" s="1"/>
  <c r="M20" i="8"/>
  <c r="M70" i="4"/>
  <c r="L70" i="4"/>
  <c r="L20" i="8"/>
  <c r="L72" i="4" l="1"/>
  <c r="M29" i="7"/>
  <c r="M30" i="7" s="1"/>
  <c r="M32" i="7" s="1"/>
  <c r="M36" i="7" s="1"/>
  <c r="L29" i="7"/>
  <c r="L30" i="7" s="1"/>
  <c r="L32" i="7" s="1"/>
  <c r="L36" i="7" s="1"/>
  <c r="K54" i="4"/>
  <c r="K47" i="6" s="1"/>
  <c r="K48" i="6" s="1"/>
  <c r="K49" i="6" s="1"/>
  <c r="M69" i="4"/>
  <c r="M72" i="4" l="1"/>
  <c r="M54" i="4" s="1"/>
  <c r="M47" i="6" s="1"/>
  <c r="M48" i="6" s="1"/>
  <c r="M49" i="6" s="1"/>
  <c r="L54" i="4"/>
  <c r="L47" i="6" s="1"/>
  <c r="L48" i="6" s="1"/>
  <c r="L49" i="6" s="1"/>
  <c r="J84" i="4"/>
  <c r="J94" i="4" l="1"/>
  <c r="K95" i="4" s="1"/>
  <c r="K19" i="7" s="1"/>
  <c r="K20" i="7" s="1"/>
  <c r="K32" i="7" s="1"/>
  <c r="K36" i="7" s="1"/>
  <c r="J95" i="4" l="1"/>
  <c r="J19" i="7" s="1"/>
  <c r="J20" i="7" s="1"/>
  <c r="J32" i="7" s="1"/>
  <c r="J36" i="7" s="1"/>
  <c r="J37" i="7" s="1"/>
  <c r="K35" i="7" l="1"/>
  <c r="K37" i="7" s="1"/>
  <c r="J16" i="6"/>
  <c r="J20" i="6" s="1"/>
  <c r="J27" i="6" s="1"/>
  <c r="J3" i="6" l="1"/>
  <c r="J2" i="6"/>
  <c r="L35" i="7"/>
  <c r="L37" i="7" s="1"/>
  <c r="K16" i="6"/>
  <c r="K20" i="6" s="1"/>
  <c r="K27" i="6" s="1"/>
  <c r="K2" i="6" l="1"/>
  <c r="K3" i="6"/>
  <c r="M35" i="7"/>
  <c r="M37" i="7" s="1"/>
  <c r="M16" i="6" s="1"/>
  <c r="M20" i="6" s="1"/>
  <c r="M27" i="6" s="1"/>
  <c r="L16" i="6"/>
  <c r="L20" i="6" s="1"/>
  <c r="L27" i="6" s="1"/>
  <c r="M3" i="6" l="1"/>
  <c r="M2" i="6"/>
  <c r="L3" i="6"/>
  <c r="L2" i="6"/>
  <c r="Q13" i="8"/>
</calcChain>
</file>

<file path=xl/sharedStrings.xml><?xml version="1.0" encoding="utf-8"?>
<sst xmlns="http://schemas.openxmlformats.org/spreadsheetml/2006/main" count="342" uniqueCount="189">
  <si>
    <t>BUA FOOD PLC</t>
  </si>
  <si>
    <t>s</t>
  </si>
  <si>
    <t>Financial model from 2022 to 2023</t>
  </si>
  <si>
    <t>BUA FOODS PLC</t>
  </si>
  <si>
    <t>Modeler</t>
  </si>
  <si>
    <t>Emem Samuel</t>
  </si>
  <si>
    <t>MODEL GUIDE</t>
  </si>
  <si>
    <t>General Information</t>
  </si>
  <si>
    <t>This section covers the company information as well as the model information.</t>
  </si>
  <si>
    <t>Purpose of the Model</t>
  </si>
  <si>
    <t>Company sector</t>
  </si>
  <si>
    <t>Company name</t>
  </si>
  <si>
    <t>Consumer goods</t>
  </si>
  <si>
    <t>Company Information</t>
  </si>
  <si>
    <t>Model Information</t>
  </si>
  <si>
    <t>Equity research</t>
  </si>
  <si>
    <t>Model owner</t>
  </si>
  <si>
    <t>Currency</t>
  </si>
  <si>
    <t>Delmich Academy</t>
  </si>
  <si>
    <r>
      <t>Naira (</t>
    </r>
    <r>
      <rPr>
        <sz val="12"/>
        <color theme="1"/>
        <rFont val="Aptos Narrow"/>
        <family val="2"/>
      </rPr>
      <t>₦)</t>
    </r>
  </si>
  <si>
    <t>Model Timing and Navigation</t>
  </si>
  <si>
    <t>Model Timing</t>
  </si>
  <si>
    <t>Forecast year</t>
  </si>
  <si>
    <t>Last historical peiod</t>
  </si>
  <si>
    <t>Months in period</t>
  </si>
  <si>
    <t>Beginning historical period</t>
  </si>
  <si>
    <t>last forecast year</t>
  </si>
  <si>
    <t>Model Navigation</t>
  </si>
  <si>
    <t>Cover page</t>
  </si>
  <si>
    <t>Model guide</t>
  </si>
  <si>
    <t>Historical data</t>
  </si>
  <si>
    <t>Assumptions and drivers</t>
  </si>
  <si>
    <t>Statement of financial position</t>
  </si>
  <si>
    <t>Statement of profit/ loss</t>
  </si>
  <si>
    <t>Last historical period</t>
  </si>
  <si>
    <t>Financial analysis</t>
  </si>
  <si>
    <t>Statement of cashflow</t>
  </si>
  <si>
    <t>End date</t>
  </si>
  <si>
    <t>Days in period</t>
  </si>
  <si>
    <t>Year</t>
  </si>
  <si>
    <t>Start date</t>
  </si>
  <si>
    <t>units</t>
  </si>
  <si>
    <t>Description</t>
  </si>
  <si>
    <t>Income Statement</t>
  </si>
  <si>
    <t>Total comprehensive income for the year</t>
  </si>
  <si>
    <t>Revenue from contracts with customers</t>
  </si>
  <si>
    <t>Cost of sales</t>
  </si>
  <si>
    <t>Gross profit</t>
  </si>
  <si>
    <t>Administrative expenses</t>
  </si>
  <si>
    <t>Selling and distribution expenses</t>
  </si>
  <si>
    <t>Other income</t>
  </si>
  <si>
    <t>Operating profit</t>
  </si>
  <si>
    <t>Finance income</t>
  </si>
  <si>
    <t>Finance cost</t>
  </si>
  <si>
    <t>Finance costs - net</t>
  </si>
  <si>
    <t>Minimum tax charge</t>
  </si>
  <si>
    <t>Profit before income tax</t>
  </si>
  <si>
    <t>Income and deferred tax credit/(expense)</t>
  </si>
  <si>
    <t>Profit after tax</t>
  </si>
  <si>
    <t>Other comprehensive income</t>
  </si>
  <si>
    <t>-</t>
  </si>
  <si>
    <t>Net impairment (loss)/writeback on financial asset</t>
  </si>
  <si>
    <t>asset</t>
  </si>
  <si>
    <t xml:space="preserve">Net impairment (loss)/writeback on financial </t>
  </si>
  <si>
    <t>Depreciation</t>
  </si>
  <si>
    <t>Dividend</t>
  </si>
  <si>
    <t>Assets</t>
  </si>
  <si>
    <t>Non-current assets</t>
  </si>
  <si>
    <t>Property, plant and equipment</t>
  </si>
  <si>
    <t>Right-of-use assets</t>
  </si>
  <si>
    <t>Investment in subsidiaries</t>
  </si>
  <si>
    <t>Total non-current assets</t>
  </si>
  <si>
    <t>Current assets</t>
  </si>
  <si>
    <t>Inventories</t>
  </si>
  <si>
    <t>Trade receivables and other assets</t>
  </si>
  <si>
    <t>Cash and balances with banks</t>
  </si>
  <si>
    <t>Due from related parties</t>
  </si>
  <si>
    <t>Total current assets</t>
  </si>
  <si>
    <t>Total assets</t>
  </si>
  <si>
    <t>Equity</t>
  </si>
  <si>
    <t>Share capital</t>
  </si>
  <si>
    <t>Reorganisation reserves</t>
  </si>
  <si>
    <t>Retained earnings</t>
  </si>
  <si>
    <t>Total equity</t>
  </si>
  <si>
    <t>Liabilities</t>
  </si>
  <si>
    <t>Non-current liabilities</t>
  </si>
  <si>
    <t>Deferred tax liabilities</t>
  </si>
  <si>
    <t>Borrowings</t>
  </si>
  <si>
    <t>Lease liabilities</t>
  </si>
  <si>
    <t>Government grants</t>
  </si>
  <si>
    <t>Deposit for shares</t>
  </si>
  <si>
    <t>Total non-current liabilities</t>
  </si>
  <si>
    <t>Current liabilities</t>
  </si>
  <si>
    <t>Contract liabilites</t>
  </si>
  <si>
    <t>Current income tax payable</t>
  </si>
  <si>
    <t>Bank overdraft</t>
  </si>
  <si>
    <t>Due to related parties</t>
  </si>
  <si>
    <t>Trade and other payables</t>
  </si>
  <si>
    <t>Total current liabilities</t>
  </si>
  <si>
    <t>Total liabilities</t>
  </si>
  <si>
    <t>Total equity and liabilities</t>
  </si>
  <si>
    <t>SG&amp;A</t>
  </si>
  <si>
    <t>Other Income</t>
  </si>
  <si>
    <t>EBITDA</t>
  </si>
  <si>
    <t xml:space="preserve"> </t>
  </si>
  <si>
    <t>Deprecition and amortization</t>
  </si>
  <si>
    <t>EBIT</t>
  </si>
  <si>
    <t>Finance costs-net</t>
  </si>
  <si>
    <t>EBT</t>
  </si>
  <si>
    <t>NET INCOME</t>
  </si>
  <si>
    <t>Current asset</t>
  </si>
  <si>
    <t>Asset</t>
  </si>
  <si>
    <t>other current liabilities</t>
  </si>
  <si>
    <t>Other non-current  liabilities</t>
  </si>
  <si>
    <t>Reconciliation tool</t>
  </si>
  <si>
    <t>Check tool</t>
  </si>
  <si>
    <t>Efficiency ratio</t>
  </si>
  <si>
    <t>Days of sales outstanding</t>
  </si>
  <si>
    <t>Days of inventory outstanding</t>
  </si>
  <si>
    <t>Operating cycle</t>
  </si>
  <si>
    <t>Days of payable outstanding</t>
  </si>
  <si>
    <t>N'000</t>
  </si>
  <si>
    <t>Other non-current asssets</t>
  </si>
  <si>
    <t>other non-current assets</t>
  </si>
  <si>
    <t>other current assets</t>
  </si>
  <si>
    <t>Non-cuurrent asset</t>
  </si>
  <si>
    <t>current liability</t>
  </si>
  <si>
    <t>Non-current liability</t>
  </si>
  <si>
    <t>Supporting Schedules</t>
  </si>
  <si>
    <t>PPE Schedule</t>
  </si>
  <si>
    <t>Maintainable Capex</t>
  </si>
  <si>
    <t>Incremental Capex</t>
  </si>
  <si>
    <t>Add  Capex</t>
  </si>
  <si>
    <t>ending balance</t>
  </si>
  <si>
    <t>Beginning balance</t>
  </si>
  <si>
    <t>Profitability ratio</t>
  </si>
  <si>
    <t>Gross Profit margin</t>
  </si>
  <si>
    <t>Current ratio</t>
  </si>
  <si>
    <t>Operating  profit</t>
  </si>
  <si>
    <t>Net profit margin</t>
  </si>
  <si>
    <t>Cash ratio</t>
  </si>
  <si>
    <t>Quick-ratio</t>
  </si>
  <si>
    <t>Debt-to-equity ratio</t>
  </si>
  <si>
    <t>Interest coverage ratio</t>
  </si>
  <si>
    <t>Debt-to-total asset ratio</t>
  </si>
  <si>
    <t>[% of Revenue]</t>
  </si>
  <si>
    <t>[% of COGS]</t>
  </si>
  <si>
    <t>[% of revenue]</t>
  </si>
  <si>
    <t>[Y-O-Y growth rate]</t>
  </si>
  <si>
    <t>[Ending balances]</t>
  </si>
  <si>
    <t>[% of PPE]</t>
  </si>
  <si>
    <t>[% of Debt]</t>
  </si>
  <si>
    <t>[% of EBT]</t>
  </si>
  <si>
    <t>Other current assets</t>
  </si>
  <si>
    <t>[PPE balances]</t>
  </si>
  <si>
    <t>Retained Earnings Schedule</t>
  </si>
  <si>
    <t>add Net income</t>
  </si>
  <si>
    <t>deduct Dividened</t>
  </si>
  <si>
    <t>Ending balance</t>
  </si>
  <si>
    <t>Dividend Payout ratio</t>
  </si>
  <si>
    <t>Operating activities</t>
  </si>
  <si>
    <t>Add depreciation</t>
  </si>
  <si>
    <t>Income tax charge</t>
  </si>
  <si>
    <t>Changes in working capital</t>
  </si>
  <si>
    <t>Working capital schedule</t>
  </si>
  <si>
    <t>Total current asset</t>
  </si>
  <si>
    <t>Current liability</t>
  </si>
  <si>
    <t>Total current liability</t>
  </si>
  <si>
    <t>Working Capital</t>
  </si>
  <si>
    <t>Changes in working Capital</t>
  </si>
  <si>
    <t>Cash from Operations</t>
  </si>
  <si>
    <t>Investing activities</t>
  </si>
  <si>
    <t>Capex</t>
  </si>
  <si>
    <t>cash from investing</t>
  </si>
  <si>
    <t>Financing activities</t>
  </si>
  <si>
    <t>Equity Schedule</t>
  </si>
  <si>
    <t>Changes in share capital</t>
  </si>
  <si>
    <t>changes in reorganisation reserve</t>
  </si>
  <si>
    <t>cash from financing</t>
  </si>
  <si>
    <t>Cash and Cash equivalent during the period</t>
  </si>
  <si>
    <t>Cash schedule</t>
  </si>
  <si>
    <t>Cash at the beginning</t>
  </si>
  <si>
    <t>add cash during the year</t>
  </si>
  <si>
    <t>cash at the end</t>
  </si>
  <si>
    <t xml:space="preserve"> depreciation</t>
  </si>
  <si>
    <t>EBIT- operating profit</t>
  </si>
  <si>
    <t>less-finance cost net</t>
  </si>
  <si>
    <t>Retained earnings balance</t>
  </si>
  <si>
    <t>ASSUMPTIONS AND 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</si>
</sst>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\ &quot;months&quot;"/>
    <numFmt numFmtId="165" formatCode="0\ &quot;years&quot;"/>
    <numFmt numFmtId="166" formatCode="0\ &quot;AC&quot;"/>
    <numFmt numFmtId="167" formatCode="0\ &quot;FC&quot;"/>
    <numFmt numFmtId="168" formatCode="_(* #,##0_);_(* \(#,##0\);_(* &quot;-&quot;??_);_(@_)"/>
    <numFmt numFmtId="169" formatCode="0\ &quot;days&quot;"/>
    <numFmt numFmtId="172" formatCode="0.0%"/>
    <numFmt numFmtId="178" formatCode="0\ \A\C"/>
    <numFmt numFmtId="179" formatCode="0\ \F\C"/>
    <numFmt numFmtId="182" formatCode="0\ \X"/>
    <numFmt numFmtId="183" formatCode="\ 0\ \F\C"/>
  </numFmts>
  <fonts count="21" x14ac:knownFonts="1">
    <font>
      <sz val="11"/>
      <color theme="1"/>
      <name val="Aptos Narrow"/>
      <family val="2"/>
      <scheme val="minor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 tint="0.499984740745262"/>
      <name val="Times New Roman"/>
      <family val="1"/>
    </font>
    <font>
      <sz val="12"/>
      <color theme="1"/>
      <name val="Aptos Narrow"/>
      <family val="2"/>
    </font>
    <font>
      <u/>
      <sz val="11"/>
      <color theme="10"/>
      <name val="Aptos Narrow"/>
      <family val="2"/>
      <scheme val="minor"/>
    </font>
    <font>
      <sz val="12"/>
      <color theme="1" tint="4.9989318521683403E-2"/>
      <name val="Times New Roman"/>
      <family val="1"/>
    </font>
    <font>
      <sz val="12"/>
      <color theme="0"/>
      <name val="Times New Roman"/>
      <family val="1"/>
    </font>
    <font>
      <sz val="11"/>
      <color theme="1"/>
      <name val="Aptos Narrow"/>
      <family val="2"/>
      <scheme val="minor"/>
    </font>
    <font>
      <b/>
      <u/>
      <sz val="12"/>
      <color theme="1"/>
      <name val="Times New Roman"/>
      <family val="1"/>
    </font>
    <font>
      <sz val="8"/>
      <name val="Aptos Narrow"/>
      <family val="2"/>
      <scheme val="minor"/>
    </font>
    <font>
      <i/>
      <sz val="12"/>
      <color theme="1" tint="0.34998626667073579"/>
      <name val="Times New Roman"/>
      <family val="1"/>
    </font>
    <font>
      <sz val="16"/>
      <color theme="1"/>
      <name val="Times New Roman"/>
      <family val="1"/>
    </font>
    <font>
      <sz val="14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lightVertical"/>
    </fill>
    <fill>
      <patternFill patternType="solid">
        <fgColor indexed="65"/>
        <bgColor indexed="64"/>
      </patternFill>
    </fill>
    <fill>
      <patternFill patternType="lightDown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2" fillId="0" borderId="0" applyNumberFormat="0" applyFill="0" applyBorder="0" applyAlignment="0" applyProtection="0"/>
    <xf numFmtId="9" fontId="15" fillId="0" borderId="0" applyFont="0" applyFill="0" applyBorder="0" applyAlignment="0" applyProtection="0"/>
    <xf numFmtId="44" fontId="15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3" fillId="0" borderId="0" xfId="0" applyFont="1"/>
    <xf numFmtId="0" fontId="3" fillId="0" borderId="0" xfId="0" applyFont="1" applyAlignment="1">
      <alignment horizontal="centerContinuous"/>
    </xf>
    <xf numFmtId="0" fontId="3" fillId="3" borderId="0" xfId="0" applyFont="1" applyFill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6" fillId="0" borderId="0" xfId="0" applyFont="1"/>
    <xf numFmtId="0" fontId="9" fillId="0" borderId="0" xfId="0" applyFont="1"/>
    <xf numFmtId="0" fontId="2" fillId="0" borderId="1" xfId="0" applyFont="1" applyBorder="1"/>
    <xf numFmtId="0" fontId="6" fillId="0" borderId="1" xfId="0" applyFont="1" applyBorder="1"/>
    <xf numFmtId="0" fontId="10" fillId="0" borderId="0" xfId="0" applyFont="1"/>
    <xf numFmtId="0" fontId="6" fillId="4" borderId="0" xfId="0" applyFont="1" applyFill="1"/>
    <xf numFmtId="164" fontId="6" fillId="4" borderId="0" xfId="0" applyNumberFormat="1" applyFont="1" applyFill="1"/>
    <xf numFmtId="165" fontId="6" fillId="4" borderId="0" xfId="0" applyNumberFormat="1" applyFont="1" applyFill="1"/>
    <xf numFmtId="14" fontId="6" fillId="4" borderId="0" xfId="0" applyNumberFormat="1" applyFont="1" applyFill="1"/>
    <xf numFmtId="0" fontId="13" fillId="0" borderId="0" xfId="0" applyFont="1"/>
    <xf numFmtId="0" fontId="13" fillId="0" borderId="0" xfId="1" applyFont="1" applyFill="1"/>
    <xf numFmtId="14" fontId="6" fillId="0" borderId="0" xfId="0" applyNumberFormat="1" applyFont="1"/>
    <xf numFmtId="164" fontId="6" fillId="0" borderId="0" xfId="0" applyNumberFormat="1" applyFont="1"/>
    <xf numFmtId="165" fontId="6" fillId="0" borderId="0" xfId="0" applyNumberFormat="1" applyFont="1"/>
    <xf numFmtId="0" fontId="14" fillId="2" borderId="0" xfId="0" applyFont="1" applyFill="1"/>
    <xf numFmtId="0" fontId="9" fillId="2" borderId="0" xfId="0" applyFont="1" applyFill="1"/>
    <xf numFmtId="14" fontId="14" fillId="2" borderId="0" xfId="0" applyNumberFormat="1" applyFont="1" applyFill="1"/>
    <xf numFmtId="166" fontId="14" fillId="2" borderId="0" xfId="0" applyNumberFormat="1" applyFont="1" applyFill="1"/>
    <xf numFmtId="0" fontId="6" fillId="5" borderId="0" xfId="0" applyFont="1" applyFill="1"/>
    <xf numFmtId="14" fontId="14" fillId="5" borderId="0" xfId="0" applyNumberFormat="1" applyFont="1" applyFill="1"/>
    <xf numFmtId="167" fontId="14" fillId="5" borderId="0" xfId="0" applyNumberFormat="1" applyFont="1" applyFill="1"/>
    <xf numFmtId="0" fontId="14" fillId="5" borderId="0" xfId="0" applyFont="1" applyFill="1"/>
    <xf numFmtId="0" fontId="5" fillId="0" borderId="1" xfId="0" applyFont="1" applyBorder="1"/>
    <xf numFmtId="3" fontId="6" fillId="0" borderId="0" xfId="0" applyNumberFormat="1" applyFont="1"/>
    <xf numFmtId="168" fontId="6" fillId="0" borderId="0" xfId="0" applyNumberFormat="1" applyFont="1" applyAlignment="1">
      <alignment horizontal="right"/>
    </xf>
    <xf numFmtId="168" fontId="6" fillId="0" borderId="0" xfId="0" applyNumberFormat="1" applyFont="1"/>
    <xf numFmtId="41" fontId="6" fillId="0" borderId="0" xfId="0" applyNumberFormat="1" applyFont="1"/>
    <xf numFmtId="41" fontId="6" fillId="0" borderId="0" xfId="0" applyNumberFormat="1" applyFont="1" applyAlignment="1">
      <alignment horizontal="right"/>
    </xf>
    <xf numFmtId="41" fontId="9" fillId="0" borderId="0" xfId="0" applyNumberFormat="1" applyFont="1" applyAlignment="1">
      <alignment horizontal="right"/>
    </xf>
    <xf numFmtId="168" fontId="9" fillId="0" borderId="0" xfId="0" applyNumberFormat="1" applyFont="1" applyAlignment="1">
      <alignment horizontal="right"/>
    </xf>
    <xf numFmtId="0" fontId="9" fillId="0" borderId="1" xfId="0" applyFont="1" applyBorder="1"/>
    <xf numFmtId="0" fontId="9" fillId="0" borderId="2" xfId="0" applyFont="1" applyBorder="1"/>
    <xf numFmtId="41" fontId="9" fillId="0" borderId="2" xfId="0" applyNumberFormat="1" applyFont="1" applyBorder="1" applyAlignment="1">
      <alignment horizontal="right"/>
    </xf>
    <xf numFmtId="168" fontId="9" fillId="0" borderId="2" xfId="0" applyNumberFormat="1" applyFont="1" applyBorder="1" applyAlignment="1">
      <alignment horizontal="right"/>
    </xf>
    <xf numFmtId="0" fontId="9" fillId="0" borderId="3" xfId="0" applyFont="1" applyBorder="1"/>
    <xf numFmtId="0" fontId="6" fillId="0" borderId="3" xfId="0" applyFont="1" applyBorder="1"/>
    <xf numFmtId="0" fontId="6" fillId="0" borderId="2" xfId="0" applyFont="1" applyBorder="1"/>
    <xf numFmtId="0" fontId="16" fillId="0" borderId="2" xfId="0" applyFont="1" applyBorder="1"/>
    <xf numFmtId="41" fontId="16" fillId="0" borderId="2" xfId="0" applyNumberFormat="1" applyFont="1" applyBorder="1" applyAlignment="1">
      <alignment horizontal="right"/>
    </xf>
    <xf numFmtId="168" fontId="16" fillId="0" borderId="2" xfId="0" applyNumberFormat="1" applyFont="1" applyBorder="1" applyAlignment="1">
      <alignment horizontal="right"/>
    </xf>
    <xf numFmtId="0" fontId="5" fillId="0" borderId="0" xfId="0" applyFont="1"/>
    <xf numFmtId="41" fontId="9" fillId="0" borderId="3" xfId="0" applyNumberFormat="1" applyFont="1" applyBorder="1"/>
    <xf numFmtId="41" fontId="9" fillId="0" borderId="0" xfId="0" applyNumberFormat="1" applyFont="1"/>
    <xf numFmtId="41" fontId="9" fillId="0" borderId="2" xfId="0" applyNumberFormat="1" applyFont="1" applyBorder="1"/>
    <xf numFmtId="0" fontId="16" fillId="0" borderId="0" xfId="0" applyFont="1"/>
    <xf numFmtId="41" fontId="16" fillId="0" borderId="0" xfId="0" applyNumberFormat="1" applyFont="1" applyAlignment="1">
      <alignment horizontal="right"/>
    </xf>
    <xf numFmtId="168" fontId="16" fillId="0" borderId="0" xfId="0" applyNumberFormat="1" applyFont="1" applyAlignment="1">
      <alignment horizontal="right"/>
    </xf>
    <xf numFmtId="0" fontId="14" fillId="0" borderId="0" xfId="0" applyFont="1"/>
    <xf numFmtId="169" fontId="6" fillId="0" borderId="0" xfId="0" applyNumberFormat="1" applyFont="1"/>
    <xf numFmtId="169" fontId="6" fillId="0" borderId="0" xfId="0" quotePrefix="1" applyNumberFormat="1" applyFont="1"/>
    <xf numFmtId="169" fontId="6" fillId="0" borderId="0" xfId="0" applyNumberFormat="1" applyFont="1" applyAlignment="1">
      <alignment horizontal="right"/>
    </xf>
    <xf numFmtId="168" fontId="9" fillId="0" borderId="0" xfId="0" applyNumberFormat="1" applyFont="1"/>
    <xf numFmtId="9" fontId="6" fillId="0" borderId="0" xfId="2" applyFont="1"/>
    <xf numFmtId="9" fontId="9" fillId="0" borderId="0" xfId="2" applyFont="1"/>
    <xf numFmtId="2" fontId="6" fillId="0" borderId="0" xfId="0" applyNumberFormat="1" applyFont="1"/>
    <xf numFmtId="43" fontId="6" fillId="0" borderId="0" xfId="0" applyNumberFormat="1" applyFont="1"/>
    <xf numFmtId="37" fontId="6" fillId="2" borderId="0" xfId="0" applyNumberFormat="1" applyFont="1" applyFill="1"/>
    <xf numFmtId="37" fontId="7" fillId="2" borderId="0" xfId="0" applyNumberFormat="1" applyFont="1" applyFill="1"/>
    <xf numFmtId="37" fontId="9" fillId="2" borderId="0" xfId="0" applyNumberFormat="1" applyFont="1" applyFill="1"/>
    <xf numFmtId="37" fontId="6" fillId="5" borderId="0" xfId="0" applyNumberFormat="1" applyFont="1" applyFill="1"/>
    <xf numFmtId="37" fontId="6" fillId="0" borderId="0" xfId="0" applyNumberFormat="1" applyFont="1"/>
    <xf numFmtId="37" fontId="14" fillId="2" borderId="0" xfId="0" applyNumberFormat="1" applyFont="1" applyFill="1"/>
    <xf numFmtId="37" fontId="14" fillId="5" borderId="0" xfId="0" applyNumberFormat="1" applyFont="1" applyFill="1"/>
    <xf numFmtId="37" fontId="2" fillId="0" borderId="1" xfId="0" applyNumberFormat="1" applyFont="1" applyBorder="1"/>
    <xf numFmtId="37" fontId="6" fillId="0" borderId="1" xfId="0" applyNumberFormat="1" applyFont="1" applyBorder="1"/>
    <xf numFmtId="37" fontId="9" fillId="0" borderId="3" xfId="0" applyNumberFormat="1" applyFont="1" applyBorder="1"/>
    <xf numFmtId="37" fontId="6" fillId="0" borderId="3" xfId="0" applyNumberFormat="1" applyFont="1" applyBorder="1"/>
    <xf numFmtId="37" fontId="6" fillId="0" borderId="2" xfId="0" applyNumberFormat="1" applyFont="1" applyBorder="1"/>
    <xf numFmtId="37" fontId="9" fillId="0" borderId="0" xfId="0" applyNumberFormat="1" applyFont="1"/>
    <xf numFmtId="37" fontId="6" fillId="8" borderId="0" xfId="0" applyNumberFormat="1" applyFont="1" applyFill="1"/>
    <xf numFmtId="37" fontId="5" fillId="0" borderId="1" xfId="0" applyNumberFormat="1" applyFont="1" applyBorder="1"/>
    <xf numFmtId="37" fontId="18" fillId="0" borderId="0" xfId="0" applyNumberFormat="1" applyFont="1"/>
    <xf numFmtId="37" fontId="6" fillId="0" borderId="0" xfId="0" quotePrefix="1" applyNumberFormat="1" applyFont="1"/>
    <xf numFmtId="37" fontId="19" fillId="0" borderId="1" xfId="0" applyNumberFormat="1" applyFont="1" applyBorder="1"/>
    <xf numFmtId="37" fontId="19" fillId="0" borderId="0" xfId="0" applyNumberFormat="1" applyFont="1"/>
    <xf numFmtId="37" fontId="6" fillId="0" borderId="0" xfId="3" applyNumberFormat="1" applyFont="1"/>
    <xf numFmtId="37" fontId="20" fillId="2" borderId="0" xfId="0" applyNumberFormat="1" applyFont="1" applyFill="1"/>
    <xf numFmtId="37" fontId="6" fillId="6" borderId="0" xfId="0" applyNumberFormat="1" applyFont="1" applyFill="1"/>
    <xf numFmtId="37" fontId="6" fillId="7" borderId="3" xfId="0" applyNumberFormat="1" applyFont="1" applyFill="1" applyBorder="1"/>
    <xf numFmtId="0" fontId="16" fillId="0" borderId="4" xfId="0" applyFont="1" applyBorder="1"/>
    <xf numFmtId="0" fontId="6" fillId="0" borderId="4" xfId="0" applyFont="1" applyBorder="1"/>
    <xf numFmtId="41" fontId="9" fillId="0" borderId="4" xfId="0" applyNumberFormat="1" applyFont="1" applyBorder="1"/>
    <xf numFmtId="0" fontId="9" fillId="0" borderId="4" xfId="0" applyFont="1" applyBorder="1"/>
    <xf numFmtId="0" fontId="6" fillId="0" borderId="0" xfId="0" applyFont="1" applyBorder="1"/>
    <xf numFmtId="0" fontId="6" fillId="0" borderId="0" xfId="0" applyFont="1" applyFill="1" applyBorder="1"/>
    <xf numFmtId="0" fontId="6" fillId="0" borderId="0" xfId="0" applyFont="1" applyFill="1"/>
    <xf numFmtId="14" fontId="14" fillId="0" borderId="0" xfId="0" applyNumberFormat="1" applyFont="1" applyFill="1"/>
    <xf numFmtId="167" fontId="14" fillId="0" borderId="0" xfId="0" applyNumberFormat="1" applyFont="1" applyFill="1"/>
    <xf numFmtId="0" fontId="14" fillId="0" borderId="0" xfId="0" applyFont="1" applyFill="1"/>
    <xf numFmtId="168" fontId="6" fillId="0" borderId="0" xfId="0" applyNumberFormat="1" applyFont="1" applyBorder="1"/>
    <xf numFmtId="41" fontId="6" fillId="0" borderId="0" xfId="0" applyNumberFormat="1" applyFont="1" applyBorder="1" applyAlignment="1">
      <alignment horizontal="right"/>
    </xf>
    <xf numFmtId="168" fontId="6" fillId="0" borderId="0" xfId="0" applyNumberFormat="1" applyFont="1" applyBorder="1" applyAlignment="1">
      <alignment horizontal="right"/>
    </xf>
    <xf numFmtId="172" fontId="6" fillId="0" borderId="0" xfId="2" applyNumberFormat="1" applyFont="1"/>
    <xf numFmtId="10" fontId="6" fillId="0" borderId="0" xfId="2" applyNumberFormat="1" applyFont="1"/>
    <xf numFmtId="0" fontId="14" fillId="0" borderId="0" xfId="0" applyFont="1" applyFill="1" applyBorder="1"/>
    <xf numFmtId="178" fontId="14" fillId="2" borderId="0" xfId="0" applyNumberFormat="1" applyFont="1" applyFill="1"/>
    <xf numFmtId="179" fontId="14" fillId="5" borderId="0" xfId="0" applyNumberFormat="1" applyFont="1" applyFill="1"/>
    <xf numFmtId="37" fontId="6" fillId="0" borderId="0" xfId="0" applyNumberFormat="1" applyFont="1" applyFill="1" applyBorder="1"/>
    <xf numFmtId="37" fontId="14" fillId="0" borderId="0" xfId="0" applyNumberFormat="1" applyFont="1" applyFill="1" applyBorder="1"/>
    <xf numFmtId="37" fontId="20" fillId="0" borderId="0" xfId="0" applyNumberFormat="1" applyFont="1" applyFill="1" applyBorder="1"/>
    <xf numFmtId="172" fontId="6" fillId="0" borderId="0" xfId="2" applyNumberFormat="1" applyFont="1" applyFill="1" applyBorder="1"/>
    <xf numFmtId="9" fontId="6" fillId="0" borderId="0" xfId="2" applyNumberFormat="1" applyFont="1"/>
    <xf numFmtId="182" fontId="6" fillId="0" borderId="0" xfId="0" applyNumberFormat="1" applyFont="1"/>
    <xf numFmtId="183" fontId="14" fillId="5" borderId="0" xfId="0" applyNumberFormat="1" applyFont="1" applyFill="1"/>
    <xf numFmtId="14" fontId="14" fillId="0" borderId="0" xfId="0" applyNumberFormat="1" applyFont="1" applyFill="1" applyBorder="1"/>
    <xf numFmtId="41" fontId="6" fillId="0" borderId="0" xfId="0" applyNumberFormat="1" applyFont="1" applyFill="1" applyBorder="1"/>
  </cellXfs>
  <cellStyles count="4">
    <cellStyle name="Currency" xfId="3" builtinId="4"/>
    <cellStyle name="Hyperlink" xfId="1" builtinId="8"/>
    <cellStyle name="Normal" xfId="0" builtinId="0"/>
    <cellStyle name="Percent" xfId="2" builtinId="5"/>
  </cellStyles>
  <dxfs count="6">
    <dxf>
      <fill>
        <patternFill>
          <bgColor rgb="FFC00000"/>
        </patternFill>
      </fill>
    </dxf>
    <dxf>
      <fill>
        <patternFill>
          <bgColor theme="1" tint="4.9989318521683403E-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423885</xdr:colOff>
      <xdr:row>4</xdr:row>
      <xdr:rowOff>95250</xdr:rowOff>
    </xdr:from>
    <xdr:to>
      <xdr:col>6</xdr:col>
      <xdr:colOff>253986</xdr:colOff>
      <xdr:row>13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0AEA33-3FEC-0343-3639-A1D508ECE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4985" y="923925"/>
          <a:ext cx="1658901" cy="1733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7A14-DEE3-4C5A-8855-B9209066C32F}">
  <dimension ref="A2:Z17"/>
  <sheetViews>
    <sheetView showGridLines="0" topLeftCell="C1" workbookViewId="0">
      <selection activeCell="N19" sqref="N19"/>
    </sheetView>
  </sheetViews>
  <sheetFormatPr defaultRowHeight="15" x14ac:dyDescent="0.25"/>
  <cols>
    <col min="1" max="1" width="6.42578125" style="3" customWidth="1"/>
    <col min="2" max="2" width="5.5703125" style="3" customWidth="1"/>
    <col min="3" max="3" width="5.7109375" style="3" customWidth="1"/>
    <col min="4" max="9" width="9.140625" style="3"/>
    <col min="10" max="26" width="9.140625" style="5"/>
    <col min="27" max="16384" width="9.140625" style="3"/>
  </cols>
  <sheetData>
    <row r="2" spans="1:8" ht="16.5" x14ac:dyDescent="0.25">
      <c r="C2" s="2" t="s">
        <v>3</v>
      </c>
      <c r="D2" s="4"/>
      <c r="E2" s="4"/>
      <c r="F2" s="4"/>
      <c r="G2" s="4"/>
      <c r="H2" s="4"/>
    </row>
    <row r="3" spans="1:8" ht="18.75" x14ac:dyDescent="0.3">
      <c r="B3" s="1"/>
      <c r="C3" s="7" t="s">
        <v>2</v>
      </c>
      <c r="D3" s="4"/>
      <c r="E3" s="4"/>
      <c r="F3" s="4"/>
      <c r="G3" s="4"/>
      <c r="H3" s="4"/>
    </row>
    <row r="16" spans="1:8" ht="19.5" x14ac:dyDescent="0.3">
      <c r="A16" s="4"/>
      <c r="B16" s="6"/>
      <c r="C16" s="6" t="s">
        <v>4</v>
      </c>
      <c r="D16" s="4"/>
      <c r="E16" s="6"/>
      <c r="F16" s="4"/>
      <c r="G16" s="4"/>
      <c r="H16" s="4"/>
    </row>
    <row r="17" spans="3:8" ht="16.5" x14ac:dyDescent="0.25">
      <c r="C17" s="7" t="s">
        <v>5</v>
      </c>
      <c r="D17" s="4"/>
      <c r="E17" s="4"/>
      <c r="F17" s="4"/>
      <c r="G17" s="4"/>
      <c r="H17" s="4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62FD2-52AE-4854-A120-2671369831B9}">
  <dimension ref="A2:N65"/>
  <sheetViews>
    <sheetView showGridLines="0" tabSelected="1" zoomScaleNormal="100" workbookViewId="0">
      <selection activeCell="H17" sqref="H17"/>
    </sheetView>
  </sheetViews>
  <sheetFormatPr defaultRowHeight="15.75" x14ac:dyDescent="0.25"/>
  <cols>
    <col min="1" max="1" width="4" style="11" customWidth="1"/>
    <col min="2" max="2" width="3.42578125" style="11" customWidth="1"/>
    <col min="3" max="3" width="2.85546875" style="11" customWidth="1"/>
    <col min="4" max="4" width="6.140625" style="11" customWidth="1"/>
    <col min="5" max="9" width="9.140625" style="11"/>
    <col min="10" max="10" width="11.28515625" style="11" bestFit="1" customWidth="1"/>
    <col min="11" max="16384" width="9.140625" style="11"/>
  </cols>
  <sheetData>
    <row r="2" spans="1:14" x14ac:dyDescent="0.25">
      <c r="A2" s="8"/>
      <c r="B2" s="9" t="s">
        <v>0</v>
      </c>
      <c r="C2" s="8"/>
      <c r="D2" s="10"/>
      <c r="E2" s="8"/>
      <c r="F2" s="8"/>
      <c r="G2" s="8"/>
      <c r="H2" s="8"/>
      <c r="I2" s="8"/>
      <c r="J2" s="8"/>
      <c r="K2" s="8"/>
      <c r="L2" s="95"/>
      <c r="M2" s="95"/>
      <c r="N2" s="95"/>
    </row>
    <row r="3" spans="1:14" x14ac:dyDescent="0.25">
      <c r="L3" s="95"/>
      <c r="M3" s="95"/>
      <c r="N3" s="95"/>
    </row>
    <row r="4" spans="1:14" x14ac:dyDescent="0.25">
      <c r="D4" s="12" t="s">
        <v>6</v>
      </c>
      <c r="L4" s="95"/>
      <c r="M4" s="95"/>
      <c r="N4" s="95"/>
    </row>
    <row r="5" spans="1:14" x14ac:dyDescent="0.25">
      <c r="L5" s="95"/>
      <c r="M5" s="95"/>
      <c r="N5" s="95"/>
    </row>
    <row r="6" spans="1:14" ht="18.75" x14ac:dyDescent="0.3">
      <c r="D6" s="13" t="s">
        <v>7</v>
      </c>
      <c r="E6" s="14"/>
      <c r="F6" s="14"/>
      <c r="G6" s="14"/>
      <c r="H6" s="14"/>
      <c r="I6" s="14"/>
      <c r="J6" s="14"/>
      <c r="K6" s="14"/>
      <c r="L6" s="95"/>
      <c r="M6" s="95"/>
      <c r="N6" s="95"/>
    </row>
    <row r="7" spans="1:14" x14ac:dyDescent="0.25">
      <c r="D7" s="15" t="s">
        <v>8</v>
      </c>
      <c r="E7" s="15"/>
      <c r="F7" s="15"/>
      <c r="G7" s="15"/>
      <c r="H7" s="15"/>
      <c r="I7" s="15"/>
      <c r="J7" s="15"/>
      <c r="K7" s="15"/>
      <c r="L7" s="95"/>
      <c r="M7" s="95"/>
      <c r="N7" s="95"/>
    </row>
    <row r="8" spans="1:14" x14ac:dyDescent="0.25">
      <c r="L8" s="95"/>
      <c r="M8" s="95"/>
      <c r="N8" s="95"/>
    </row>
    <row r="9" spans="1:14" x14ac:dyDescent="0.25">
      <c r="E9" s="14" t="s">
        <v>13</v>
      </c>
      <c r="F9" s="14"/>
      <c r="G9" s="14"/>
      <c r="H9" s="14"/>
      <c r="I9" s="14"/>
      <c r="J9" s="14"/>
      <c r="K9" s="14"/>
      <c r="L9" s="95"/>
      <c r="M9" s="95"/>
      <c r="N9" s="95"/>
    </row>
    <row r="10" spans="1:14" x14ac:dyDescent="0.25">
      <c r="E10" s="11" t="s">
        <v>11</v>
      </c>
      <c r="J10" s="16" t="s">
        <v>3</v>
      </c>
      <c r="K10" s="16"/>
      <c r="L10" s="95"/>
      <c r="M10" s="95"/>
      <c r="N10" s="95"/>
    </row>
    <row r="11" spans="1:14" x14ac:dyDescent="0.25">
      <c r="E11" s="11" t="s">
        <v>10</v>
      </c>
      <c r="J11" s="16" t="s">
        <v>12</v>
      </c>
      <c r="K11" s="16"/>
      <c r="L11" s="95"/>
      <c r="M11" s="95"/>
      <c r="N11" s="95"/>
    </row>
    <row r="12" spans="1:14" x14ac:dyDescent="0.25">
      <c r="E12" s="11" t="s">
        <v>9</v>
      </c>
      <c r="J12" s="16" t="s">
        <v>15</v>
      </c>
      <c r="K12" s="16"/>
      <c r="L12" s="95"/>
      <c r="M12" s="95"/>
      <c r="N12" s="95"/>
    </row>
    <row r="13" spans="1:14" x14ac:dyDescent="0.25">
      <c r="L13" s="95"/>
      <c r="M13" s="95"/>
      <c r="N13" s="95"/>
    </row>
    <row r="14" spans="1:14" x14ac:dyDescent="0.25">
      <c r="E14" s="14" t="s">
        <v>14</v>
      </c>
      <c r="F14" s="14"/>
      <c r="G14" s="14"/>
      <c r="H14" s="14"/>
      <c r="I14" s="14"/>
      <c r="J14" s="14"/>
      <c r="K14" s="14"/>
      <c r="L14" s="95"/>
      <c r="M14" s="95"/>
      <c r="N14" s="95"/>
    </row>
    <row r="15" spans="1:14" x14ac:dyDescent="0.25">
      <c r="E15" s="11" t="s">
        <v>16</v>
      </c>
      <c r="J15" s="16" t="s">
        <v>18</v>
      </c>
      <c r="K15" s="16"/>
      <c r="L15" s="95"/>
      <c r="M15" s="95"/>
      <c r="N15" s="95"/>
    </row>
    <row r="16" spans="1:14" x14ac:dyDescent="0.25">
      <c r="E16" s="11" t="s">
        <v>17</v>
      </c>
      <c r="J16" s="16" t="s">
        <v>19</v>
      </c>
      <c r="K16" s="16"/>
      <c r="L16" s="95"/>
      <c r="M16" s="95"/>
      <c r="N16" s="95"/>
    </row>
    <row r="17" spans="4:14" x14ac:dyDescent="0.25">
      <c r="E17" s="11" t="s">
        <v>4</v>
      </c>
      <c r="J17" s="16" t="s">
        <v>5</v>
      </c>
      <c r="K17" s="16"/>
      <c r="L17" s="95"/>
      <c r="M17" s="95"/>
      <c r="N17" s="95"/>
    </row>
    <row r="18" spans="4:14" x14ac:dyDescent="0.25">
      <c r="L18" s="95"/>
      <c r="M18" s="95"/>
      <c r="N18" s="95"/>
    </row>
    <row r="19" spans="4:14" ht="18.75" x14ac:dyDescent="0.3">
      <c r="D19" s="13" t="s">
        <v>20</v>
      </c>
      <c r="E19" s="14"/>
      <c r="F19" s="14"/>
      <c r="G19" s="14"/>
      <c r="H19" s="14"/>
      <c r="I19" s="14"/>
      <c r="J19" s="14"/>
      <c r="K19" s="14"/>
      <c r="L19" s="95"/>
      <c r="M19" s="95"/>
      <c r="N19" s="95"/>
    </row>
    <row r="20" spans="4:14" x14ac:dyDescent="0.25">
      <c r="D20" s="15"/>
      <c r="E20" s="15"/>
      <c r="F20" s="15"/>
      <c r="G20" s="15"/>
      <c r="H20" s="15"/>
      <c r="I20" s="15"/>
      <c r="J20" s="15"/>
      <c r="K20" s="15"/>
      <c r="L20" s="95"/>
      <c r="M20" s="95"/>
      <c r="N20" s="95"/>
    </row>
    <row r="21" spans="4:14" x14ac:dyDescent="0.25">
      <c r="E21" s="14" t="s">
        <v>21</v>
      </c>
      <c r="F21" s="14"/>
      <c r="G21" s="14"/>
      <c r="H21" s="14"/>
      <c r="I21" s="14"/>
      <c r="J21" s="14"/>
      <c r="K21" s="14"/>
      <c r="L21" s="95"/>
      <c r="M21" s="95"/>
      <c r="N21" s="95"/>
    </row>
    <row r="22" spans="4:14" x14ac:dyDescent="0.25">
      <c r="E22" s="11" t="s">
        <v>25</v>
      </c>
      <c r="J22" s="19">
        <v>44926</v>
      </c>
      <c r="K22" s="16"/>
      <c r="L22" s="95"/>
      <c r="M22" s="95"/>
      <c r="N22" s="95"/>
    </row>
    <row r="23" spans="4:14" x14ac:dyDescent="0.25">
      <c r="E23" s="11" t="s">
        <v>23</v>
      </c>
      <c r="J23" s="19">
        <v>45291</v>
      </c>
      <c r="K23" s="16"/>
      <c r="L23" s="95"/>
      <c r="M23" s="95"/>
      <c r="N23" s="95"/>
    </row>
    <row r="24" spans="4:14" x14ac:dyDescent="0.25">
      <c r="E24" s="11" t="s">
        <v>24</v>
      </c>
      <c r="J24" s="17">
        <v>12</v>
      </c>
      <c r="K24" s="16"/>
      <c r="L24" s="95"/>
      <c r="M24" s="95"/>
      <c r="N24" s="95"/>
    </row>
    <row r="25" spans="4:14" x14ac:dyDescent="0.25">
      <c r="E25" s="11" t="s">
        <v>22</v>
      </c>
      <c r="J25" s="18">
        <v>4</v>
      </c>
      <c r="K25" s="16"/>
      <c r="L25" s="95"/>
      <c r="M25" s="95"/>
      <c r="N25" s="95"/>
    </row>
    <row r="26" spans="4:14" x14ac:dyDescent="0.25">
      <c r="E26" s="11" t="s">
        <v>34</v>
      </c>
      <c r="J26" s="16">
        <f>YEAR(J23)</f>
        <v>2023</v>
      </c>
      <c r="K26" s="16"/>
      <c r="L26" s="95"/>
      <c r="M26" s="95"/>
      <c r="N26" s="95"/>
    </row>
    <row r="27" spans="4:14" x14ac:dyDescent="0.25">
      <c r="E27" s="11" t="s">
        <v>26</v>
      </c>
      <c r="J27" s="16">
        <f>2027</f>
        <v>2027</v>
      </c>
      <c r="K27" s="16"/>
      <c r="L27" s="95"/>
      <c r="M27" s="95"/>
      <c r="N27" s="95"/>
    </row>
    <row r="28" spans="4:14" x14ac:dyDescent="0.25">
      <c r="L28" s="95"/>
      <c r="M28" s="95"/>
      <c r="N28" s="95"/>
    </row>
    <row r="29" spans="4:14" x14ac:dyDescent="0.25">
      <c r="E29" s="14" t="s">
        <v>27</v>
      </c>
      <c r="F29" s="14"/>
      <c r="G29" s="14"/>
      <c r="H29" s="14"/>
      <c r="I29" s="14"/>
      <c r="J29" s="14"/>
      <c r="K29" s="14"/>
      <c r="L29" s="95"/>
      <c r="M29" s="95"/>
      <c r="N29" s="95"/>
    </row>
    <row r="30" spans="4:14" x14ac:dyDescent="0.25">
      <c r="E30" s="21" t="s">
        <v>28</v>
      </c>
      <c r="F30" s="20"/>
      <c r="J30" s="22"/>
      <c r="L30" s="95"/>
      <c r="M30" s="95"/>
      <c r="N30" s="95"/>
    </row>
    <row r="31" spans="4:14" x14ac:dyDescent="0.25">
      <c r="E31" s="21" t="s">
        <v>29</v>
      </c>
      <c r="F31" s="20"/>
      <c r="J31" s="22"/>
      <c r="L31" s="95"/>
      <c r="M31" s="95"/>
      <c r="N31" s="95"/>
    </row>
    <row r="32" spans="4:14" x14ac:dyDescent="0.25">
      <c r="E32" s="21" t="s">
        <v>30</v>
      </c>
      <c r="F32" s="20"/>
      <c r="J32" s="23"/>
      <c r="L32" s="95"/>
      <c r="M32" s="95"/>
      <c r="N32" s="95"/>
    </row>
    <row r="33" spans="5:14" x14ac:dyDescent="0.25">
      <c r="E33" s="21" t="s">
        <v>31</v>
      </c>
      <c r="F33" s="20"/>
      <c r="J33" s="24"/>
      <c r="L33" s="95"/>
      <c r="M33" s="95"/>
      <c r="N33" s="95"/>
    </row>
    <row r="34" spans="5:14" x14ac:dyDescent="0.25">
      <c r="E34" s="21" t="s">
        <v>33</v>
      </c>
      <c r="F34" s="20"/>
      <c r="L34" s="95"/>
      <c r="M34" s="95"/>
      <c r="N34" s="95"/>
    </row>
    <row r="35" spans="5:14" x14ac:dyDescent="0.25">
      <c r="E35" s="21" t="s">
        <v>32</v>
      </c>
      <c r="F35" s="20"/>
      <c r="L35" s="95"/>
      <c r="M35" s="95"/>
      <c r="N35" s="95"/>
    </row>
    <row r="36" spans="5:14" x14ac:dyDescent="0.25">
      <c r="E36" s="21" t="s">
        <v>36</v>
      </c>
      <c r="F36" s="20"/>
      <c r="L36" s="95"/>
      <c r="M36" s="95"/>
      <c r="N36" s="95"/>
    </row>
    <row r="37" spans="5:14" x14ac:dyDescent="0.25">
      <c r="E37" s="21" t="s">
        <v>35</v>
      </c>
      <c r="F37" s="20"/>
      <c r="L37" s="95"/>
      <c r="M37" s="95"/>
      <c r="N37" s="95"/>
    </row>
    <row r="38" spans="5:14" x14ac:dyDescent="0.25">
      <c r="L38" s="95"/>
      <c r="M38" s="95"/>
      <c r="N38" s="95"/>
    </row>
    <row r="39" spans="5:14" x14ac:dyDescent="0.25">
      <c r="L39" s="95"/>
      <c r="M39" s="95"/>
      <c r="N39" s="95"/>
    </row>
    <row r="40" spans="5:14" x14ac:dyDescent="0.25">
      <c r="L40" s="95"/>
      <c r="M40" s="95"/>
      <c r="N40" s="95"/>
    </row>
    <row r="41" spans="5:14" x14ac:dyDescent="0.25">
      <c r="L41" s="95"/>
      <c r="M41" s="95"/>
      <c r="N41" s="95"/>
    </row>
    <row r="42" spans="5:14" x14ac:dyDescent="0.25">
      <c r="L42" s="95"/>
      <c r="M42" s="95"/>
      <c r="N42" s="95"/>
    </row>
    <row r="43" spans="5:14" x14ac:dyDescent="0.25">
      <c r="L43" s="95"/>
      <c r="M43" s="95"/>
      <c r="N43" s="95"/>
    </row>
    <row r="44" spans="5:14" x14ac:dyDescent="0.25">
      <c r="L44" s="95"/>
      <c r="M44" s="95"/>
      <c r="N44" s="95"/>
    </row>
    <row r="45" spans="5:14" x14ac:dyDescent="0.25">
      <c r="L45" s="95"/>
      <c r="M45" s="95"/>
      <c r="N45" s="95"/>
    </row>
    <row r="46" spans="5:14" x14ac:dyDescent="0.25">
      <c r="L46" s="95"/>
      <c r="M46" s="95"/>
      <c r="N46" s="95"/>
    </row>
    <row r="47" spans="5:14" x14ac:dyDescent="0.25">
      <c r="L47" s="95"/>
      <c r="M47" s="95"/>
      <c r="N47" s="95"/>
    </row>
    <row r="48" spans="5:14" x14ac:dyDescent="0.25">
      <c r="L48" s="95"/>
      <c r="M48" s="95"/>
      <c r="N48" s="95"/>
    </row>
    <row r="49" spans="12:14" x14ac:dyDescent="0.25">
      <c r="L49" s="95"/>
      <c r="M49" s="95"/>
      <c r="N49" s="95"/>
    </row>
    <row r="50" spans="12:14" x14ac:dyDescent="0.25">
      <c r="L50" s="95"/>
      <c r="M50" s="95"/>
      <c r="N50" s="95"/>
    </row>
    <row r="51" spans="12:14" x14ac:dyDescent="0.25">
      <c r="L51" s="95"/>
      <c r="M51" s="95"/>
      <c r="N51" s="95"/>
    </row>
    <row r="52" spans="12:14" x14ac:dyDescent="0.25">
      <c r="L52" s="95"/>
      <c r="M52" s="95"/>
      <c r="N52" s="95"/>
    </row>
    <row r="53" spans="12:14" x14ac:dyDescent="0.25">
      <c r="L53" s="95"/>
      <c r="M53" s="95"/>
      <c r="N53" s="95"/>
    </row>
    <row r="54" spans="12:14" x14ac:dyDescent="0.25">
      <c r="L54" s="95"/>
      <c r="M54" s="95"/>
      <c r="N54" s="95"/>
    </row>
    <row r="55" spans="12:14" x14ac:dyDescent="0.25">
      <c r="L55" s="95"/>
      <c r="M55" s="95"/>
      <c r="N55" s="95"/>
    </row>
    <row r="56" spans="12:14" x14ac:dyDescent="0.25">
      <c r="L56" s="95"/>
      <c r="M56" s="95"/>
      <c r="N56" s="95"/>
    </row>
    <row r="57" spans="12:14" x14ac:dyDescent="0.25">
      <c r="L57" s="95"/>
      <c r="M57" s="95"/>
      <c r="N57" s="95"/>
    </row>
    <row r="58" spans="12:14" x14ac:dyDescent="0.25">
      <c r="L58" s="95"/>
      <c r="M58" s="95"/>
      <c r="N58" s="95"/>
    </row>
    <row r="59" spans="12:14" x14ac:dyDescent="0.25">
      <c r="L59" s="95"/>
      <c r="M59" s="95"/>
      <c r="N59" s="95"/>
    </row>
    <row r="60" spans="12:14" x14ac:dyDescent="0.25">
      <c r="L60" s="95"/>
      <c r="M60" s="95"/>
      <c r="N60" s="95"/>
    </row>
    <row r="61" spans="12:14" x14ac:dyDescent="0.25">
      <c r="L61" s="95"/>
      <c r="M61" s="95"/>
      <c r="N61" s="95"/>
    </row>
    <row r="62" spans="12:14" x14ac:dyDescent="0.25">
      <c r="L62" s="95"/>
      <c r="M62" s="95"/>
      <c r="N62" s="95"/>
    </row>
    <row r="63" spans="12:14" x14ac:dyDescent="0.25">
      <c r="L63" s="95"/>
      <c r="M63" s="95"/>
      <c r="N63" s="95"/>
    </row>
    <row r="64" spans="12:14" x14ac:dyDescent="0.25">
      <c r="L64" s="95"/>
      <c r="M64" s="95"/>
      <c r="N64" s="95"/>
    </row>
    <row r="65" spans="12:14" x14ac:dyDescent="0.25">
      <c r="L65" s="95"/>
      <c r="M65" s="95"/>
      <c r="N65" s="95"/>
    </row>
  </sheetData>
  <hyperlinks>
    <hyperlink ref="E30" location="'COVER PAGE '!A1" display="Cover page" xr:uid="{768615FA-33BA-42CF-B542-0A2CB09E16FD}"/>
    <hyperlink ref="E31" location="'Model guide'!A1" display="Model guide" xr:uid="{14681286-4B43-45B0-AF5F-F80125EE2BEF}"/>
    <hyperlink ref="E32" location="'Historical data'!A1" display="Historical data" xr:uid="{25C582E9-A071-4654-A40A-C42368F1FE94}"/>
    <hyperlink ref="E33" location="'Assumptions and drivers'!A1" display="Assumptions and drivers" xr:uid="{ADA10FEF-0DE4-4D8E-8F0D-8CA7F6F798D6}"/>
    <hyperlink ref="E34" location="SOPL!A1" display="Statement of profit/ loss" xr:uid="{952153F0-7540-49AA-9576-4558533F2336}"/>
    <hyperlink ref="E35" location="SOFP!A1" display="Statement of financial position" xr:uid="{C6976CE5-1061-4A04-86F7-89DDE9211389}"/>
    <hyperlink ref="E36" location="SOCF!A1" display="Statement of cashflow" xr:uid="{2AE051C2-56A4-4758-895C-4E695E3132B5}"/>
    <hyperlink ref="E37" location="'Financial analysis'!A1" display="Financial analysis" xr:uid="{3518A0BC-6E10-40A9-9EDD-26339B567E79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781AA-0EC4-4AB2-AA1A-FED120AC17E1}">
  <dimension ref="A3:S75"/>
  <sheetViews>
    <sheetView showGridLines="0" zoomScale="85" zoomScaleNormal="85" workbookViewId="0">
      <pane xSplit="7" ySplit="9" topLeftCell="H10" activePane="bottomRight" state="frozen"/>
      <selection activeCell="G4" sqref="G4:M5"/>
      <selection pane="topRight" activeCell="G4" sqref="G4:M5"/>
      <selection pane="bottomLeft" activeCell="G4" sqref="G4:M5"/>
      <selection pane="bottomRight" activeCell="L16" sqref="L16"/>
    </sheetView>
  </sheetViews>
  <sheetFormatPr defaultRowHeight="15.75" x14ac:dyDescent="0.25"/>
  <cols>
    <col min="1" max="2" width="4" style="11" customWidth="1"/>
    <col min="3" max="3" width="3.7109375" style="11" customWidth="1"/>
    <col min="4" max="5" width="9.140625" style="11"/>
    <col min="6" max="6" width="7.85546875" style="11" customWidth="1"/>
    <col min="7" max="7" width="15" style="11" customWidth="1"/>
    <col min="8" max="8" width="19" style="11" customWidth="1"/>
    <col min="9" max="9" width="19.42578125" style="11" customWidth="1"/>
    <col min="10" max="10" width="16.5703125" style="11" customWidth="1"/>
    <col min="11" max="11" width="13.42578125" style="11" customWidth="1"/>
    <col min="12" max="12" width="18" style="11" customWidth="1"/>
    <col min="13" max="13" width="19.85546875" style="11" customWidth="1"/>
    <col min="14" max="14" width="11.28515625" style="11" bestFit="1" customWidth="1"/>
    <col min="15" max="15" width="9.140625" style="11"/>
    <col min="16" max="16" width="19.5703125" style="11" customWidth="1"/>
    <col min="17" max="17" width="7" style="11" customWidth="1"/>
    <col min="18" max="18" width="18.140625" style="11" customWidth="1"/>
    <col min="19" max="19" width="15.7109375" style="11" bestFit="1" customWidth="1"/>
    <col min="20" max="16384" width="9.140625" style="11"/>
  </cols>
  <sheetData>
    <row r="3" spans="1:18" x14ac:dyDescent="0.25">
      <c r="A3" s="8"/>
      <c r="B3" s="9" t="s">
        <v>3</v>
      </c>
      <c r="C3" s="9"/>
      <c r="D3" s="9"/>
      <c r="E3" s="26"/>
      <c r="F3" s="8"/>
      <c r="G3" s="8"/>
      <c r="H3" s="25"/>
      <c r="I3" s="8"/>
      <c r="J3" s="96"/>
      <c r="K3" s="96"/>
      <c r="L3" s="96"/>
      <c r="M3" s="96"/>
      <c r="N3" s="96"/>
    </row>
    <row r="4" spans="1:18" x14ac:dyDescent="0.25">
      <c r="A4" s="8"/>
      <c r="B4" s="25" t="s">
        <v>40</v>
      </c>
      <c r="C4" s="25"/>
      <c r="D4" s="25"/>
      <c r="E4" s="8"/>
      <c r="F4" s="8"/>
      <c r="G4" s="27"/>
      <c r="H4" s="27">
        <f t="shared" ref="H4:M4" si="0">G5+1</f>
        <v>44562</v>
      </c>
      <c r="I4" s="27">
        <f t="shared" si="0"/>
        <v>44927</v>
      </c>
      <c r="J4" s="97"/>
      <c r="K4" s="97"/>
      <c r="L4" s="97"/>
      <c r="M4" s="97"/>
      <c r="N4" s="97"/>
    </row>
    <row r="5" spans="1:18" x14ac:dyDescent="0.25">
      <c r="A5" s="8"/>
      <c r="B5" s="25" t="s">
        <v>37</v>
      </c>
      <c r="C5" s="25"/>
      <c r="D5" s="25"/>
      <c r="E5" s="8"/>
      <c r="F5" s="8"/>
      <c r="G5" s="27">
        <f>EDATE('Model guide'!J22,-12)</f>
        <v>44561</v>
      </c>
      <c r="H5" s="27">
        <f t="shared" ref="H5:M5" si="1">EOMONTH(H4, 11)</f>
        <v>44926</v>
      </c>
      <c r="I5" s="27">
        <f t="shared" si="1"/>
        <v>45291</v>
      </c>
      <c r="J5" s="97"/>
      <c r="K5" s="97"/>
      <c r="L5" s="97"/>
      <c r="M5" s="97"/>
      <c r="N5" s="97"/>
    </row>
    <row r="6" spans="1:18" x14ac:dyDescent="0.25">
      <c r="A6" s="8"/>
      <c r="B6" s="25" t="s">
        <v>39</v>
      </c>
      <c r="C6" s="25"/>
      <c r="D6" s="25"/>
      <c r="E6" s="8"/>
      <c r="F6" s="8"/>
      <c r="G6" s="25"/>
      <c r="H6" s="28">
        <f t="shared" ref="H6:M6" si="2">YEAR(H4)</f>
        <v>2022</v>
      </c>
      <c r="I6" s="28">
        <f t="shared" si="2"/>
        <v>2023</v>
      </c>
      <c r="J6" s="98"/>
      <c r="K6" s="98"/>
      <c r="L6" s="98"/>
      <c r="M6" s="98"/>
      <c r="N6" s="99"/>
    </row>
    <row r="7" spans="1:18" x14ac:dyDescent="0.25">
      <c r="A7" s="8"/>
      <c r="B7" s="25" t="s">
        <v>38</v>
      </c>
      <c r="C7" s="25"/>
      <c r="D7" s="25"/>
      <c r="E7" s="8"/>
      <c r="F7" s="8"/>
      <c r="G7" s="25"/>
      <c r="H7" s="25">
        <f t="shared" ref="H7:M7" si="3">DATEDIF(H4,H5,"D")</f>
        <v>364</v>
      </c>
      <c r="I7" s="25">
        <f t="shared" si="3"/>
        <v>364</v>
      </c>
      <c r="J7" s="99"/>
      <c r="K7" s="99"/>
      <c r="L7" s="99"/>
      <c r="M7" s="99"/>
      <c r="N7" s="99"/>
    </row>
    <row r="9" spans="1:18" x14ac:dyDescent="0.25">
      <c r="B9" s="11" t="s">
        <v>42</v>
      </c>
      <c r="G9" s="11" t="s">
        <v>41</v>
      </c>
    </row>
    <row r="11" spans="1:18" ht="16.5" x14ac:dyDescent="0.25">
      <c r="B11" s="33" t="s">
        <v>43</v>
      </c>
      <c r="C11" s="14"/>
      <c r="D11" s="14"/>
      <c r="E11" s="14"/>
      <c r="F11" s="14"/>
      <c r="G11" s="14"/>
      <c r="H11" s="14"/>
      <c r="I11" s="14"/>
      <c r="J11" s="94"/>
      <c r="K11" s="94"/>
      <c r="L11" s="94"/>
      <c r="M11" s="94"/>
      <c r="N11" s="94"/>
    </row>
    <row r="12" spans="1:18" x14ac:dyDescent="0.25">
      <c r="J12" s="94"/>
      <c r="K12" s="94"/>
      <c r="L12" s="94"/>
      <c r="M12" s="94"/>
      <c r="N12" s="94"/>
    </row>
    <row r="13" spans="1:18" x14ac:dyDescent="0.25">
      <c r="B13" s="12" t="s">
        <v>45</v>
      </c>
      <c r="C13" s="12"/>
      <c r="D13" s="12"/>
      <c r="E13" s="12"/>
      <c r="F13" s="12"/>
      <c r="G13" s="12"/>
      <c r="H13" s="40">
        <v>418347770</v>
      </c>
      <c r="I13" s="40">
        <v>729443355</v>
      </c>
      <c r="J13" s="100"/>
      <c r="K13" s="100"/>
      <c r="L13" s="100"/>
      <c r="M13" s="100"/>
      <c r="N13" s="100"/>
      <c r="Q13" s="63"/>
      <c r="R13" s="34"/>
    </row>
    <row r="14" spans="1:18" x14ac:dyDescent="0.25">
      <c r="B14" s="11" t="s">
        <v>46</v>
      </c>
      <c r="H14" s="35">
        <v>-285555236</v>
      </c>
      <c r="I14" s="35">
        <v>-468983756</v>
      </c>
      <c r="J14" s="100"/>
      <c r="K14" s="100"/>
      <c r="L14" s="100"/>
      <c r="M14" s="100"/>
      <c r="N14" s="100"/>
      <c r="Q14" s="63"/>
      <c r="R14" s="36"/>
    </row>
    <row r="15" spans="1:18" x14ac:dyDescent="0.25">
      <c r="B15" s="12" t="s">
        <v>47</v>
      </c>
      <c r="C15" s="12"/>
      <c r="D15" s="12"/>
      <c r="E15" s="12"/>
      <c r="F15" s="12"/>
      <c r="G15" s="12"/>
      <c r="H15" s="40">
        <v>132792534</v>
      </c>
      <c r="I15" s="40">
        <v>260459599</v>
      </c>
      <c r="J15" s="100"/>
      <c r="K15" s="100"/>
      <c r="L15" s="100"/>
      <c r="M15" s="100"/>
      <c r="N15" s="100"/>
      <c r="P15" s="12"/>
      <c r="Q15" s="64"/>
      <c r="R15" s="62"/>
    </row>
    <row r="16" spans="1:18" x14ac:dyDescent="0.25">
      <c r="B16" s="11" t="s">
        <v>48</v>
      </c>
      <c r="H16" s="35">
        <v>-18733919</v>
      </c>
      <c r="I16" s="35">
        <v>-17212664</v>
      </c>
      <c r="J16" s="100"/>
      <c r="K16" s="100"/>
      <c r="L16" s="100"/>
      <c r="M16" s="100"/>
      <c r="N16" s="100"/>
    </row>
    <row r="17" spans="1:19" x14ac:dyDescent="0.25">
      <c r="B17" s="11" t="s">
        <v>49</v>
      </c>
      <c r="H17" s="35">
        <v>-14185483</v>
      </c>
      <c r="I17" s="35">
        <v>-29849296</v>
      </c>
      <c r="J17" s="100"/>
      <c r="K17" s="100"/>
      <c r="L17" s="100"/>
      <c r="M17" s="100"/>
      <c r="N17" s="100"/>
    </row>
    <row r="18" spans="1:19" x14ac:dyDescent="0.25">
      <c r="B18" s="11" t="s">
        <v>63</v>
      </c>
      <c r="H18" s="35">
        <v>2376501</v>
      </c>
      <c r="I18" s="35">
        <v>-7890845</v>
      </c>
      <c r="J18" s="100"/>
      <c r="K18" s="100"/>
      <c r="L18" s="100"/>
      <c r="M18" s="100"/>
      <c r="N18" s="100"/>
      <c r="R18" s="36"/>
      <c r="S18" s="36"/>
    </row>
    <row r="19" spans="1:19" x14ac:dyDescent="0.25">
      <c r="B19" s="11" t="s">
        <v>62</v>
      </c>
      <c r="H19" s="35"/>
      <c r="I19" s="35"/>
      <c r="J19" s="100"/>
      <c r="K19" s="100"/>
      <c r="L19" s="100"/>
      <c r="M19" s="100"/>
      <c r="N19" s="100"/>
      <c r="R19" s="37"/>
      <c r="S19" s="37"/>
    </row>
    <row r="20" spans="1:19" x14ac:dyDescent="0.25">
      <c r="B20" s="11" t="s">
        <v>50</v>
      </c>
      <c r="H20" s="35">
        <v>15242660</v>
      </c>
      <c r="I20" s="35">
        <v>809325</v>
      </c>
      <c r="J20" s="100"/>
      <c r="K20" s="100"/>
      <c r="L20" s="100"/>
      <c r="M20" s="100"/>
      <c r="N20" s="100"/>
      <c r="R20" s="37"/>
      <c r="S20" s="37"/>
    </row>
    <row r="21" spans="1:19" x14ac:dyDescent="0.25">
      <c r="B21" s="12" t="s">
        <v>51</v>
      </c>
      <c r="C21" s="12"/>
      <c r="D21" s="12"/>
      <c r="E21" s="12"/>
      <c r="F21" s="12"/>
      <c r="G21" s="12"/>
      <c r="H21" s="40">
        <v>117492294</v>
      </c>
      <c r="I21" s="40">
        <v>206316119</v>
      </c>
      <c r="J21" s="100"/>
      <c r="K21" s="100"/>
      <c r="L21" s="100"/>
      <c r="M21" s="100"/>
      <c r="N21" s="100"/>
      <c r="P21" s="12"/>
      <c r="R21" s="37"/>
      <c r="S21" s="37"/>
    </row>
    <row r="22" spans="1:19" x14ac:dyDescent="0.25">
      <c r="B22" s="11" t="s">
        <v>52</v>
      </c>
      <c r="H22" s="35">
        <v>39721</v>
      </c>
      <c r="I22" s="35">
        <v>2497371</v>
      </c>
      <c r="J22" s="100"/>
      <c r="K22" s="100"/>
      <c r="L22" s="100"/>
      <c r="M22" s="100"/>
      <c r="N22" s="100"/>
    </row>
    <row r="23" spans="1:19" x14ac:dyDescent="0.25">
      <c r="B23" s="11" t="s">
        <v>53</v>
      </c>
      <c r="H23" s="35">
        <v>-8721781</v>
      </c>
      <c r="I23" s="35">
        <v>-100678918</v>
      </c>
      <c r="J23" s="100"/>
      <c r="K23" s="100"/>
      <c r="L23" s="100"/>
      <c r="M23" s="100"/>
      <c r="N23" s="100"/>
    </row>
    <row r="24" spans="1:19" x14ac:dyDescent="0.25">
      <c r="B24" s="11" t="s">
        <v>54</v>
      </c>
      <c r="H24" s="35">
        <v>-8682060</v>
      </c>
      <c r="I24" s="35">
        <v>-98181547</v>
      </c>
      <c r="J24" s="100"/>
      <c r="K24" s="100"/>
      <c r="L24" s="100"/>
      <c r="M24" s="100"/>
      <c r="N24" s="100"/>
    </row>
    <row r="25" spans="1:19" x14ac:dyDescent="0.25">
      <c r="B25" s="11" t="s">
        <v>55</v>
      </c>
      <c r="H25" s="35">
        <v>-1580531</v>
      </c>
      <c r="I25" s="35">
        <v>-10640</v>
      </c>
      <c r="J25" s="100"/>
      <c r="K25" s="100"/>
      <c r="L25" s="100"/>
      <c r="M25" s="100"/>
      <c r="N25" s="100"/>
    </row>
    <row r="26" spans="1:19" x14ac:dyDescent="0.25">
      <c r="B26" s="11" t="s">
        <v>56</v>
      </c>
      <c r="H26" s="35">
        <v>107229703</v>
      </c>
      <c r="I26" s="35">
        <v>108123932</v>
      </c>
      <c r="J26" s="100"/>
      <c r="K26" s="100"/>
      <c r="L26" s="100"/>
      <c r="M26" s="100"/>
      <c r="N26" s="100"/>
    </row>
    <row r="27" spans="1:19" x14ac:dyDescent="0.25">
      <c r="B27" s="11" t="s">
        <v>57</v>
      </c>
      <c r="H27" s="35">
        <v>-15885683</v>
      </c>
      <c r="I27" s="35">
        <v>3973565</v>
      </c>
      <c r="J27" s="100"/>
      <c r="K27" s="100"/>
      <c r="L27" s="100"/>
      <c r="M27" s="100"/>
      <c r="N27" s="100"/>
    </row>
    <row r="28" spans="1:19" x14ac:dyDescent="0.25">
      <c r="A28" s="34"/>
      <c r="B28" s="12" t="s">
        <v>58</v>
      </c>
      <c r="C28" s="12"/>
      <c r="D28" s="12"/>
      <c r="E28" s="12"/>
      <c r="F28" s="12"/>
      <c r="G28" s="12"/>
      <c r="H28" s="40">
        <v>91344020</v>
      </c>
      <c r="I28" s="40">
        <v>112097497</v>
      </c>
      <c r="J28" s="100"/>
      <c r="K28" s="100"/>
      <c r="L28" s="100"/>
      <c r="M28" s="100"/>
      <c r="N28" s="100"/>
    </row>
    <row r="29" spans="1:19" x14ac:dyDescent="0.25">
      <c r="A29" s="34"/>
      <c r="B29" s="11" t="s">
        <v>59</v>
      </c>
      <c r="H29" s="35" t="s">
        <v>60</v>
      </c>
      <c r="I29" s="35" t="s">
        <v>60</v>
      </c>
      <c r="J29" s="100"/>
      <c r="K29" s="100"/>
      <c r="L29" s="100"/>
      <c r="M29" s="100"/>
      <c r="N29" s="100"/>
    </row>
    <row r="30" spans="1:19" x14ac:dyDescent="0.25">
      <c r="B30" s="12" t="s">
        <v>44</v>
      </c>
      <c r="C30" s="12"/>
      <c r="D30" s="12"/>
      <c r="E30" s="12"/>
      <c r="F30" s="12"/>
      <c r="G30" s="12"/>
      <c r="H30" s="40">
        <v>91344020</v>
      </c>
      <c r="I30" s="40">
        <v>112097497</v>
      </c>
      <c r="J30" s="100"/>
      <c r="K30" s="100"/>
      <c r="L30" s="100"/>
      <c r="M30" s="100"/>
      <c r="N30" s="100"/>
    </row>
    <row r="31" spans="1:19" x14ac:dyDescent="0.25">
      <c r="A31" s="34"/>
      <c r="J31" s="94"/>
      <c r="K31" s="94"/>
      <c r="L31" s="94"/>
      <c r="M31" s="94"/>
      <c r="N31" s="94"/>
    </row>
    <row r="32" spans="1:19" x14ac:dyDescent="0.25">
      <c r="A32" s="34"/>
      <c r="B32" s="11" t="s">
        <v>64</v>
      </c>
      <c r="H32" s="34">
        <v>3320438</v>
      </c>
      <c r="I32" s="34">
        <v>3236022</v>
      </c>
      <c r="J32" s="94"/>
      <c r="K32" s="94"/>
      <c r="L32" s="94"/>
      <c r="M32" s="94"/>
      <c r="N32" s="94"/>
    </row>
    <row r="33" spans="1:14" x14ac:dyDescent="0.25">
      <c r="A33" s="34"/>
      <c r="B33" s="11" t="s">
        <v>65</v>
      </c>
      <c r="H33" s="36">
        <v>63000000</v>
      </c>
      <c r="I33" s="34">
        <v>81000000</v>
      </c>
      <c r="J33" s="94"/>
      <c r="K33" s="94"/>
      <c r="L33" s="94"/>
      <c r="M33" s="94"/>
      <c r="N33" s="94"/>
    </row>
    <row r="34" spans="1:14" x14ac:dyDescent="0.25">
      <c r="A34" s="34"/>
      <c r="J34" s="94"/>
      <c r="K34" s="94"/>
      <c r="L34" s="94"/>
      <c r="M34" s="94"/>
      <c r="N34" s="94"/>
    </row>
    <row r="35" spans="1:14" x14ac:dyDescent="0.25">
      <c r="A35" s="34"/>
      <c r="B35" s="14" t="s">
        <v>32</v>
      </c>
      <c r="C35" s="14"/>
      <c r="D35" s="14"/>
      <c r="E35" s="14"/>
      <c r="F35" s="14"/>
      <c r="G35" s="14"/>
      <c r="H35" s="14"/>
      <c r="I35" s="14"/>
      <c r="J35" s="94"/>
      <c r="K35" s="94"/>
      <c r="L35" s="94"/>
      <c r="M35" s="94"/>
      <c r="N35" s="94"/>
    </row>
    <row r="36" spans="1:14" x14ac:dyDescent="0.25">
      <c r="A36" s="34"/>
      <c r="J36" s="94"/>
      <c r="K36" s="94"/>
      <c r="L36" s="94"/>
      <c r="M36" s="94"/>
      <c r="N36" s="94"/>
    </row>
    <row r="37" spans="1:14" x14ac:dyDescent="0.25">
      <c r="A37" s="34"/>
      <c r="B37" s="12" t="s">
        <v>66</v>
      </c>
      <c r="J37" s="94"/>
      <c r="K37" s="94"/>
      <c r="L37" s="94"/>
      <c r="M37" s="94"/>
      <c r="N37" s="94"/>
    </row>
    <row r="38" spans="1:14" x14ac:dyDescent="0.25">
      <c r="A38" s="34"/>
      <c r="B38" s="12" t="s">
        <v>67</v>
      </c>
      <c r="J38" s="94"/>
      <c r="K38" s="94"/>
      <c r="L38" s="94"/>
      <c r="M38" s="94"/>
      <c r="N38" s="94"/>
    </row>
    <row r="39" spans="1:14" x14ac:dyDescent="0.25">
      <c r="A39" s="34"/>
      <c r="B39" s="11" t="s">
        <v>68</v>
      </c>
      <c r="H39" s="38">
        <v>330523752</v>
      </c>
      <c r="I39" s="35">
        <v>357991862</v>
      </c>
      <c r="J39" s="94"/>
      <c r="K39" s="94"/>
      <c r="L39" s="94"/>
      <c r="M39" s="94"/>
      <c r="N39" s="94"/>
    </row>
    <row r="40" spans="1:14" x14ac:dyDescent="0.25">
      <c r="A40" s="34"/>
      <c r="B40" s="11" t="s">
        <v>69</v>
      </c>
      <c r="H40" s="38">
        <v>31165</v>
      </c>
      <c r="I40" s="35">
        <v>30324</v>
      </c>
      <c r="J40" s="94"/>
      <c r="K40" s="94"/>
      <c r="L40" s="94"/>
      <c r="M40" s="94"/>
      <c r="N40" s="94"/>
    </row>
    <row r="41" spans="1:14" x14ac:dyDescent="0.25">
      <c r="A41" s="34"/>
      <c r="B41" s="11" t="s">
        <v>70</v>
      </c>
      <c r="H41" s="38" t="s">
        <v>60</v>
      </c>
      <c r="I41" s="35" t="s">
        <v>60</v>
      </c>
      <c r="J41" s="94"/>
      <c r="K41" s="94"/>
      <c r="L41" s="94"/>
      <c r="M41" s="94"/>
      <c r="N41" s="94"/>
    </row>
    <row r="42" spans="1:14" x14ac:dyDescent="0.25">
      <c r="A42" s="34"/>
      <c r="B42" s="42" t="s">
        <v>71</v>
      </c>
      <c r="C42" s="42"/>
      <c r="D42" s="42"/>
      <c r="E42" s="42"/>
      <c r="F42" s="42"/>
      <c r="G42" s="42"/>
      <c r="H42" s="43">
        <v>330554917</v>
      </c>
      <c r="I42" s="44">
        <v>358022186</v>
      </c>
      <c r="J42" s="94"/>
      <c r="K42" s="94"/>
      <c r="L42" s="94"/>
      <c r="M42" s="94"/>
      <c r="N42" s="94"/>
    </row>
    <row r="43" spans="1:14" x14ac:dyDescent="0.25">
      <c r="A43" s="34"/>
      <c r="B43" s="12" t="s">
        <v>72</v>
      </c>
      <c r="H43" s="38"/>
      <c r="I43" s="35"/>
      <c r="J43" s="94"/>
      <c r="K43" s="94"/>
      <c r="L43" s="94"/>
      <c r="M43" s="94"/>
      <c r="N43" s="94"/>
    </row>
    <row r="44" spans="1:14" x14ac:dyDescent="0.25">
      <c r="A44" s="34"/>
      <c r="B44" s="11" t="s">
        <v>73</v>
      </c>
      <c r="G44" s="37"/>
      <c r="H44" s="38">
        <v>29760594</v>
      </c>
      <c r="I44" s="35">
        <v>112276641</v>
      </c>
      <c r="J44" s="94"/>
      <c r="K44" s="94"/>
      <c r="L44" s="94"/>
      <c r="M44" s="94"/>
      <c r="N44" s="94"/>
    </row>
    <row r="45" spans="1:14" x14ac:dyDescent="0.25">
      <c r="A45" s="34"/>
      <c r="B45" s="11" t="s">
        <v>74</v>
      </c>
      <c r="G45" s="37"/>
      <c r="H45" s="38">
        <v>119325516</v>
      </c>
      <c r="I45" s="35">
        <v>151156115</v>
      </c>
      <c r="J45" s="94"/>
      <c r="K45" s="94"/>
      <c r="L45" s="94"/>
      <c r="M45" s="94"/>
      <c r="N45" s="94"/>
    </row>
    <row r="46" spans="1:14" x14ac:dyDescent="0.25">
      <c r="B46" s="11" t="s">
        <v>75</v>
      </c>
      <c r="H46" s="38">
        <v>32163428</v>
      </c>
      <c r="I46" s="35">
        <v>100124789</v>
      </c>
      <c r="J46" s="94"/>
      <c r="K46" s="94"/>
      <c r="L46" s="94"/>
      <c r="M46" s="94"/>
      <c r="N46" s="94"/>
    </row>
    <row r="47" spans="1:14" x14ac:dyDescent="0.25">
      <c r="A47" s="34"/>
      <c r="B47" s="11" t="s">
        <v>76</v>
      </c>
      <c r="H47" s="38">
        <v>95420170</v>
      </c>
      <c r="I47" s="35">
        <v>348860131</v>
      </c>
      <c r="J47" s="94"/>
      <c r="K47" s="94"/>
      <c r="L47" s="94"/>
      <c r="M47" s="94"/>
      <c r="N47" s="94"/>
    </row>
    <row r="48" spans="1:14" x14ac:dyDescent="0.25">
      <c r="A48" s="34"/>
      <c r="B48" s="12" t="s">
        <v>77</v>
      </c>
      <c r="H48" s="39">
        <v>276669708</v>
      </c>
      <c r="I48" s="40">
        <v>712417676</v>
      </c>
      <c r="J48" s="94"/>
      <c r="K48" s="94"/>
      <c r="L48" s="94"/>
      <c r="M48" s="94"/>
      <c r="N48" s="94"/>
    </row>
    <row r="49" spans="1:14" x14ac:dyDescent="0.25">
      <c r="A49" s="34"/>
      <c r="B49" s="48" t="s">
        <v>78</v>
      </c>
      <c r="C49" s="48"/>
      <c r="D49" s="48"/>
      <c r="E49" s="48"/>
      <c r="F49" s="48"/>
      <c r="G49" s="48"/>
      <c r="H49" s="49">
        <v>607224625</v>
      </c>
      <c r="I49" s="50">
        <v>1070439862</v>
      </c>
      <c r="J49" s="94"/>
      <c r="K49" s="94"/>
      <c r="L49" s="94"/>
      <c r="M49" s="94"/>
      <c r="N49" s="94"/>
    </row>
    <row r="50" spans="1:14" x14ac:dyDescent="0.25">
      <c r="A50" s="34"/>
      <c r="B50" s="12" t="s">
        <v>79</v>
      </c>
      <c r="H50" s="38"/>
      <c r="I50" s="35"/>
      <c r="J50" s="94"/>
      <c r="K50" s="94"/>
      <c r="L50" s="94"/>
      <c r="M50" s="94"/>
      <c r="N50" s="94"/>
    </row>
    <row r="51" spans="1:14" x14ac:dyDescent="0.25">
      <c r="A51" s="34"/>
      <c r="B51" s="11" t="s">
        <v>80</v>
      </c>
      <c r="H51" s="38">
        <v>9000000</v>
      </c>
      <c r="I51" s="35">
        <v>9000000</v>
      </c>
      <c r="J51" s="101"/>
      <c r="K51" s="102"/>
      <c r="L51" s="94"/>
      <c r="M51" s="94"/>
      <c r="N51" s="94"/>
    </row>
    <row r="52" spans="1:14" x14ac:dyDescent="0.25">
      <c r="A52" s="34"/>
      <c r="B52" s="11" t="s">
        <v>81</v>
      </c>
      <c r="H52" s="38">
        <v>-943228</v>
      </c>
      <c r="I52" s="35">
        <v>-943228</v>
      </c>
      <c r="J52" s="94"/>
      <c r="K52" s="94"/>
      <c r="L52" s="94"/>
      <c r="M52" s="94"/>
      <c r="N52" s="94"/>
    </row>
    <row r="53" spans="1:14" x14ac:dyDescent="0.25">
      <c r="B53" s="11" t="s">
        <v>82</v>
      </c>
      <c r="H53" s="38">
        <v>222904565</v>
      </c>
      <c r="I53" s="35">
        <v>254002062</v>
      </c>
      <c r="J53" s="94"/>
      <c r="K53" s="94"/>
      <c r="L53" s="94"/>
      <c r="M53" s="94"/>
      <c r="N53" s="94"/>
    </row>
    <row r="54" spans="1:14" x14ac:dyDescent="0.25">
      <c r="A54" s="34"/>
      <c r="B54" s="42" t="s">
        <v>83</v>
      </c>
      <c r="C54" s="47"/>
      <c r="D54" s="47"/>
      <c r="E54" s="47"/>
      <c r="F54" s="47"/>
      <c r="G54" s="47"/>
      <c r="H54" s="43">
        <v>230961337</v>
      </c>
      <c r="I54" s="44">
        <v>262058834</v>
      </c>
      <c r="J54" s="94"/>
      <c r="K54" s="94"/>
      <c r="L54" s="94"/>
      <c r="M54" s="94"/>
      <c r="N54" s="94"/>
    </row>
    <row r="55" spans="1:14" x14ac:dyDescent="0.25">
      <c r="A55" s="34"/>
      <c r="B55" s="12" t="s">
        <v>84</v>
      </c>
      <c r="H55" s="38"/>
      <c r="I55" s="35"/>
      <c r="J55" s="94"/>
      <c r="K55" s="94"/>
      <c r="L55" s="94"/>
      <c r="M55" s="94"/>
      <c r="N55" s="94"/>
    </row>
    <row r="56" spans="1:14" x14ac:dyDescent="0.25">
      <c r="A56" s="34"/>
      <c r="B56" s="12" t="s">
        <v>85</v>
      </c>
      <c r="C56" s="12"/>
      <c r="D56" s="12"/>
      <c r="E56" s="12"/>
      <c r="H56" s="38"/>
      <c r="I56" s="35"/>
      <c r="J56" s="94"/>
      <c r="K56" s="94"/>
      <c r="L56" s="94"/>
      <c r="M56" s="94"/>
      <c r="N56" s="94"/>
    </row>
    <row r="57" spans="1:14" x14ac:dyDescent="0.25">
      <c r="A57" s="34"/>
      <c r="B57" s="11" t="s">
        <v>86</v>
      </c>
      <c r="H57" s="38">
        <v>33776943</v>
      </c>
      <c r="I57" s="35">
        <v>22306746</v>
      </c>
      <c r="J57" s="94"/>
      <c r="K57" s="94"/>
      <c r="L57" s="94"/>
      <c r="M57" s="94"/>
      <c r="N57" s="94"/>
    </row>
    <row r="58" spans="1:14" x14ac:dyDescent="0.25">
      <c r="A58" s="34"/>
      <c r="B58" s="11" t="s">
        <v>87</v>
      </c>
      <c r="H58" s="38">
        <v>3475257</v>
      </c>
      <c r="I58" s="35">
        <v>1377286</v>
      </c>
      <c r="J58" s="94"/>
      <c r="K58" s="94"/>
      <c r="L58" s="94"/>
      <c r="M58" s="94"/>
      <c r="N58" s="94"/>
    </row>
    <row r="59" spans="1:14" x14ac:dyDescent="0.25">
      <c r="B59" s="11" t="s">
        <v>88</v>
      </c>
      <c r="H59" s="38">
        <v>32678</v>
      </c>
      <c r="I59" s="35">
        <v>32650</v>
      </c>
      <c r="J59" s="94"/>
      <c r="K59" s="94"/>
      <c r="L59" s="94"/>
      <c r="M59" s="94"/>
      <c r="N59" s="94"/>
    </row>
    <row r="60" spans="1:14" x14ac:dyDescent="0.25">
      <c r="B60" s="11" t="s">
        <v>89</v>
      </c>
      <c r="H60" s="38">
        <v>206665</v>
      </c>
      <c r="I60" s="35">
        <v>70211</v>
      </c>
      <c r="J60" s="94"/>
      <c r="K60" s="94"/>
      <c r="L60" s="94"/>
      <c r="M60" s="94"/>
      <c r="N60" s="94"/>
    </row>
    <row r="61" spans="1:14" x14ac:dyDescent="0.25">
      <c r="B61" s="11" t="s">
        <v>90</v>
      </c>
      <c r="H61" s="38">
        <v>32243723</v>
      </c>
      <c r="I61" s="35" t="s">
        <v>60</v>
      </c>
      <c r="J61" s="94"/>
      <c r="K61" s="94"/>
      <c r="L61" s="94"/>
      <c r="M61" s="94"/>
      <c r="N61" s="94"/>
    </row>
    <row r="62" spans="1:14" x14ac:dyDescent="0.25">
      <c r="B62" s="42" t="s">
        <v>91</v>
      </c>
      <c r="C62" s="42"/>
      <c r="D62" s="42"/>
      <c r="E62" s="42"/>
      <c r="F62" s="42"/>
      <c r="G62" s="42"/>
      <c r="H62" s="43">
        <v>69735266</v>
      </c>
      <c r="I62" s="44">
        <v>23786893</v>
      </c>
      <c r="J62" s="94"/>
      <c r="K62" s="94"/>
      <c r="L62" s="94"/>
      <c r="M62" s="94"/>
      <c r="N62" s="94"/>
    </row>
    <row r="63" spans="1:14" x14ac:dyDescent="0.25">
      <c r="B63" s="12" t="s">
        <v>92</v>
      </c>
      <c r="H63" s="38"/>
      <c r="I63" s="35"/>
      <c r="J63" s="94"/>
      <c r="K63" s="94"/>
      <c r="L63" s="94"/>
      <c r="M63" s="94"/>
      <c r="N63" s="94"/>
    </row>
    <row r="64" spans="1:14" x14ac:dyDescent="0.25">
      <c r="B64" s="11" t="s">
        <v>93</v>
      </c>
      <c r="H64" s="38">
        <v>47139328</v>
      </c>
      <c r="I64" s="35">
        <v>68950583</v>
      </c>
      <c r="J64" s="94"/>
      <c r="K64" s="94"/>
      <c r="L64" s="94"/>
      <c r="M64" s="94"/>
      <c r="N64" s="94"/>
    </row>
    <row r="65" spans="2:14" x14ac:dyDescent="0.25">
      <c r="B65" s="11" t="s">
        <v>94</v>
      </c>
      <c r="H65" s="38">
        <v>8323257</v>
      </c>
      <c r="I65" s="35">
        <v>15819889</v>
      </c>
      <c r="J65" s="94"/>
      <c r="K65" s="94"/>
      <c r="L65" s="94"/>
      <c r="M65" s="94"/>
      <c r="N65" s="94"/>
    </row>
    <row r="66" spans="2:14" x14ac:dyDescent="0.25">
      <c r="B66" s="11" t="s">
        <v>88</v>
      </c>
      <c r="H66" s="38">
        <v>5073</v>
      </c>
      <c r="I66" s="35">
        <v>5073</v>
      </c>
      <c r="J66" s="94"/>
      <c r="K66" s="94"/>
      <c r="L66" s="94"/>
      <c r="M66" s="94"/>
      <c r="N66" s="94"/>
    </row>
    <row r="67" spans="2:14" x14ac:dyDescent="0.25">
      <c r="B67" s="11" t="s">
        <v>95</v>
      </c>
      <c r="H67" s="38">
        <v>4490873</v>
      </c>
      <c r="I67" s="35">
        <v>573175</v>
      </c>
      <c r="J67" s="94"/>
      <c r="K67" s="94"/>
      <c r="L67" s="94"/>
      <c r="M67" s="94"/>
      <c r="N67" s="94"/>
    </row>
    <row r="68" spans="2:14" x14ac:dyDescent="0.25">
      <c r="B68" s="11" t="s">
        <v>87</v>
      </c>
      <c r="H68" s="38">
        <v>208195755</v>
      </c>
      <c r="I68" s="35">
        <v>649699556</v>
      </c>
      <c r="J68" s="94"/>
      <c r="K68" s="94"/>
      <c r="L68" s="94"/>
      <c r="M68" s="94"/>
      <c r="N68" s="94"/>
    </row>
    <row r="69" spans="2:14" x14ac:dyDescent="0.25">
      <c r="B69" s="11" t="s">
        <v>96</v>
      </c>
      <c r="H69" s="38" t="s">
        <v>60</v>
      </c>
      <c r="I69" s="35" t="s">
        <v>60</v>
      </c>
      <c r="J69" s="94"/>
      <c r="K69" s="94"/>
      <c r="L69" s="94"/>
      <c r="M69" s="94"/>
      <c r="N69" s="94"/>
    </row>
    <row r="70" spans="2:14" x14ac:dyDescent="0.25">
      <c r="B70" s="11" t="s">
        <v>97</v>
      </c>
      <c r="G70" s="36"/>
      <c r="H70" s="38">
        <v>38325101</v>
      </c>
      <c r="I70" s="35">
        <v>49475977</v>
      </c>
      <c r="J70" s="94"/>
      <c r="K70" s="94"/>
      <c r="L70" s="94"/>
      <c r="M70" s="94"/>
      <c r="N70" s="94"/>
    </row>
    <row r="71" spans="2:14" x14ac:dyDescent="0.25">
      <c r="B71" s="11" t="s">
        <v>89</v>
      </c>
      <c r="H71" s="38">
        <v>48635</v>
      </c>
      <c r="I71" s="35">
        <v>69882</v>
      </c>
      <c r="J71" s="94"/>
      <c r="K71" s="94"/>
      <c r="L71" s="94"/>
      <c r="M71" s="94"/>
      <c r="N71" s="94"/>
    </row>
    <row r="72" spans="2:14" x14ac:dyDescent="0.25">
      <c r="B72" s="42" t="s">
        <v>98</v>
      </c>
      <c r="C72" s="42"/>
      <c r="D72" s="42"/>
      <c r="E72" s="42"/>
      <c r="F72" s="42"/>
      <c r="G72" s="42"/>
      <c r="H72" s="43">
        <v>306528022</v>
      </c>
      <c r="I72" s="44">
        <v>784594135</v>
      </c>
      <c r="J72" s="94"/>
      <c r="K72" s="94"/>
      <c r="L72" s="94"/>
      <c r="M72" s="94"/>
      <c r="N72" s="94"/>
    </row>
    <row r="73" spans="2:14" x14ac:dyDescent="0.25">
      <c r="B73" s="12" t="s">
        <v>99</v>
      </c>
      <c r="C73" s="12"/>
      <c r="D73" s="12"/>
      <c r="E73" s="12"/>
      <c r="F73" s="12"/>
      <c r="G73" s="12"/>
      <c r="H73" s="39">
        <v>376263288</v>
      </c>
      <c r="I73" s="40">
        <v>808381028</v>
      </c>
      <c r="J73" s="94"/>
      <c r="K73" s="94"/>
      <c r="L73" s="94"/>
      <c r="M73" s="94"/>
      <c r="N73" s="94"/>
    </row>
    <row r="74" spans="2:14" x14ac:dyDescent="0.25">
      <c r="B74" s="48" t="s">
        <v>100</v>
      </c>
      <c r="C74" s="48"/>
      <c r="D74" s="48"/>
      <c r="E74" s="48"/>
      <c r="F74" s="48"/>
      <c r="G74" s="48"/>
      <c r="H74" s="49">
        <v>607224625</v>
      </c>
      <c r="I74" s="50">
        <v>1070439862</v>
      </c>
      <c r="J74" s="94"/>
      <c r="K74" s="94"/>
      <c r="L74" s="94"/>
      <c r="M74" s="94"/>
      <c r="N74" s="94"/>
    </row>
    <row r="75" spans="2:14" x14ac:dyDescent="0.25">
      <c r="J75" s="94"/>
      <c r="K75" s="94"/>
      <c r="L75" s="94"/>
      <c r="M75" s="94"/>
      <c r="N75" s="9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7D4DA-A19A-4EE0-8948-4EE47AAD999F}">
  <dimension ref="A3:N116"/>
  <sheetViews>
    <sheetView showGridLines="0" zoomScaleNormal="100" workbookViewId="0">
      <pane xSplit="1" ySplit="9" topLeftCell="F10" activePane="bottomRight" state="frozen"/>
      <selection activeCell="G4" sqref="G4:M5"/>
      <selection pane="topRight" activeCell="G4" sqref="G4:M5"/>
      <selection pane="bottomLeft" activeCell="G4" sqref="G4:M5"/>
      <selection pane="bottomRight" activeCell="J14" sqref="J14"/>
    </sheetView>
  </sheetViews>
  <sheetFormatPr defaultRowHeight="15.75" x14ac:dyDescent="0.25"/>
  <cols>
    <col min="1" max="1" width="4" style="71" customWidth="1"/>
    <col min="2" max="6" width="9.140625" style="71"/>
    <col min="7" max="7" width="24.28515625" style="71" customWidth="1"/>
    <col min="8" max="8" width="16.85546875" style="71" bestFit="1" customWidth="1"/>
    <col min="9" max="9" width="14.28515625" style="71" customWidth="1"/>
    <col min="10" max="10" width="14.5703125" style="71" customWidth="1"/>
    <col min="11" max="11" width="15.5703125" style="71" customWidth="1"/>
    <col min="12" max="12" width="14.85546875" style="71" customWidth="1"/>
    <col min="13" max="13" width="15.85546875" style="71" customWidth="1"/>
    <col min="14" max="16384" width="9.140625" style="71"/>
  </cols>
  <sheetData>
    <row r="3" spans="1:14" x14ac:dyDescent="0.25">
      <c r="A3" s="67"/>
      <c r="B3" s="68" t="s">
        <v>3</v>
      </c>
      <c r="C3" s="68"/>
      <c r="D3" s="68"/>
      <c r="E3" s="69"/>
      <c r="F3" s="67"/>
      <c r="G3" s="67"/>
      <c r="H3" s="67"/>
      <c r="I3" s="67"/>
      <c r="J3" s="70"/>
      <c r="K3" s="70"/>
      <c r="L3" s="70"/>
      <c r="M3" s="70"/>
      <c r="N3" s="108"/>
    </row>
    <row r="4" spans="1:14" x14ac:dyDescent="0.25">
      <c r="A4" s="67"/>
      <c r="B4" s="72" t="s">
        <v>40</v>
      </c>
      <c r="C4" s="72"/>
      <c r="D4" s="72"/>
      <c r="E4" s="67"/>
      <c r="F4" s="67"/>
      <c r="G4" s="27"/>
      <c r="H4" s="27">
        <f t="shared" ref="H4:M4" si="0">G5+1</f>
        <v>44562</v>
      </c>
      <c r="I4" s="27">
        <f t="shared" si="0"/>
        <v>44927</v>
      </c>
      <c r="J4" s="30">
        <f t="shared" si="0"/>
        <v>45292</v>
      </c>
      <c r="K4" s="30">
        <f t="shared" si="0"/>
        <v>45658</v>
      </c>
      <c r="L4" s="30">
        <f t="shared" si="0"/>
        <v>46023</v>
      </c>
      <c r="M4" s="30">
        <f t="shared" si="0"/>
        <v>46388</v>
      </c>
      <c r="N4" s="109"/>
    </row>
    <row r="5" spans="1:14" x14ac:dyDescent="0.25">
      <c r="A5" s="67"/>
      <c r="B5" s="72" t="s">
        <v>37</v>
      </c>
      <c r="C5" s="72"/>
      <c r="D5" s="72"/>
      <c r="E5" s="67"/>
      <c r="F5" s="67"/>
      <c r="G5" s="27">
        <f>EDATE('Model guide'!J22,-12)</f>
        <v>44561</v>
      </c>
      <c r="H5" s="27">
        <f t="shared" ref="H5:M5" si="1">EOMONTH(H4, 11)</f>
        <v>44926</v>
      </c>
      <c r="I5" s="27">
        <f t="shared" si="1"/>
        <v>45291</v>
      </c>
      <c r="J5" s="30">
        <f t="shared" si="1"/>
        <v>45657</v>
      </c>
      <c r="K5" s="30">
        <f t="shared" si="1"/>
        <v>46022</v>
      </c>
      <c r="L5" s="30">
        <f t="shared" si="1"/>
        <v>46387</v>
      </c>
      <c r="M5" s="30">
        <f t="shared" si="1"/>
        <v>46752</v>
      </c>
      <c r="N5" s="109"/>
    </row>
    <row r="6" spans="1:14" x14ac:dyDescent="0.25">
      <c r="A6" s="67"/>
      <c r="B6" s="72" t="s">
        <v>39</v>
      </c>
      <c r="C6" s="72"/>
      <c r="D6" s="72"/>
      <c r="E6" s="67"/>
      <c r="F6" s="67"/>
      <c r="G6" s="27"/>
      <c r="H6" s="106">
        <f t="shared" ref="H6:M6" si="2">YEAR(H4)</f>
        <v>2022</v>
      </c>
      <c r="I6" s="106">
        <f t="shared" si="2"/>
        <v>2023</v>
      </c>
      <c r="J6" s="107">
        <f t="shared" si="2"/>
        <v>2024</v>
      </c>
      <c r="K6" s="107">
        <f t="shared" si="2"/>
        <v>2025</v>
      </c>
      <c r="L6" s="107">
        <f t="shared" si="2"/>
        <v>2026</v>
      </c>
      <c r="M6" s="107">
        <f t="shared" si="2"/>
        <v>2027</v>
      </c>
      <c r="N6" s="109"/>
    </row>
    <row r="7" spans="1:14" x14ac:dyDescent="0.25">
      <c r="A7" s="67"/>
      <c r="B7" s="72" t="s">
        <v>38</v>
      </c>
      <c r="C7" s="72"/>
      <c r="D7" s="72"/>
      <c r="E7" s="67"/>
      <c r="F7" s="67"/>
      <c r="G7" s="72"/>
      <c r="H7" s="72">
        <f t="shared" ref="H7:M7" si="3">DATEDIF(H4,H5,"D")</f>
        <v>364</v>
      </c>
      <c r="I7" s="72">
        <f t="shared" si="3"/>
        <v>364</v>
      </c>
      <c r="J7" s="73">
        <f t="shared" si="3"/>
        <v>365</v>
      </c>
      <c r="K7" s="73">
        <f t="shared" si="3"/>
        <v>364</v>
      </c>
      <c r="L7" s="73">
        <f t="shared" si="3"/>
        <v>364</v>
      </c>
      <c r="M7" s="73">
        <f t="shared" si="3"/>
        <v>364</v>
      </c>
      <c r="N7" s="109"/>
    </row>
    <row r="8" spans="1:14" x14ac:dyDescent="0.25">
      <c r="N8" s="108"/>
    </row>
    <row r="9" spans="1:14" x14ac:dyDescent="0.25">
      <c r="B9" s="71" t="s">
        <v>42</v>
      </c>
      <c r="G9" s="71" t="s">
        <v>41</v>
      </c>
      <c r="N9" s="108"/>
    </row>
    <row r="10" spans="1:14" x14ac:dyDescent="0.25">
      <c r="B10" s="71" t="s">
        <v>188</v>
      </c>
      <c r="N10" s="108"/>
    </row>
    <row r="11" spans="1:14" ht="16.5" x14ac:dyDescent="0.25">
      <c r="B11" s="81" t="s">
        <v>43</v>
      </c>
      <c r="C11" s="75"/>
      <c r="D11" s="75"/>
      <c r="E11" s="75"/>
      <c r="F11" s="75"/>
      <c r="G11" s="75" t="s">
        <v>121</v>
      </c>
      <c r="H11" s="75"/>
      <c r="I11" s="75"/>
      <c r="J11" s="75"/>
      <c r="K11" s="75"/>
      <c r="L11" s="75"/>
      <c r="M11" s="75"/>
      <c r="N11" s="108"/>
    </row>
    <row r="12" spans="1:14" x14ac:dyDescent="0.25">
      <c r="B12" s="79" t="s">
        <v>45</v>
      </c>
      <c r="G12" s="82" t="s">
        <v>148</v>
      </c>
      <c r="H12" s="112">
        <v>0</v>
      </c>
      <c r="I12" s="112">
        <f>('Historical data'!I13/'Historical data'!H13)-1</f>
        <v>0.74362912224917554</v>
      </c>
      <c r="J12" s="112">
        <f>$I$12</f>
        <v>0.74362912224917554</v>
      </c>
      <c r="K12" s="112">
        <f>$I12</f>
        <v>0.74362912224917554</v>
      </c>
      <c r="L12" s="112">
        <f>$I12</f>
        <v>0.74362912224917554</v>
      </c>
      <c r="M12" s="112">
        <f>$I12</f>
        <v>0.74362912224917554</v>
      </c>
      <c r="N12" s="111"/>
    </row>
    <row r="13" spans="1:14" x14ac:dyDescent="0.25">
      <c r="B13" s="71" t="s">
        <v>46</v>
      </c>
      <c r="G13" s="82" t="s">
        <v>147</v>
      </c>
      <c r="H13" s="112">
        <f>-SOPL!H14/SOPL!H13</f>
        <v>0.68257860200856335</v>
      </c>
      <c r="I13" s="112">
        <f>-SOPL!I14/SOPL!I13</f>
        <v>0.64293375597341618</v>
      </c>
      <c r="J13" s="112">
        <f>AVERAGE($H$13:$I$13)</f>
        <v>0.66275617899098971</v>
      </c>
      <c r="K13" s="112">
        <f>AVERAGE($H$13:$I$13)</f>
        <v>0.66275617899098971</v>
      </c>
      <c r="L13" s="112">
        <f>AVERAGE($H$13:$I$13)</f>
        <v>0.66275617899098971</v>
      </c>
      <c r="M13" s="112">
        <f>AVERAGE($H$13:$I$13)</f>
        <v>0.66275617899098971</v>
      </c>
      <c r="N13" s="111"/>
    </row>
    <row r="14" spans="1:14" x14ac:dyDescent="0.25">
      <c r="B14" s="71" t="s">
        <v>101</v>
      </c>
      <c r="G14" s="82" t="s">
        <v>147</v>
      </c>
      <c r="H14" s="103">
        <f>-SOPL!H17/SOPL!H13</f>
        <v>7.0752053966966294E-2</v>
      </c>
      <c r="I14" s="103">
        <f>-SOPL!I17/SOPL!I13</f>
        <v>6.0081345178612258E-2</v>
      </c>
      <c r="J14" s="103">
        <f>AVERAGE($H$14:$I$14)</f>
        <v>6.5416699572789283E-2</v>
      </c>
      <c r="K14" s="103">
        <f>AVERAGE($H$14:$I$14)</f>
        <v>6.5416699572789283E-2</v>
      </c>
      <c r="L14" s="103">
        <f>AVERAGE($H$14:$I$14)</f>
        <v>6.5416699572789283E-2</v>
      </c>
      <c r="M14" s="103">
        <f>AVERAGE($H$14:$I$14)</f>
        <v>6.5416699572789283E-2</v>
      </c>
      <c r="N14" s="111"/>
    </row>
    <row r="15" spans="1:14" x14ac:dyDescent="0.25">
      <c r="B15" s="71" t="s">
        <v>61</v>
      </c>
      <c r="G15" s="82" t="s">
        <v>149</v>
      </c>
      <c r="H15" s="83">
        <f>SOPL!H18</f>
        <v>2376501</v>
      </c>
      <c r="I15" s="83">
        <f>SOPL!I18</f>
        <v>-7890845</v>
      </c>
      <c r="J15" s="83">
        <f t="shared" ref="J15:M16" si="4">I15</f>
        <v>-7890845</v>
      </c>
      <c r="K15" s="83">
        <f t="shared" si="4"/>
        <v>-7890845</v>
      </c>
      <c r="L15" s="83">
        <f t="shared" si="4"/>
        <v>-7890845</v>
      </c>
      <c r="M15" s="83">
        <f t="shared" si="4"/>
        <v>-7890845</v>
      </c>
      <c r="N15" s="108"/>
    </row>
    <row r="16" spans="1:14" x14ac:dyDescent="0.25">
      <c r="B16" s="71" t="s">
        <v>102</v>
      </c>
      <c r="G16" s="82" t="s">
        <v>149</v>
      </c>
      <c r="H16" s="71">
        <f>SOPL!H19</f>
        <v>15242660</v>
      </c>
      <c r="I16" s="71">
        <f>SOPL!I19</f>
        <v>809325</v>
      </c>
      <c r="J16" s="71">
        <f t="shared" si="4"/>
        <v>809325</v>
      </c>
      <c r="K16" s="71">
        <f t="shared" si="4"/>
        <v>809325</v>
      </c>
      <c r="L16" s="71">
        <f t="shared" si="4"/>
        <v>809325</v>
      </c>
      <c r="M16" s="71">
        <f t="shared" si="4"/>
        <v>809325</v>
      </c>
      <c r="N16" s="108"/>
    </row>
    <row r="17" spans="2:14" x14ac:dyDescent="0.25">
      <c r="B17" s="71" t="s">
        <v>105</v>
      </c>
      <c r="G17" s="82" t="s">
        <v>150</v>
      </c>
      <c r="H17" s="104">
        <f>-SOPL!H22/SOFP!H23</f>
        <v>1.0045989070098659E-2</v>
      </c>
      <c r="I17" s="104">
        <f>-SOPL!I22/SOFP!I23</f>
        <v>9.0393730793802227E-3</v>
      </c>
      <c r="J17" s="104">
        <f>AVERAGE($H$17:$I$17)</f>
        <v>9.5426810747394411E-3</v>
      </c>
      <c r="K17" s="104">
        <f>AVERAGE($H$17:$I$17)</f>
        <v>9.5426810747394411E-3</v>
      </c>
      <c r="L17" s="104">
        <f>AVERAGE($H$17:$I$17)</f>
        <v>9.5426810747394411E-3</v>
      </c>
      <c r="M17" s="104">
        <f>AVERAGE($H$17:$I$17)</f>
        <v>9.5426810747394411E-3</v>
      </c>
      <c r="N17" s="108"/>
    </row>
    <row r="18" spans="2:14" x14ac:dyDescent="0.25">
      <c r="B18" s="71" t="s">
        <v>107</v>
      </c>
      <c r="G18" s="82" t="s">
        <v>151</v>
      </c>
      <c r="H18" s="104">
        <f>-SOPL!H25/(SOFP!H30+SOFP!H38)</f>
        <v>4.1016764260568661E-2</v>
      </c>
      <c r="I18" s="104">
        <f>-SOPL!I25/(SOFP!I30+SOFP!I38)</f>
        <v>0.15079870864152162</v>
      </c>
      <c r="J18" s="104">
        <f>AVERAGE($H$18:$I$18)</f>
        <v>9.5907736451045139E-2</v>
      </c>
      <c r="K18" s="104">
        <f>AVERAGE($H$18:$I$18)</f>
        <v>9.5907736451045139E-2</v>
      </c>
      <c r="L18" s="104">
        <f>AVERAGE($H$18:$I$18)</f>
        <v>9.5907736451045139E-2</v>
      </c>
      <c r="M18" s="104">
        <f>AVERAGE($H$18:$I$18)</f>
        <v>9.5907736451045139E-2</v>
      </c>
      <c r="N18" s="108"/>
    </row>
    <row r="19" spans="2:14" x14ac:dyDescent="0.25">
      <c r="B19" s="71" t="s">
        <v>55</v>
      </c>
      <c r="G19" s="82" t="s">
        <v>149</v>
      </c>
      <c r="H19" s="71">
        <f>SOPL!H26</f>
        <v>-1580531</v>
      </c>
      <c r="I19" s="71">
        <f>SOPL!$I$26</f>
        <v>-10640</v>
      </c>
      <c r="J19" s="71">
        <f>SOPL!$I$26</f>
        <v>-10640</v>
      </c>
      <c r="K19" s="71">
        <f>SOPL!$I$26</f>
        <v>-10640</v>
      </c>
      <c r="L19" s="71">
        <f>SOPL!$I$26</f>
        <v>-10640</v>
      </c>
      <c r="M19" s="71">
        <f>SOPL!$I$26</f>
        <v>-10640</v>
      </c>
      <c r="N19" s="108"/>
    </row>
    <row r="20" spans="2:14" x14ac:dyDescent="0.25">
      <c r="B20" s="71" t="s">
        <v>57</v>
      </c>
      <c r="G20" s="82" t="s">
        <v>152</v>
      </c>
      <c r="H20" s="103">
        <f>-SOPL!H29/SOPL!H27</f>
        <v>0.14814629439145507</v>
      </c>
      <c r="I20" s="103">
        <f>-SOPL!I29/SOPL!I27</f>
        <v>3.6750097101537149E-2</v>
      </c>
      <c r="J20" s="103">
        <f>AVERAGE($H$20:$I$21)</f>
        <v>9.2448195746496112E-2</v>
      </c>
      <c r="K20" s="103">
        <f>AVERAGE($H$20:$I$21)</f>
        <v>9.2448195746496112E-2</v>
      </c>
      <c r="L20" s="103">
        <f>AVERAGE($H$20:$I$21)</f>
        <v>9.2448195746496112E-2</v>
      </c>
      <c r="M20" s="103">
        <f>AVERAGE($H$20:$I$21)</f>
        <v>9.2448195746496112E-2</v>
      </c>
      <c r="N20" s="108"/>
    </row>
    <row r="21" spans="2:14" x14ac:dyDescent="0.25">
      <c r="B21" s="79" t="s">
        <v>109</v>
      </c>
      <c r="N21" s="108"/>
    </row>
    <row r="22" spans="2:14" x14ac:dyDescent="0.25">
      <c r="N22" s="108"/>
    </row>
    <row r="23" spans="2:14" x14ac:dyDescent="0.25">
      <c r="N23" s="108"/>
    </row>
    <row r="24" spans="2:14" x14ac:dyDescent="0.25">
      <c r="N24" s="108"/>
    </row>
    <row r="25" spans="2:14" x14ac:dyDescent="0.25">
      <c r="N25" s="108"/>
    </row>
    <row r="26" spans="2:14" ht="20.25" x14ac:dyDescent="0.3">
      <c r="B26" s="84" t="s">
        <v>32</v>
      </c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108"/>
    </row>
    <row r="27" spans="2:14" ht="20.25" x14ac:dyDescent="0.3">
      <c r="B27" s="85"/>
      <c r="N27" s="108"/>
    </row>
    <row r="28" spans="2:14" x14ac:dyDescent="0.25">
      <c r="B28" s="79" t="s">
        <v>110</v>
      </c>
      <c r="N28" s="108"/>
    </row>
    <row r="29" spans="2:14" x14ac:dyDescent="0.25">
      <c r="B29" s="71" t="s">
        <v>75</v>
      </c>
      <c r="H29" s="71">
        <f>SOFP!H16</f>
        <v>32163428</v>
      </c>
      <c r="I29" s="71">
        <f>SOFP!I16</f>
        <v>100124789</v>
      </c>
      <c r="N29" s="108"/>
    </row>
    <row r="30" spans="2:14" x14ac:dyDescent="0.25">
      <c r="B30" s="71" t="s">
        <v>74</v>
      </c>
      <c r="G30" s="82" t="s">
        <v>145</v>
      </c>
      <c r="H30" s="71">
        <f>SOFP!H17</f>
        <v>119325516</v>
      </c>
      <c r="I30" s="71">
        <f>SOFP!I17</f>
        <v>151156115</v>
      </c>
      <c r="J30" s="71">
        <f>SOPL!J13*'Financial analysis'!J12/'Financial analysis'!J7</f>
        <v>313169355.55078274</v>
      </c>
      <c r="K30" s="71">
        <f>(SOPL!K13*'Financial analysis'!K12)/'Financial analysis'!K7</f>
        <v>547551349.21713781</v>
      </c>
      <c r="L30" s="71">
        <f>(SOPL!L13*'Financial analysis'!L12)/'Financial analysis'!L7</f>
        <v>954726478.42182994</v>
      </c>
      <c r="M30" s="71">
        <f>(SOPL!M13*'Financial analysis'!M12)/'Financial analysis'!M7</f>
        <v>1664688891.5587015</v>
      </c>
      <c r="N30" s="108"/>
    </row>
    <row r="31" spans="2:14" x14ac:dyDescent="0.25">
      <c r="B31" s="71" t="s">
        <v>73</v>
      </c>
      <c r="G31" s="82" t="s">
        <v>146</v>
      </c>
      <c r="H31" s="71">
        <f>SOFP!H18</f>
        <v>29760594</v>
      </c>
      <c r="I31" s="71">
        <f>SOFP!I18</f>
        <v>112276641</v>
      </c>
      <c r="J31" s="86">
        <f>-(SOPL!J14*'Financial analysis'!J14)/'Financial analysis'!J7</f>
        <v>144828232.71646219</v>
      </c>
      <c r="K31" s="86">
        <f>-(SOPL!K14*'Financial analysis'!K14)/'Financial analysis'!K7</f>
        <v>253220479.02536008</v>
      </c>
      <c r="L31" s="86">
        <f>-(SOPL!L14*'Financial analysis'!L14)/'Financial analysis'!L7</f>
        <v>441522601.57850426</v>
      </c>
      <c r="M31" s="86">
        <f>-(SOPL!M14*'Financial analysis'!M14)/'Financial analysis'!M7</f>
        <v>769851666.24349988</v>
      </c>
      <c r="N31" s="108"/>
    </row>
    <row r="32" spans="2:14" x14ac:dyDescent="0.25">
      <c r="B32" s="71" t="s">
        <v>153</v>
      </c>
      <c r="G32" s="82" t="s">
        <v>149</v>
      </c>
      <c r="H32" s="71">
        <f>SOFP!H19</f>
        <v>95420170</v>
      </c>
      <c r="I32" s="71">
        <f>SOFP!I19</f>
        <v>348860131</v>
      </c>
      <c r="J32" s="71">
        <f>I32</f>
        <v>348860131</v>
      </c>
      <c r="K32" s="71">
        <f t="shared" ref="K32:M32" si="5">J32</f>
        <v>348860131</v>
      </c>
      <c r="L32" s="71">
        <f t="shared" si="5"/>
        <v>348860131</v>
      </c>
      <c r="M32" s="71">
        <f t="shared" si="5"/>
        <v>348860131</v>
      </c>
      <c r="N32" s="108"/>
    </row>
    <row r="33" spans="2:14" x14ac:dyDescent="0.25">
      <c r="N33" s="108"/>
    </row>
    <row r="34" spans="2:14" x14ac:dyDescent="0.25">
      <c r="B34" s="79" t="s">
        <v>125</v>
      </c>
      <c r="N34" s="108"/>
    </row>
    <row r="35" spans="2:14" x14ac:dyDescent="0.25">
      <c r="B35" s="71" t="s">
        <v>68</v>
      </c>
      <c r="G35" s="82" t="s">
        <v>154</v>
      </c>
      <c r="H35" s="71">
        <f>SOFP!H23</f>
        <v>330523752</v>
      </c>
      <c r="I35" s="71">
        <f>SOFP!I23</f>
        <v>357991862</v>
      </c>
      <c r="J35" s="71">
        <f>J66</f>
        <v>364824266.33283627</v>
      </c>
      <c r="K35" s="71">
        <f t="shared" ref="K35:M35" si="6">K66</f>
        <v>371787069.57671636</v>
      </c>
      <c r="L35" s="71">
        <f t="shared" si="6"/>
        <v>378882760.44208151</v>
      </c>
      <c r="M35" s="71">
        <f t="shared" si="6"/>
        <v>386113875.13731289</v>
      </c>
      <c r="N35" s="108"/>
    </row>
    <row r="36" spans="2:14" x14ac:dyDescent="0.25">
      <c r="B36" s="71" t="s">
        <v>69</v>
      </c>
      <c r="G36" s="82" t="s">
        <v>149</v>
      </c>
      <c r="H36" s="71">
        <f>SOFP!H24</f>
        <v>31165</v>
      </c>
      <c r="I36" s="71">
        <f>SOFP!I24</f>
        <v>30324</v>
      </c>
      <c r="J36" s="71">
        <f>I36</f>
        <v>30324</v>
      </c>
      <c r="K36" s="71">
        <f t="shared" ref="K36:M36" si="7">J36</f>
        <v>30324</v>
      </c>
      <c r="L36" s="71">
        <f t="shared" si="7"/>
        <v>30324</v>
      </c>
      <c r="M36" s="71">
        <f t="shared" si="7"/>
        <v>30324</v>
      </c>
      <c r="N36" s="108"/>
    </row>
    <row r="37" spans="2:14" x14ac:dyDescent="0.25">
      <c r="B37" s="71" t="s">
        <v>122</v>
      </c>
      <c r="H37" s="71" t="str">
        <f>SOFP!H25</f>
        <v>-</v>
      </c>
      <c r="I37" s="71" t="str">
        <f>SOFP!I25</f>
        <v>-</v>
      </c>
      <c r="N37" s="108"/>
    </row>
    <row r="38" spans="2:14" x14ac:dyDescent="0.25">
      <c r="N38" s="108"/>
    </row>
    <row r="39" spans="2:14" x14ac:dyDescent="0.25">
      <c r="B39" s="79" t="s">
        <v>126</v>
      </c>
      <c r="N39" s="108"/>
    </row>
    <row r="40" spans="2:14" x14ac:dyDescent="0.25">
      <c r="B40" s="71" t="s">
        <v>87</v>
      </c>
      <c r="G40" s="82" t="s">
        <v>149</v>
      </c>
      <c r="H40" s="71">
        <f>SOFP!H30</f>
        <v>208195755</v>
      </c>
      <c r="I40" s="71">
        <f>SOFP!I30</f>
        <v>649699556</v>
      </c>
      <c r="J40" s="71">
        <f>I40</f>
        <v>649699556</v>
      </c>
      <c r="K40" s="71">
        <f t="shared" ref="K40:M40" si="8">J40</f>
        <v>649699556</v>
      </c>
      <c r="L40" s="71">
        <f t="shared" si="8"/>
        <v>649699556</v>
      </c>
      <c r="M40" s="71">
        <f t="shared" si="8"/>
        <v>649699556</v>
      </c>
      <c r="N40" s="108"/>
    </row>
    <row r="41" spans="2:14" x14ac:dyDescent="0.25">
      <c r="B41" s="71" t="s">
        <v>95</v>
      </c>
      <c r="G41" s="82" t="s">
        <v>149</v>
      </c>
      <c r="H41" s="71">
        <f>SOFP!H31</f>
        <v>4490873</v>
      </c>
      <c r="I41" s="71">
        <f>SOFP!I31</f>
        <v>573175</v>
      </c>
      <c r="J41" s="71">
        <f>I41</f>
        <v>573175</v>
      </c>
      <c r="K41" s="71">
        <f t="shared" ref="K41:M41" si="9">J41</f>
        <v>573175</v>
      </c>
      <c r="L41" s="71">
        <f t="shared" si="9"/>
        <v>573175</v>
      </c>
      <c r="M41" s="71">
        <f t="shared" si="9"/>
        <v>573175</v>
      </c>
      <c r="N41" s="108"/>
    </row>
    <row r="42" spans="2:14" x14ac:dyDescent="0.25">
      <c r="B42" s="71" t="s">
        <v>97</v>
      </c>
      <c r="G42" s="82" t="s">
        <v>146</v>
      </c>
      <c r="H42" s="71">
        <f>SOFP!H32</f>
        <v>38325101</v>
      </c>
      <c r="I42" s="71">
        <f>SOFP!I32</f>
        <v>49475977</v>
      </c>
      <c r="J42" s="71">
        <f>-SOPL!J14*'Financial analysis'!J13/'Financial analysis'!J7</f>
        <v>101030682.73920397</v>
      </c>
      <c r="K42" s="71">
        <f>-SOPL!K14*'Financial analysis'!K13/'Financial analysis'!K7</f>
        <v>176643996.82046562</v>
      </c>
      <c r="L42" s="71">
        <f>-SOPL!L14*'Financial analysis'!L13/'Financial analysis'!L7</f>
        <v>308001617.12665468</v>
      </c>
      <c r="M42" s="71">
        <f>-SOPL!M14*'Financial analysis'!M13/'Financial analysis'!M7</f>
        <v>537040589.32187545</v>
      </c>
      <c r="N42" s="108"/>
    </row>
    <row r="43" spans="2:14" x14ac:dyDescent="0.25">
      <c r="B43" s="71" t="s">
        <v>94</v>
      </c>
      <c r="G43" s="82" t="s">
        <v>149</v>
      </c>
      <c r="H43" s="71">
        <f>SOFP!H33</f>
        <v>8323257</v>
      </c>
      <c r="I43" s="71">
        <f>SOFP!I33</f>
        <v>15819889</v>
      </c>
      <c r="J43" s="71">
        <f>I43</f>
        <v>15819889</v>
      </c>
      <c r="K43" s="71">
        <f t="shared" ref="K43:M43" si="10">J43</f>
        <v>15819889</v>
      </c>
      <c r="L43" s="71">
        <f t="shared" si="10"/>
        <v>15819889</v>
      </c>
      <c r="M43" s="71">
        <f t="shared" si="10"/>
        <v>15819889</v>
      </c>
      <c r="N43" s="108"/>
    </row>
    <row r="44" spans="2:14" x14ac:dyDescent="0.25">
      <c r="B44" s="71" t="s">
        <v>112</v>
      </c>
      <c r="G44" s="82" t="s">
        <v>149</v>
      </c>
      <c r="H44" s="71">
        <f>SOFP!H34</f>
        <v>47193036</v>
      </c>
      <c r="I44" s="71">
        <f>SOFP!I34</f>
        <v>69025538</v>
      </c>
      <c r="J44" s="71">
        <f>I44</f>
        <v>69025538</v>
      </c>
      <c r="K44" s="71">
        <f t="shared" ref="K44:M44" si="11">J44</f>
        <v>69025538</v>
      </c>
      <c r="L44" s="71">
        <f t="shared" si="11"/>
        <v>69025538</v>
      </c>
      <c r="M44" s="71">
        <f t="shared" si="11"/>
        <v>69025538</v>
      </c>
      <c r="N44" s="108"/>
    </row>
    <row r="45" spans="2:14" x14ac:dyDescent="0.25">
      <c r="N45" s="108"/>
    </row>
    <row r="46" spans="2:14" x14ac:dyDescent="0.25">
      <c r="B46" s="79" t="s">
        <v>127</v>
      </c>
      <c r="N46" s="108"/>
    </row>
    <row r="47" spans="2:14" x14ac:dyDescent="0.25">
      <c r="B47" s="71" t="s">
        <v>87</v>
      </c>
      <c r="G47" s="82" t="s">
        <v>149</v>
      </c>
      <c r="H47" s="71">
        <f>SOFP!H38</f>
        <v>3475257</v>
      </c>
      <c r="I47" s="71">
        <f>SOFP!I38</f>
        <v>1377286</v>
      </c>
      <c r="J47" s="71">
        <f>I47</f>
        <v>1377286</v>
      </c>
      <c r="K47" s="71">
        <f t="shared" ref="K47:M47" si="12">J47</f>
        <v>1377286</v>
      </c>
      <c r="L47" s="71">
        <f t="shared" si="12"/>
        <v>1377286</v>
      </c>
      <c r="M47" s="71">
        <f t="shared" si="12"/>
        <v>1377286</v>
      </c>
      <c r="N47" s="108"/>
    </row>
    <row r="48" spans="2:14" x14ac:dyDescent="0.25">
      <c r="B48" s="71" t="s">
        <v>86</v>
      </c>
      <c r="G48" s="82" t="s">
        <v>149</v>
      </c>
      <c r="H48" s="71">
        <f>SOFP!H39</f>
        <v>33776943</v>
      </c>
      <c r="I48" s="71">
        <f>SOFP!I39</f>
        <v>22306746</v>
      </c>
      <c r="J48" s="71">
        <f>I48</f>
        <v>22306746</v>
      </c>
      <c r="K48" s="71">
        <f t="shared" ref="K48:M48" si="13">J48</f>
        <v>22306746</v>
      </c>
      <c r="L48" s="71">
        <f t="shared" si="13"/>
        <v>22306746</v>
      </c>
      <c r="M48" s="71">
        <f t="shared" si="13"/>
        <v>22306746</v>
      </c>
      <c r="N48" s="108"/>
    </row>
    <row r="49" spans="2:14" x14ac:dyDescent="0.25">
      <c r="B49" s="71" t="s">
        <v>113</v>
      </c>
      <c r="G49" s="82" t="s">
        <v>149</v>
      </c>
      <c r="H49" s="71">
        <f>SOFP!H40</f>
        <v>32483066</v>
      </c>
      <c r="I49" s="71">
        <f>SOFP!I40</f>
        <v>102861</v>
      </c>
      <c r="J49" s="71">
        <f>I49</f>
        <v>102861</v>
      </c>
      <c r="K49" s="71">
        <f t="shared" ref="K49:M49" si="14">J49</f>
        <v>102861</v>
      </c>
      <c r="L49" s="71">
        <f t="shared" si="14"/>
        <v>102861</v>
      </c>
      <c r="M49" s="71">
        <f t="shared" si="14"/>
        <v>102861</v>
      </c>
      <c r="N49" s="108"/>
    </row>
    <row r="50" spans="2:14" x14ac:dyDescent="0.25">
      <c r="N50" s="108"/>
    </row>
    <row r="51" spans="2:14" x14ac:dyDescent="0.25">
      <c r="B51" s="79" t="s">
        <v>79</v>
      </c>
      <c r="N51" s="108"/>
    </row>
    <row r="52" spans="2:14" x14ac:dyDescent="0.25">
      <c r="B52" s="71" t="s">
        <v>80</v>
      </c>
      <c r="G52" s="82" t="s">
        <v>149</v>
      </c>
      <c r="H52" s="71">
        <f>SOFP!H45</f>
        <v>9000000</v>
      </c>
      <c r="I52" s="71">
        <f>SOFP!I45</f>
        <v>9000000</v>
      </c>
      <c r="J52" s="71">
        <f>I52</f>
        <v>9000000</v>
      </c>
      <c r="K52" s="71">
        <f t="shared" ref="K52:M52" si="15">J52</f>
        <v>9000000</v>
      </c>
      <c r="L52" s="71">
        <f t="shared" si="15"/>
        <v>9000000</v>
      </c>
      <c r="M52" s="71">
        <f t="shared" si="15"/>
        <v>9000000</v>
      </c>
      <c r="N52" s="108"/>
    </row>
    <row r="53" spans="2:14" x14ac:dyDescent="0.25">
      <c r="B53" s="71" t="s">
        <v>81</v>
      </c>
      <c r="G53" s="82" t="s">
        <v>149</v>
      </c>
      <c r="H53" s="71">
        <f>SOFP!H46</f>
        <v>-943228</v>
      </c>
      <c r="I53" s="71">
        <f>SOFP!I46</f>
        <v>-943228</v>
      </c>
      <c r="J53" s="71">
        <f>I53</f>
        <v>-943228</v>
      </c>
      <c r="K53" s="71">
        <f t="shared" ref="K53:M53" si="16">J53</f>
        <v>-943228</v>
      </c>
      <c r="L53" s="71">
        <f t="shared" si="16"/>
        <v>-943228</v>
      </c>
      <c r="M53" s="71">
        <f t="shared" si="16"/>
        <v>-943228</v>
      </c>
      <c r="N53" s="108"/>
    </row>
    <row r="54" spans="2:14" x14ac:dyDescent="0.25">
      <c r="B54" s="71" t="s">
        <v>82</v>
      </c>
      <c r="G54" s="82" t="s">
        <v>187</v>
      </c>
      <c r="H54" s="71">
        <f>SOFP!H47</f>
        <v>222904565</v>
      </c>
      <c r="I54" s="71">
        <f>SOFP!I47</f>
        <v>254002062</v>
      </c>
      <c r="J54" s="71">
        <f>J72</f>
        <v>334828334.7756443</v>
      </c>
      <c r="K54" s="71">
        <f t="shared" ref="K54:M54" si="17">K72</f>
        <v>477627994.44781446</v>
      </c>
      <c r="L54" s="71">
        <f t="shared" si="17"/>
        <v>728497646.4584372</v>
      </c>
      <c r="M54" s="71">
        <f t="shared" si="17"/>
        <v>1167812891.8778567</v>
      </c>
      <c r="N54" s="108"/>
    </row>
    <row r="55" spans="2:14" x14ac:dyDescent="0.25">
      <c r="N55" s="108"/>
    </row>
    <row r="56" spans="2:14" x14ac:dyDescent="0.25">
      <c r="N56" s="108"/>
    </row>
    <row r="57" spans="2:14" ht="18.75" x14ac:dyDescent="0.3">
      <c r="B57" s="87" t="s">
        <v>128</v>
      </c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110"/>
    </row>
    <row r="58" spans="2:14" x14ac:dyDescent="0.25">
      <c r="N58" s="108"/>
    </row>
    <row r="59" spans="2:14" x14ac:dyDescent="0.25">
      <c r="B59" s="75" t="s">
        <v>129</v>
      </c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108"/>
    </row>
    <row r="60" spans="2:14" x14ac:dyDescent="0.25">
      <c r="B60" s="71" t="s">
        <v>130</v>
      </c>
      <c r="H60" s="88"/>
      <c r="I60" s="88"/>
      <c r="J60" s="113">
        <v>3</v>
      </c>
      <c r="K60" s="113">
        <v>3</v>
      </c>
      <c r="L60" s="113">
        <v>3</v>
      </c>
      <c r="M60" s="113">
        <v>3</v>
      </c>
      <c r="N60" s="108"/>
    </row>
    <row r="61" spans="2:14" x14ac:dyDescent="0.25">
      <c r="B61" s="71" t="s">
        <v>131</v>
      </c>
      <c r="H61" s="88"/>
      <c r="I61" s="88"/>
      <c r="J61" s="71">
        <v>0</v>
      </c>
      <c r="K61" s="71">
        <v>0</v>
      </c>
      <c r="L61" s="71">
        <v>0</v>
      </c>
      <c r="M61" s="71">
        <v>0</v>
      </c>
      <c r="N61" s="108" t="s">
        <v>104</v>
      </c>
    </row>
    <row r="62" spans="2:14" x14ac:dyDescent="0.25">
      <c r="N62" s="108"/>
    </row>
    <row r="63" spans="2:14" x14ac:dyDescent="0.25">
      <c r="B63" s="71" t="s">
        <v>134</v>
      </c>
      <c r="H63" s="88"/>
      <c r="I63" s="88"/>
      <c r="J63" s="71">
        <f>I66</f>
        <v>357991862</v>
      </c>
      <c r="K63" s="71">
        <f>J66</f>
        <v>364824266.33283627</v>
      </c>
      <c r="L63" s="71">
        <f>K66</f>
        <v>371787069.57671636</v>
      </c>
      <c r="M63" s="71">
        <f>L66</f>
        <v>378882760.44208151</v>
      </c>
      <c r="N63" s="108"/>
    </row>
    <row r="64" spans="2:14" x14ac:dyDescent="0.25">
      <c r="B64" s="71" t="s">
        <v>132</v>
      </c>
      <c r="H64" s="88"/>
      <c r="I64" s="88"/>
      <c r="J64" s="71">
        <f>J65*J60+J62</f>
        <v>10248606.499254402</v>
      </c>
      <c r="K64" s="71">
        <f>K65*K60+K62</f>
        <v>10444204.865820175</v>
      </c>
      <c r="L64" s="71">
        <f>L65*L60+L62</f>
        <v>10643536.298047703</v>
      </c>
      <c r="M64" s="71">
        <f>M65*M60+M62</f>
        <v>10846672.042847065</v>
      </c>
      <c r="N64" s="108"/>
    </row>
    <row r="65" spans="2:14" x14ac:dyDescent="0.25">
      <c r="B65" s="71" t="s">
        <v>184</v>
      </c>
      <c r="H65" s="88"/>
      <c r="I65" s="88"/>
      <c r="J65" s="71">
        <f>J63*J17</f>
        <v>3416202.1664181338</v>
      </c>
      <c r="K65" s="71">
        <f>K63*K17</f>
        <v>3481401.6219400582</v>
      </c>
      <c r="L65" s="71">
        <f>L63*L17</f>
        <v>3547845.4326825673</v>
      </c>
      <c r="M65" s="71">
        <f>M63*M17</f>
        <v>3615557.3476156886</v>
      </c>
      <c r="N65" s="108"/>
    </row>
    <row r="66" spans="2:14" x14ac:dyDescent="0.25">
      <c r="B66" s="77" t="s">
        <v>133</v>
      </c>
      <c r="C66" s="77"/>
      <c r="D66" s="77"/>
      <c r="E66" s="77"/>
      <c r="F66" s="77"/>
      <c r="G66" s="77"/>
      <c r="H66" s="89"/>
      <c r="I66" s="89">
        <f>SOFP!I23</f>
        <v>357991862</v>
      </c>
      <c r="J66" s="77">
        <f>J63+J64-J65</f>
        <v>364824266.33283627</v>
      </c>
      <c r="K66" s="77">
        <f>K63+K64-K65</f>
        <v>371787069.57671636</v>
      </c>
      <c r="L66" s="77">
        <f>L63+L64-L65</f>
        <v>378882760.44208151</v>
      </c>
      <c r="M66" s="77">
        <f>M63+M64-M65</f>
        <v>386113875.13731289</v>
      </c>
      <c r="N66" s="108"/>
    </row>
    <row r="67" spans="2:14" x14ac:dyDescent="0.25">
      <c r="N67" s="108"/>
    </row>
    <row r="68" spans="2:14" x14ac:dyDescent="0.25">
      <c r="B68" s="75" t="s">
        <v>155</v>
      </c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108"/>
    </row>
    <row r="69" spans="2:14" x14ac:dyDescent="0.25">
      <c r="B69" s="71" t="s">
        <v>134</v>
      </c>
      <c r="H69" s="88"/>
      <c r="I69" s="88"/>
      <c r="J69" s="71">
        <f>I72</f>
        <v>254002062</v>
      </c>
      <c r="K69" s="71">
        <f t="shared" ref="K69:M69" si="18">J72</f>
        <v>334828334.7756443</v>
      </c>
      <c r="L69" s="71">
        <f t="shared" si="18"/>
        <v>477627994.44781446</v>
      </c>
      <c r="M69" s="71">
        <f t="shared" si="18"/>
        <v>728497646.4584372</v>
      </c>
      <c r="N69" s="108"/>
    </row>
    <row r="70" spans="2:14" x14ac:dyDescent="0.25">
      <c r="B70" s="71" t="s">
        <v>156</v>
      </c>
      <c r="H70" s="88"/>
      <c r="I70" s="88"/>
      <c r="J70" s="71">
        <f>SOPL!J30</f>
        <v>275052887.92752814</v>
      </c>
      <c r="K70" s="71">
        <f>SOPL!K30</f>
        <v>485949152.90630871</v>
      </c>
      <c r="L70" s="71">
        <f>SOPL!L30</f>
        <v>853712783.10000908</v>
      </c>
      <c r="M70" s="71">
        <f>SOPL!M30</f>
        <v>1494995659.3769059</v>
      </c>
      <c r="N70" s="108"/>
    </row>
    <row r="71" spans="2:14" x14ac:dyDescent="0.25">
      <c r="B71" s="71" t="s">
        <v>157</v>
      </c>
      <c r="H71" s="88"/>
      <c r="I71" s="88"/>
      <c r="J71" s="71">
        <f>-J75*SOPL!J30</f>
        <v>-194226615.15188381</v>
      </c>
      <c r="K71" s="71">
        <f>-K75*SOPL!K30</f>
        <v>-343149493.23413849</v>
      </c>
      <c r="L71" s="71">
        <f>-L75*SOPL!L30</f>
        <v>-602843131.08938622</v>
      </c>
      <c r="M71" s="71">
        <f>-M75*SOPL!M30</f>
        <v>-1055680413.9574866</v>
      </c>
      <c r="N71" s="108"/>
    </row>
    <row r="72" spans="2:14" x14ac:dyDescent="0.25">
      <c r="B72" s="77" t="s">
        <v>158</v>
      </c>
      <c r="C72" s="77"/>
      <c r="D72" s="77"/>
      <c r="E72" s="77"/>
      <c r="F72" s="77"/>
      <c r="G72" s="77"/>
      <c r="H72" s="77"/>
      <c r="I72" s="77">
        <f>I54</f>
        <v>254002062</v>
      </c>
      <c r="J72" s="77">
        <f>J69+J70+J71</f>
        <v>334828334.7756443</v>
      </c>
      <c r="K72" s="77">
        <f t="shared" ref="K72:M72" si="19">K69+K70+K71</f>
        <v>477627994.44781446</v>
      </c>
      <c r="L72" s="77">
        <f t="shared" si="19"/>
        <v>728497646.4584372</v>
      </c>
      <c r="M72" s="77">
        <f t="shared" si="19"/>
        <v>1167812891.8778567</v>
      </c>
      <c r="N72" s="108"/>
    </row>
    <row r="73" spans="2:14" x14ac:dyDescent="0.25">
      <c r="N73" s="108"/>
    </row>
    <row r="74" spans="2:14" x14ac:dyDescent="0.25">
      <c r="B74" s="75" t="s">
        <v>159</v>
      </c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108"/>
    </row>
    <row r="75" spans="2:14" x14ac:dyDescent="0.25">
      <c r="H75" s="104">
        <f>'Historical data'!H33/'Historical data'!H28</f>
        <v>0.68970032192583597</v>
      </c>
      <c r="I75" s="104">
        <f>'Historical data'!I33/'Historical data'!I28</f>
        <v>0.72258526878615315</v>
      </c>
      <c r="J75" s="104">
        <f>AVERAGE(H75:I75)</f>
        <v>0.70614279535599456</v>
      </c>
      <c r="K75" s="104">
        <f t="shared" ref="K75:M75" si="20">AVERAGE($H$75:$I$75)</f>
        <v>0.70614279535599456</v>
      </c>
      <c r="L75" s="104">
        <f t="shared" si="20"/>
        <v>0.70614279535599456</v>
      </c>
      <c r="M75" s="104">
        <f t="shared" si="20"/>
        <v>0.70614279535599456</v>
      </c>
      <c r="N75" s="108"/>
    </row>
    <row r="76" spans="2:14" x14ac:dyDescent="0.25">
      <c r="N76" s="108"/>
    </row>
    <row r="77" spans="2:14" x14ac:dyDescent="0.25">
      <c r="B77" s="75" t="s">
        <v>164</v>
      </c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108"/>
    </row>
    <row r="78" spans="2:14" x14ac:dyDescent="0.25">
      <c r="N78" s="108"/>
    </row>
    <row r="79" spans="2:14" x14ac:dyDescent="0.25">
      <c r="B79" s="79" t="s">
        <v>110</v>
      </c>
      <c r="N79" s="108"/>
    </row>
    <row r="80" spans="2:14" x14ac:dyDescent="0.25">
      <c r="B80" s="71" t="s">
        <v>75</v>
      </c>
      <c r="N80" s="108"/>
    </row>
    <row r="81" spans="2:14" x14ac:dyDescent="0.25">
      <c r="B81" s="71" t="s">
        <v>74</v>
      </c>
      <c r="H81" s="71">
        <f>H30</f>
        <v>119325516</v>
      </c>
      <c r="I81" s="71">
        <f>I30</f>
        <v>151156115</v>
      </c>
      <c r="J81" s="71">
        <f>J30</f>
        <v>313169355.55078274</v>
      </c>
      <c r="K81" s="71">
        <f t="shared" ref="K81:M81" si="21">K30</f>
        <v>547551349.21713781</v>
      </c>
      <c r="L81" s="71">
        <f t="shared" si="21"/>
        <v>954726478.42182994</v>
      </c>
      <c r="M81" s="71">
        <f t="shared" si="21"/>
        <v>1664688891.5587015</v>
      </c>
      <c r="N81" s="108"/>
    </row>
    <row r="82" spans="2:14" x14ac:dyDescent="0.25">
      <c r="B82" s="71" t="s">
        <v>73</v>
      </c>
      <c r="H82" s="71">
        <f>SOFP!H18</f>
        <v>29760594</v>
      </c>
      <c r="I82" s="71">
        <f>SOFP!I18</f>
        <v>112276641</v>
      </c>
      <c r="J82" s="71">
        <f>SOFP!J18</f>
        <v>144828232.71646219</v>
      </c>
      <c r="K82" s="71">
        <f>SOFP!K18</f>
        <v>253220479.02536008</v>
      </c>
      <c r="L82" s="71">
        <f>SOFP!L18</f>
        <v>441522601.57850426</v>
      </c>
      <c r="M82" s="71">
        <f>SOFP!M18</f>
        <v>769851666.24349988</v>
      </c>
      <c r="N82" s="108"/>
    </row>
    <row r="83" spans="2:14" x14ac:dyDescent="0.25">
      <c r="B83" s="71" t="s">
        <v>153</v>
      </c>
      <c r="H83" s="71">
        <f>SOFP!H19</f>
        <v>95420170</v>
      </c>
      <c r="I83" s="71">
        <f>SOFP!I19</f>
        <v>348860131</v>
      </c>
      <c r="J83" s="71">
        <f>SOFP!J19</f>
        <v>348860131</v>
      </c>
      <c r="K83" s="71">
        <f>SOFP!K19</f>
        <v>348860131</v>
      </c>
      <c r="L83" s="71">
        <f>SOFP!L19</f>
        <v>348860131</v>
      </c>
      <c r="M83" s="71">
        <f>SOFP!M19</f>
        <v>348860131</v>
      </c>
      <c r="N83" s="108"/>
    </row>
    <row r="84" spans="2:14" x14ac:dyDescent="0.25">
      <c r="B84" s="79" t="s">
        <v>165</v>
      </c>
      <c r="H84" s="79">
        <f>H83+H82+H81</f>
        <v>244506280</v>
      </c>
      <c r="I84" s="79">
        <f>I83+I82+I81</f>
        <v>612292887</v>
      </c>
      <c r="J84" s="79">
        <f>J83+J82+J81</f>
        <v>806857719.26724494</v>
      </c>
      <c r="K84" s="79">
        <f t="shared" ref="K84:M84" si="22">K83+K82+K81</f>
        <v>1149631959.2424979</v>
      </c>
      <c r="L84" s="79">
        <f t="shared" si="22"/>
        <v>1745109211.0003343</v>
      </c>
      <c r="M84" s="79">
        <f t="shared" si="22"/>
        <v>2783400688.8022013</v>
      </c>
      <c r="N84" s="108"/>
    </row>
    <row r="85" spans="2:14" x14ac:dyDescent="0.25">
      <c r="N85" s="108"/>
    </row>
    <row r="86" spans="2:14" x14ac:dyDescent="0.25">
      <c r="B86" s="79" t="s">
        <v>166</v>
      </c>
      <c r="N86" s="108"/>
    </row>
    <row r="87" spans="2:14" x14ac:dyDescent="0.25">
      <c r="B87" s="71" t="s">
        <v>87</v>
      </c>
      <c r="H87" s="71">
        <f>SOFP!H30</f>
        <v>208195755</v>
      </c>
      <c r="I87" s="71">
        <f>SOFP!I30</f>
        <v>649699556</v>
      </c>
      <c r="J87" s="71">
        <f>SOFP!J30</f>
        <v>649699556</v>
      </c>
      <c r="K87" s="71">
        <f>SOFP!K30</f>
        <v>649699556</v>
      </c>
      <c r="L87" s="71">
        <f>SOFP!L30</f>
        <v>649699556</v>
      </c>
      <c r="M87" s="71">
        <f>SOFP!M30</f>
        <v>649699556</v>
      </c>
      <c r="N87" s="108"/>
    </row>
    <row r="88" spans="2:14" x14ac:dyDescent="0.25">
      <c r="B88" s="71" t="s">
        <v>95</v>
      </c>
      <c r="H88" s="71">
        <f>SOFP!H31</f>
        <v>4490873</v>
      </c>
      <c r="I88" s="71">
        <f>SOFP!I31</f>
        <v>573175</v>
      </c>
      <c r="J88" s="71">
        <f>SOFP!J31</f>
        <v>573175</v>
      </c>
      <c r="K88" s="71">
        <f>SOFP!K31</f>
        <v>573175</v>
      </c>
      <c r="L88" s="71">
        <f>SOFP!L31</f>
        <v>573175</v>
      </c>
      <c r="M88" s="71">
        <f>SOFP!M31</f>
        <v>573175</v>
      </c>
      <c r="N88" s="108"/>
    </row>
    <row r="89" spans="2:14" x14ac:dyDescent="0.25">
      <c r="B89" s="71" t="s">
        <v>97</v>
      </c>
      <c r="H89" s="71">
        <f>SOFP!H32</f>
        <v>38325101</v>
      </c>
      <c r="I89" s="71">
        <f>SOFP!I32</f>
        <v>49475977</v>
      </c>
      <c r="J89" s="71">
        <f>SOFP!J32</f>
        <v>101030682.73920397</v>
      </c>
      <c r="K89" s="71">
        <f>SOFP!K32</f>
        <v>176643996.82046562</v>
      </c>
      <c r="L89" s="71">
        <f>SOFP!L32</f>
        <v>308001617.12665468</v>
      </c>
      <c r="M89" s="71">
        <f>SOFP!M32</f>
        <v>537040589.32187545</v>
      </c>
      <c r="N89" s="108"/>
    </row>
    <row r="90" spans="2:14" x14ac:dyDescent="0.25">
      <c r="B90" s="71" t="s">
        <v>94</v>
      </c>
      <c r="H90" s="71">
        <f>SOFP!H33</f>
        <v>8323257</v>
      </c>
      <c r="I90" s="71">
        <f>SOFP!I33</f>
        <v>15819889</v>
      </c>
      <c r="J90" s="71">
        <f>SOFP!J33</f>
        <v>15819889</v>
      </c>
      <c r="K90" s="71">
        <f>SOFP!K33</f>
        <v>15819889</v>
      </c>
      <c r="L90" s="71">
        <f>SOFP!L33</f>
        <v>15819889</v>
      </c>
      <c r="M90" s="71">
        <f>SOFP!M33</f>
        <v>15819889</v>
      </c>
      <c r="N90" s="108"/>
    </row>
    <row r="91" spans="2:14" x14ac:dyDescent="0.25">
      <c r="B91" s="71" t="s">
        <v>112</v>
      </c>
      <c r="H91" s="71">
        <f>SOFP!H34</f>
        <v>47193036</v>
      </c>
      <c r="I91" s="71">
        <f>SOFP!I34</f>
        <v>69025538</v>
      </c>
      <c r="J91" s="71">
        <f>SOFP!J34</f>
        <v>69025538</v>
      </c>
      <c r="K91" s="71">
        <f>SOFP!K34</f>
        <v>69025538</v>
      </c>
      <c r="L91" s="71">
        <f>SOFP!L34</f>
        <v>69025538</v>
      </c>
      <c r="M91" s="71">
        <f>SOFP!M34</f>
        <v>69025538</v>
      </c>
      <c r="N91" s="108"/>
    </row>
    <row r="92" spans="2:14" x14ac:dyDescent="0.25">
      <c r="B92" s="79" t="s">
        <v>167</v>
      </c>
      <c r="H92" s="79">
        <f>SUM(H87:H91)</f>
        <v>306528022</v>
      </c>
      <c r="I92" s="79">
        <f t="shared" ref="I92:K92" si="23">SUM(I87:I91)</f>
        <v>784594135</v>
      </c>
      <c r="J92" s="79">
        <f t="shared" si="23"/>
        <v>836148840.73920393</v>
      </c>
      <c r="K92" s="79">
        <f t="shared" si="23"/>
        <v>911762154.82046556</v>
      </c>
      <c r="L92" s="79">
        <f t="shared" ref="L92" si="24">SUM(L87:L91)</f>
        <v>1043119775.1266546</v>
      </c>
      <c r="M92" s="79">
        <f t="shared" ref="M92" si="25">SUM(M87:M91)</f>
        <v>1272158747.3218756</v>
      </c>
      <c r="N92" s="108"/>
    </row>
    <row r="93" spans="2:14" x14ac:dyDescent="0.25">
      <c r="N93" s="108"/>
    </row>
    <row r="94" spans="2:14" x14ac:dyDescent="0.25">
      <c r="B94" s="79" t="s">
        <v>168</v>
      </c>
      <c r="H94" s="71">
        <f t="shared" ref="H94:I94" si="26">H84-H92</f>
        <v>-62021742</v>
      </c>
      <c r="I94" s="71">
        <f t="shared" si="26"/>
        <v>-172301248</v>
      </c>
      <c r="J94" s="71">
        <f>J84-J92</f>
        <v>-29291121.471958995</v>
      </c>
      <c r="K94" s="71">
        <f t="shared" ref="K94:M94" si="27">K84-K92</f>
        <v>237869804.42203236</v>
      </c>
      <c r="L94" s="71">
        <f t="shared" si="27"/>
        <v>701989435.87367964</v>
      </c>
      <c r="M94" s="71">
        <f t="shared" si="27"/>
        <v>1511241941.4803257</v>
      </c>
      <c r="N94" s="108"/>
    </row>
    <row r="95" spans="2:14" x14ac:dyDescent="0.25">
      <c r="B95" s="79" t="s">
        <v>169</v>
      </c>
      <c r="H95" s="79">
        <f t="shared" ref="H95:I95" si="28">G94-H94</f>
        <v>62021742</v>
      </c>
      <c r="I95" s="79">
        <f t="shared" si="28"/>
        <v>110279506</v>
      </c>
      <c r="J95" s="79">
        <f>I94-J94</f>
        <v>-143010126.52804101</v>
      </c>
      <c r="K95" s="79">
        <f t="shared" ref="K95:M95" si="29">J94-K94</f>
        <v>-267160925.89399135</v>
      </c>
      <c r="L95" s="79">
        <f t="shared" si="29"/>
        <v>-464119631.45164728</v>
      </c>
      <c r="M95" s="79">
        <f t="shared" si="29"/>
        <v>-809252505.60664606</v>
      </c>
      <c r="N95" s="108"/>
    </row>
    <row r="96" spans="2:14" x14ac:dyDescent="0.25">
      <c r="N96" s="108"/>
    </row>
    <row r="97" spans="2:14" x14ac:dyDescent="0.25">
      <c r="B97" s="75" t="s">
        <v>175</v>
      </c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108"/>
    </row>
    <row r="98" spans="2:14" x14ac:dyDescent="0.25">
      <c r="B98" s="71" t="s">
        <v>176</v>
      </c>
      <c r="J98" s="71">
        <v>0</v>
      </c>
      <c r="K98" s="71">
        <v>0</v>
      </c>
      <c r="L98" s="71">
        <v>0</v>
      </c>
      <c r="M98" s="71">
        <v>0</v>
      </c>
      <c r="N98" s="108"/>
    </row>
    <row r="99" spans="2:14" x14ac:dyDescent="0.25">
      <c r="B99" s="71" t="s">
        <v>177</v>
      </c>
      <c r="J99" s="71">
        <v>0</v>
      </c>
      <c r="K99" s="71">
        <v>0</v>
      </c>
      <c r="L99" s="71">
        <v>0</v>
      </c>
      <c r="M99" s="71">
        <v>0</v>
      </c>
      <c r="N99" s="108"/>
    </row>
    <row r="100" spans="2:14" x14ac:dyDescent="0.25">
      <c r="B100" s="71" t="s">
        <v>65</v>
      </c>
      <c r="J100" s="71">
        <f>'Assumptions and drivers'!J71</f>
        <v>-194226615.15188381</v>
      </c>
      <c r="K100" s="71">
        <f>'Assumptions and drivers'!K71</f>
        <v>-343149493.23413849</v>
      </c>
      <c r="L100" s="71">
        <f>'Assumptions and drivers'!L71</f>
        <v>-602843131.08938622</v>
      </c>
      <c r="M100" s="71">
        <f>'Assumptions and drivers'!M71</f>
        <v>-1055680413.9574866</v>
      </c>
      <c r="N100" s="108"/>
    </row>
    <row r="116" spans="11:11" x14ac:dyDescent="0.25">
      <c r="K116" s="71" t="s">
        <v>104</v>
      </c>
    </row>
  </sheetData>
  <conditionalFormatting sqref="B26:B54">
    <cfRule type="containsText" dxfId="5" priority="6" operator="containsText" text="good">
      <formula>NOT(ISERROR(SEARCH("good",B26)))</formula>
    </cfRule>
  </conditionalFormatting>
  <conditionalFormatting sqref="B79:B83">
    <cfRule type="containsText" dxfId="4" priority="2" operator="containsText" text="good">
      <formula>NOT(ISERROR(SEARCH("good",B79)))</formula>
    </cfRule>
  </conditionalFormatting>
  <conditionalFormatting sqref="B86:B91">
    <cfRule type="containsText" dxfId="3" priority="1" operator="containsText" text="good">
      <formula>NOT(ISERROR(SEARCH("good",B86)))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F9B1D-BDA1-4092-AF9B-D05DE58A761B}">
  <dimension ref="A2:W50"/>
  <sheetViews>
    <sheetView showGridLines="0" workbookViewId="0">
      <pane xSplit="1" ySplit="9" topLeftCell="B10" activePane="bottomRight" state="frozen"/>
      <selection activeCell="G4" sqref="G4:M5"/>
      <selection pane="topRight" activeCell="G4" sqref="G4:M5"/>
      <selection pane="bottomLeft" activeCell="G4" sqref="G4:M5"/>
      <selection pane="bottomRight" activeCell="A7" sqref="A7"/>
    </sheetView>
  </sheetViews>
  <sheetFormatPr defaultRowHeight="15.75" x14ac:dyDescent="0.25"/>
  <cols>
    <col min="1" max="1" width="4" style="11" customWidth="1"/>
    <col min="2" max="6" width="9.140625" style="11"/>
    <col min="7" max="7" width="11.28515625" style="11" bestFit="1" customWidth="1"/>
    <col min="8" max="8" width="14" style="11" bestFit="1" customWidth="1"/>
    <col min="9" max="9" width="17.140625" style="11" customWidth="1"/>
    <col min="10" max="10" width="15.7109375" style="11" bestFit="1" customWidth="1"/>
    <col min="11" max="11" width="17.42578125" style="11" customWidth="1"/>
    <col min="12" max="12" width="15.42578125" style="11" customWidth="1"/>
    <col min="13" max="13" width="15.7109375" style="11" bestFit="1" customWidth="1"/>
    <col min="14" max="20" width="9.140625" style="11"/>
    <col min="21" max="21" width="3" style="11" customWidth="1"/>
    <col min="22" max="22" width="23" style="11" customWidth="1"/>
    <col min="23" max="23" width="16.140625" style="11" customWidth="1"/>
    <col min="24" max="16384" width="9.140625" style="11"/>
  </cols>
  <sheetData>
    <row r="2" spans="1:23" x14ac:dyDescent="0.25">
      <c r="B2" s="11" t="s">
        <v>115</v>
      </c>
      <c r="H2" s="58" t="str">
        <f t="shared" ref="H2:M2" si="0">IF(H27=H49, "GOOD", "Error")</f>
        <v>GOOD</v>
      </c>
      <c r="I2" s="58" t="str">
        <f t="shared" si="0"/>
        <v>GOOD</v>
      </c>
      <c r="J2" s="25" t="str">
        <f>IF(J27=J49, "GOOD", "Error")</f>
        <v>GOOD</v>
      </c>
      <c r="K2" s="25" t="str">
        <f t="shared" si="0"/>
        <v>GOOD</v>
      </c>
      <c r="L2" s="25" t="str">
        <f t="shared" si="0"/>
        <v>GOOD</v>
      </c>
      <c r="M2" s="25" t="str">
        <f t="shared" si="0"/>
        <v>GOOD</v>
      </c>
    </row>
    <row r="3" spans="1:23" x14ac:dyDescent="0.25">
      <c r="B3" s="11" t="s">
        <v>114</v>
      </c>
      <c r="H3" s="37">
        <f t="shared" ref="H3:M3" si="1">H27-H49</f>
        <v>0</v>
      </c>
      <c r="I3" s="37">
        <f t="shared" si="1"/>
        <v>0</v>
      </c>
      <c r="J3" s="37">
        <f t="shared" si="1"/>
        <v>0</v>
      </c>
      <c r="K3" s="37">
        <f t="shared" si="1"/>
        <v>0</v>
      </c>
      <c r="L3" s="37">
        <f t="shared" si="1"/>
        <v>0</v>
      </c>
      <c r="M3" s="37">
        <f t="shared" si="1"/>
        <v>0</v>
      </c>
    </row>
    <row r="4" spans="1:23" x14ac:dyDescent="0.25">
      <c r="A4" s="8"/>
      <c r="B4" s="9" t="s">
        <v>3</v>
      </c>
      <c r="C4" s="9"/>
      <c r="D4" s="9"/>
      <c r="E4" s="26"/>
      <c r="F4" s="8"/>
      <c r="G4" s="8"/>
      <c r="H4" s="8"/>
      <c r="I4" s="8"/>
      <c r="J4" s="29"/>
      <c r="K4" s="29"/>
      <c r="L4" s="29"/>
      <c r="M4" s="29"/>
      <c r="N4" s="95"/>
    </row>
    <row r="5" spans="1:23" x14ac:dyDescent="0.25">
      <c r="A5" s="8"/>
      <c r="B5" s="25" t="s">
        <v>40</v>
      </c>
      <c r="C5" s="25"/>
      <c r="D5" s="25"/>
      <c r="E5" s="8"/>
      <c r="F5" s="8"/>
      <c r="G5" s="27"/>
      <c r="H5" s="27">
        <f t="shared" ref="H5:M5" si="2">G6+1</f>
        <v>44562</v>
      </c>
      <c r="I5" s="27">
        <f t="shared" si="2"/>
        <v>44927</v>
      </c>
      <c r="J5" s="30">
        <f t="shared" si="2"/>
        <v>45292</v>
      </c>
      <c r="K5" s="30">
        <f t="shared" si="2"/>
        <v>45658</v>
      </c>
      <c r="L5" s="30">
        <f t="shared" si="2"/>
        <v>46023</v>
      </c>
      <c r="M5" s="30">
        <f t="shared" si="2"/>
        <v>46388</v>
      </c>
      <c r="N5" s="105"/>
    </row>
    <row r="6" spans="1:23" x14ac:dyDescent="0.25">
      <c r="A6" s="8"/>
      <c r="B6" s="25" t="s">
        <v>37</v>
      </c>
      <c r="C6" s="25"/>
      <c r="D6" s="25"/>
      <c r="E6" s="8"/>
      <c r="F6" s="8"/>
      <c r="G6" s="27">
        <f>EDATE('Model guide'!J22,-12)</f>
        <v>44561</v>
      </c>
      <c r="H6" s="27">
        <f t="shared" ref="H6:M6" si="3">EOMONTH(H5, 11)</f>
        <v>44926</v>
      </c>
      <c r="I6" s="27">
        <f t="shared" si="3"/>
        <v>45291</v>
      </c>
      <c r="J6" s="30">
        <f t="shared" si="3"/>
        <v>45657</v>
      </c>
      <c r="K6" s="30">
        <f t="shared" si="3"/>
        <v>46022</v>
      </c>
      <c r="L6" s="30">
        <f t="shared" si="3"/>
        <v>46387</v>
      </c>
      <c r="M6" s="30">
        <f t="shared" si="3"/>
        <v>46752</v>
      </c>
      <c r="N6" s="105"/>
    </row>
    <row r="7" spans="1:23" x14ac:dyDescent="0.25">
      <c r="A7" s="8"/>
      <c r="B7" s="25" t="s">
        <v>39</v>
      </c>
      <c r="C7" s="25"/>
      <c r="D7" s="25"/>
      <c r="E7" s="8"/>
      <c r="F7" s="8"/>
      <c r="G7" s="25"/>
      <c r="H7" s="28">
        <f t="shared" ref="H7:M7" si="4">YEAR(H5)</f>
        <v>2022</v>
      </c>
      <c r="I7" s="28">
        <f t="shared" si="4"/>
        <v>2023</v>
      </c>
      <c r="J7" s="31">
        <f t="shared" si="4"/>
        <v>2024</v>
      </c>
      <c r="K7" s="31">
        <f t="shared" si="4"/>
        <v>2025</v>
      </c>
      <c r="L7" s="31">
        <f t="shared" si="4"/>
        <v>2026</v>
      </c>
      <c r="M7" s="31">
        <f t="shared" si="4"/>
        <v>2027</v>
      </c>
      <c r="N7" s="105"/>
    </row>
    <row r="8" spans="1:23" x14ac:dyDescent="0.25">
      <c r="A8" s="8"/>
      <c r="B8" s="25" t="s">
        <v>38</v>
      </c>
      <c r="C8" s="25"/>
      <c r="D8" s="25"/>
      <c r="E8" s="8"/>
      <c r="F8" s="8"/>
      <c r="G8" s="25"/>
      <c r="H8" s="25">
        <f t="shared" ref="H8:M8" si="5">DATEDIF(H5,H6,"D")</f>
        <v>364</v>
      </c>
      <c r="I8" s="25">
        <f t="shared" si="5"/>
        <v>364</v>
      </c>
      <c r="J8" s="32">
        <f t="shared" si="5"/>
        <v>365</v>
      </c>
      <c r="K8" s="32">
        <f t="shared" si="5"/>
        <v>364</v>
      </c>
      <c r="L8" s="32">
        <f t="shared" si="5"/>
        <v>364</v>
      </c>
      <c r="M8" s="32">
        <f t="shared" si="5"/>
        <v>364</v>
      </c>
      <c r="N8" s="105"/>
    </row>
    <row r="9" spans="1:23" x14ac:dyDescent="0.25">
      <c r="N9" s="95"/>
    </row>
    <row r="10" spans="1:23" x14ac:dyDescent="0.25">
      <c r="B10" s="11" t="s">
        <v>42</v>
      </c>
      <c r="G10" s="11" t="s">
        <v>41</v>
      </c>
      <c r="N10" s="95"/>
    </row>
    <row r="11" spans="1:23" x14ac:dyDescent="0.25">
      <c r="N11" s="95"/>
    </row>
    <row r="12" spans="1:23" x14ac:dyDescent="0.25">
      <c r="B12" s="14" t="s">
        <v>32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95"/>
    </row>
    <row r="13" spans="1:23" x14ac:dyDescent="0.25">
      <c r="N13" s="95"/>
      <c r="P13" s="12"/>
    </row>
    <row r="14" spans="1:23" x14ac:dyDescent="0.25">
      <c r="B14" s="12" t="s">
        <v>111</v>
      </c>
      <c r="N14" s="95"/>
    </row>
    <row r="15" spans="1:23" x14ac:dyDescent="0.25">
      <c r="B15" s="12" t="s">
        <v>110</v>
      </c>
      <c r="N15" s="95"/>
      <c r="V15" s="38"/>
      <c r="W15" s="35"/>
    </row>
    <row r="16" spans="1:23" x14ac:dyDescent="0.25">
      <c r="B16" s="11" t="s">
        <v>75</v>
      </c>
      <c r="H16" s="37">
        <f>'Historical data'!H46</f>
        <v>32163428</v>
      </c>
      <c r="I16" s="37">
        <f>'Historical data'!I46</f>
        <v>100124789</v>
      </c>
      <c r="J16" s="37">
        <f>SOCF!J37</f>
        <v>31108530.914767116</v>
      </c>
      <c r="K16" s="71">
        <f>SOCF!K37</f>
        <v>-100215538.55093417</v>
      </c>
      <c r="L16" s="71">
        <f>SOCF!L37</f>
        <v>-320561208.85732377</v>
      </c>
      <c r="M16" s="71">
        <f>SOCF!M37</f>
        <v>-697729583.73978186</v>
      </c>
      <c r="N16" s="95"/>
      <c r="V16" s="38"/>
      <c r="W16" s="35"/>
    </row>
    <row r="17" spans="2:23" x14ac:dyDescent="0.25">
      <c r="B17" s="11" t="s">
        <v>74</v>
      </c>
      <c r="H17" s="37">
        <f>'Historical data'!H45</f>
        <v>119325516</v>
      </c>
      <c r="I17" s="37">
        <f>'Historical data'!I45</f>
        <v>151156115</v>
      </c>
      <c r="J17" s="37">
        <f>(SOPL!J13*'Financial analysis'!J12)/'Financial analysis'!J7</f>
        <v>313169355.55078274</v>
      </c>
      <c r="K17" s="37">
        <f>'Assumptions and drivers'!K30</f>
        <v>547551349.21713781</v>
      </c>
      <c r="L17" s="37">
        <f>'Assumptions and drivers'!L30</f>
        <v>954726478.42182994</v>
      </c>
      <c r="M17" s="37">
        <f>'Assumptions and drivers'!M30</f>
        <v>1664688891.5587015</v>
      </c>
      <c r="N17" s="95"/>
      <c r="P17" s="12"/>
      <c r="Q17" s="12"/>
      <c r="R17" s="12"/>
      <c r="S17" s="12"/>
      <c r="T17" s="12"/>
      <c r="U17" s="12"/>
      <c r="V17" s="39"/>
      <c r="W17" s="40"/>
    </row>
    <row r="18" spans="2:23" x14ac:dyDescent="0.25">
      <c r="B18" s="11" t="s">
        <v>73</v>
      </c>
      <c r="C18" s="12"/>
      <c r="H18" s="37">
        <f>'Historical data'!H44</f>
        <v>29760594</v>
      </c>
      <c r="I18" s="37">
        <f>'Historical data'!I44</f>
        <v>112276641</v>
      </c>
      <c r="J18" s="37">
        <f>'Assumptions and drivers'!J31</f>
        <v>144828232.71646219</v>
      </c>
      <c r="K18" s="37">
        <f>'Assumptions and drivers'!K31</f>
        <v>253220479.02536008</v>
      </c>
      <c r="L18" s="37">
        <f>'Assumptions and drivers'!L31</f>
        <v>441522601.57850426</v>
      </c>
      <c r="M18" s="37">
        <f>'Assumptions and drivers'!M31</f>
        <v>769851666.24349988</v>
      </c>
      <c r="N18" s="95"/>
      <c r="P18" s="12"/>
      <c r="V18" s="38"/>
      <c r="W18" s="35"/>
    </row>
    <row r="19" spans="2:23" x14ac:dyDescent="0.25">
      <c r="B19" s="11" t="s">
        <v>124</v>
      </c>
      <c r="E19" s="12"/>
      <c r="H19" s="37">
        <f xml:space="preserve"> SUM('Historical data'!H47)</f>
        <v>95420170</v>
      </c>
      <c r="I19" s="37">
        <f xml:space="preserve"> SUM('Historical data'!I47)</f>
        <v>348860131</v>
      </c>
      <c r="J19" s="37">
        <f>'Assumptions and drivers'!J32</f>
        <v>348860131</v>
      </c>
      <c r="K19" s="37">
        <f>'Assumptions and drivers'!K32</f>
        <v>348860131</v>
      </c>
      <c r="L19" s="37">
        <f>'Assumptions and drivers'!L32</f>
        <v>348860131</v>
      </c>
      <c r="M19" s="37">
        <f>'Assumptions and drivers'!M32</f>
        <v>348860131</v>
      </c>
      <c r="N19" s="95"/>
      <c r="V19" s="38"/>
      <c r="W19" s="35"/>
    </row>
    <row r="20" spans="2:23" x14ac:dyDescent="0.25">
      <c r="B20" s="12" t="s">
        <v>77</v>
      </c>
      <c r="H20" s="53">
        <f>SUM(H16:H19)</f>
        <v>276669708</v>
      </c>
      <c r="I20" s="53">
        <f>SUM(I16:I19)</f>
        <v>712417676</v>
      </c>
      <c r="J20" s="53">
        <f>SUM(J16:J19)</f>
        <v>837966250.18201208</v>
      </c>
      <c r="K20" s="53">
        <f t="shared" ref="K20:M20" si="6">SUM(K16:K19)</f>
        <v>1049416420.6915637</v>
      </c>
      <c r="L20" s="53">
        <f t="shared" si="6"/>
        <v>1424548002.1430104</v>
      </c>
      <c r="M20" s="53">
        <f t="shared" si="6"/>
        <v>2085671105.0624194</v>
      </c>
      <c r="N20" s="95"/>
      <c r="V20" s="38"/>
      <c r="W20" s="35"/>
    </row>
    <row r="21" spans="2:23" x14ac:dyDescent="0.25">
      <c r="N21" s="95"/>
      <c r="V21" s="38"/>
      <c r="W21" s="35"/>
    </row>
    <row r="22" spans="2:23" x14ac:dyDescent="0.25">
      <c r="B22" s="12" t="s">
        <v>67</v>
      </c>
      <c r="N22" s="95"/>
      <c r="V22" s="38"/>
      <c r="W22" s="35"/>
    </row>
    <row r="23" spans="2:23" x14ac:dyDescent="0.25">
      <c r="B23" s="11" t="s">
        <v>68</v>
      </c>
      <c r="H23" s="37">
        <f>'Historical data'!H39</f>
        <v>330523752</v>
      </c>
      <c r="I23" s="37">
        <f>'Historical data'!I39</f>
        <v>357991862</v>
      </c>
      <c r="J23" s="37">
        <f>'Assumptions and drivers'!J35</f>
        <v>364824266.33283627</v>
      </c>
      <c r="K23" s="37">
        <f>'Assumptions and drivers'!K35</f>
        <v>371787069.57671636</v>
      </c>
      <c r="L23" s="37">
        <f>'Assumptions and drivers'!L35</f>
        <v>378882760.44208151</v>
      </c>
      <c r="M23" s="37">
        <f>'Assumptions and drivers'!M35</f>
        <v>386113875.13731289</v>
      </c>
      <c r="N23" s="95"/>
      <c r="V23" s="38"/>
      <c r="W23" s="35"/>
    </row>
    <row r="24" spans="2:23" x14ac:dyDescent="0.25">
      <c r="B24" s="11" t="s">
        <v>69</v>
      </c>
      <c r="H24" s="37">
        <f>'Historical data'!H40</f>
        <v>31165</v>
      </c>
      <c r="I24" s="37">
        <f>'Historical data'!I40</f>
        <v>30324</v>
      </c>
      <c r="J24" s="37">
        <f>'Assumptions and drivers'!J36</f>
        <v>30324</v>
      </c>
      <c r="K24" s="37">
        <f>'Assumptions and drivers'!K36</f>
        <v>30324</v>
      </c>
      <c r="L24" s="37">
        <f>'Assumptions and drivers'!L36</f>
        <v>30324</v>
      </c>
      <c r="M24" s="37">
        <f>'Assumptions and drivers'!M36</f>
        <v>30324</v>
      </c>
      <c r="N24" s="95"/>
      <c r="P24" s="55"/>
      <c r="Q24" s="55"/>
      <c r="R24" s="55"/>
      <c r="S24" s="55"/>
      <c r="T24" s="55"/>
      <c r="U24" s="55"/>
      <c r="V24" s="56"/>
      <c r="W24" s="57"/>
    </row>
    <row r="25" spans="2:23" x14ac:dyDescent="0.25">
      <c r="B25" s="11" t="s">
        <v>123</v>
      </c>
      <c r="H25" s="37" t="str">
        <f>'Historical data'!H41</f>
        <v>-</v>
      </c>
      <c r="I25" s="37" t="str">
        <f>'Historical data'!I41</f>
        <v>-</v>
      </c>
      <c r="J25" s="11" t="s">
        <v>60</v>
      </c>
      <c r="K25" s="11" t="s">
        <v>60</v>
      </c>
      <c r="L25" s="11" t="s">
        <v>60</v>
      </c>
      <c r="M25" s="11" t="s">
        <v>60</v>
      </c>
      <c r="N25" s="95"/>
      <c r="P25" s="12"/>
      <c r="V25" s="38"/>
      <c r="W25" s="35"/>
    </row>
    <row r="26" spans="2:23" x14ac:dyDescent="0.25">
      <c r="B26" s="42" t="s">
        <v>71</v>
      </c>
      <c r="C26" s="47"/>
      <c r="D26" s="47"/>
      <c r="E26" s="47"/>
      <c r="F26" s="47"/>
      <c r="G26" s="47"/>
      <c r="H26" s="54">
        <f>SUM(H23:H25)</f>
        <v>330554917</v>
      </c>
      <c r="I26" s="54">
        <f>SUM(I23:I25)</f>
        <v>358022186</v>
      </c>
      <c r="J26" s="54">
        <f>J24+J23</f>
        <v>364854590.33283627</v>
      </c>
      <c r="K26" s="54">
        <f t="shared" ref="K26:M26" si="7">K24+K23</f>
        <v>371817393.57671636</v>
      </c>
      <c r="L26" s="54">
        <f t="shared" si="7"/>
        <v>378913084.44208151</v>
      </c>
      <c r="M26" s="54">
        <f t="shared" si="7"/>
        <v>386144199.13731289</v>
      </c>
      <c r="N26" s="95"/>
      <c r="V26" s="38"/>
      <c r="W26" s="35"/>
    </row>
    <row r="27" spans="2:23" ht="16.5" thickBot="1" x14ac:dyDescent="0.3">
      <c r="B27" s="93" t="s">
        <v>78</v>
      </c>
      <c r="C27" s="91"/>
      <c r="D27" s="91"/>
      <c r="E27" s="91"/>
      <c r="F27" s="91"/>
      <c r="G27" s="91"/>
      <c r="H27" s="92">
        <f>SUM(H20+H26)</f>
        <v>607224625</v>
      </c>
      <c r="I27" s="92">
        <f>SUM(I20+I26)</f>
        <v>1070439862</v>
      </c>
      <c r="J27" s="92">
        <f>SUM(J20:J24)</f>
        <v>1202820840.5148482</v>
      </c>
      <c r="K27" s="92">
        <f t="shared" ref="K27:M27" si="8">SUM(K20:K24)</f>
        <v>1421233814.26828</v>
      </c>
      <c r="L27" s="92">
        <f t="shared" si="8"/>
        <v>1803461086.5850918</v>
      </c>
      <c r="M27" s="92">
        <f t="shared" si="8"/>
        <v>2471815304.1997323</v>
      </c>
      <c r="N27" s="95"/>
      <c r="V27" s="38"/>
      <c r="W27" s="35"/>
    </row>
    <row r="28" spans="2:23" ht="16.5" thickTop="1" x14ac:dyDescent="0.25">
      <c r="B28" s="12"/>
      <c r="N28" s="95"/>
      <c r="V28" s="38"/>
      <c r="W28" s="35"/>
    </row>
    <row r="29" spans="2:23" x14ac:dyDescent="0.25">
      <c r="B29" s="12" t="s">
        <v>92</v>
      </c>
      <c r="N29" s="95"/>
      <c r="P29" s="12"/>
      <c r="V29" s="39"/>
      <c r="W29" s="40"/>
    </row>
    <row r="30" spans="2:23" x14ac:dyDescent="0.25">
      <c r="B30" s="11" t="s">
        <v>87</v>
      </c>
      <c r="H30" s="37">
        <f>'Historical data'!H68</f>
        <v>208195755</v>
      </c>
      <c r="I30" s="37">
        <f>'Historical data'!I68</f>
        <v>649699556</v>
      </c>
      <c r="J30" s="37">
        <f>'Assumptions and drivers'!J40</f>
        <v>649699556</v>
      </c>
      <c r="K30" s="37">
        <f>'Assumptions and drivers'!K40</f>
        <v>649699556</v>
      </c>
      <c r="L30" s="37">
        <f>'Assumptions and drivers'!L40</f>
        <v>649699556</v>
      </c>
      <c r="M30" s="37">
        <f>'Assumptions and drivers'!M40</f>
        <v>649699556</v>
      </c>
      <c r="N30" s="95"/>
      <c r="P30" s="12"/>
      <c r="V30" s="39"/>
      <c r="W30" s="40"/>
    </row>
    <row r="31" spans="2:23" x14ac:dyDescent="0.25">
      <c r="B31" s="11" t="s">
        <v>95</v>
      </c>
      <c r="H31" s="37">
        <f>'Historical data'!H67</f>
        <v>4490873</v>
      </c>
      <c r="I31" s="37">
        <f>'Historical data'!I67</f>
        <v>573175</v>
      </c>
      <c r="J31" s="37">
        <f>'Assumptions and drivers'!J41</f>
        <v>573175</v>
      </c>
      <c r="K31" s="37">
        <f>'Assumptions and drivers'!K41</f>
        <v>573175</v>
      </c>
      <c r="L31" s="37">
        <f>'Assumptions and drivers'!L41</f>
        <v>573175</v>
      </c>
      <c r="M31" s="37">
        <f>'Assumptions and drivers'!M41</f>
        <v>573175</v>
      </c>
      <c r="N31" s="95"/>
      <c r="P31" s="12"/>
      <c r="V31" s="38"/>
      <c r="W31" s="35"/>
    </row>
    <row r="32" spans="2:23" x14ac:dyDescent="0.25">
      <c r="B32" s="11" t="s">
        <v>97</v>
      </c>
      <c r="H32" s="37">
        <f>'Historical data'!H70</f>
        <v>38325101</v>
      </c>
      <c r="I32" s="37">
        <f>'Historical data'!I70</f>
        <v>49475977</v>
      </c>
      <c r="J32" s="37">
        <f>'Assumptions and drivers'!J42</f>
        <v>101030682.73920397</v>
      </c>
      <c r="K32" s="37">
        <f>'Assumptions and drivers'!K42</f>
        <v>176643996.82046562</v>
      </c>
      <c r="L32" s="37">
        <f>'Assumptions and drivers'!L42</f>
        <v>308001617.12665468</v>
      </c>
      <c r="M32" s="37">
        <f>'Assumptions and drivers'!M42</f>
        <v>537040589.32187545</v>
      </c>
      <c r="N32" s="95"/>
      <c r="P32" s="12"/>
      <c r="Q32" s="12"/>
      <c r="V32" s="38"/>
      <c r="W32" s="35"/>
    </row>
    <row r="33" spans="2:23" x14ac:dyDescent="0.25">
      <c r="B33" s="11" t="s">
        <v>94</v>
      </c>
      <c r="H33" s="37">
        <f>'Historical data'!H65</f>
        <v>8323257</v>
      </c>
      <c r="I33" s="37">
        <f>'Historical data'!I65</f>
        <v>15819889</v>
      </c>
      <c r="J33" s="37">
        <f>'Assumptions and drivers'!J43</f>
        <v>15819889</v>
      </c>
      <c r="K33" s="37">
        <f>'Assumptions and drivers'!K43</f>
        <v>15819889</v>
      </c>
      <c r="L33" s="37">
        <f>'Assumptions and drivers'!L43</f>
        <v>15819889</v>
      </c>
      <c r="M33" s="37">
        <f>'Assumptions and drivers'!M43</f>
        <v>15819889</v>
      </c>
      <c r="N33" s="95"/>
      <c r="V33" s="38"/>
      <c r="W33" s="35"/>
    </row>
    <row r="34" spans="2:23" x14ac:dyDescent="0.25">
      <c r="B34" s="11" t="s">
        <v>112</v>
      </c>
      <c r="H34" s="37">
        <f>SUM('Historical data'!H64,'Historical data'!H66,'Historical data'!H67,'Historical data'!H69,'Historical data'!H71,-H31)</f>
        <v>47193036</v>
      </c>
      <c r="I34" s="37">
        <f>SUM('Historical data'!I64,'Historical data'!I66,'Historical data'!I67,'Historical data'!I69,'Historical data'!I71,-I31)</f>
        <v>69025538</v>
      </c>
      <c r="J34" s="37">
        <f>'Assumptions and drivers'!J44</f>
        <v>69025538</v>
      </c>
      <c r="K34" s="37">
        <f>'Assumptions and drivers'!K44</f>
        <v>69025538</v>
      </c>
      <c r="L34" s="37">
        <f>'Assumptions and drivers'!L44</f>
        <v>69025538</v>
      </c>
      <c r="M34" s="37">
        <f>'Assumptions and drivers'!M44</f>
        <v>69025538</v>
      </c>
      <c r="N34" s="95"/>
      <c r="V34" s="38"/>
      <c r="W34" s="35"/>
    </row>
    <row r="35" spans="2:23" x14ac:dyDescent="0.25">
      <c r="B35" s="42" t="s">
        <v>98</v>
      </c>
      <c r="C35" s="47"/>
      <c r="D35" s="47"/>
      <c r="E35" s="47"/>
      <c r="F35" s="47"/>
      <c r="G35" s="47"/>
      <c r="H35" s="54">
        <f>SUM(H30:H34)</f>
        <v>306528022</v>
      </c>
      <c r="I35" s="54">
        <f>SUM(I30:I34)</f>
        <v>784594135</v>
      </c>
      <c r="J35" s="54">
        <f>SUM(J30:J34)</f>
        <v>836148840.73920393</v>
      </c>
      <c r="K35" s="54">
        <f t="shared" ref="K35:M35" si="9">SUM(K30:K34)</f>
        <v>911762154.82046556</v>
      </c>
      <c r="L35" s="54">
        <f t="shared" si="9"/>
        <v>1043119775.1266546</v>
      </c>
      <c r="M35" s="54">
        <f t="shared" si="9"/>
        <v>1272158747.3218756</v>
      </c>
      <c r="N35" s="95"/>
      <c r="V35" s="38"/>
      <c r="W35" s="35"/>
    </row>
    <row r="36" spans="2:23" x14ac:dyDescent="0.25">
      <c r="C36" s="12"/>
      <c r="N36" s="95"/>
      <c r="V36" s="38"/>
      <c r="W36" s="35"/>
    </row>
    <row r="37" spans="2:23" x14ac:dyDescent="0.25">
      <c r="B37" s="12" t="s">
        <v>85</v>
      </c>
      <c r="N37" s="95"/>
      <c r="V37" s="38"/>
      <c r="W37" s="35"/>
    </row>
    <row r="38" spans="2:23" x14ac:dyDescent="0.25">
      <c r="B38" s="11" t="s">
        <v>87</v>
      </c>
      <c r="H38" s="37">
        <f>'Historical data'!H58</f>
        <v>3475257</v>
      </c>
      <c r="I38" s="37">
        <f>'Historical data'!I58</f>
        <v>1377286</v>
      </c>
      <c r="J38" s="37">
        <f>'Assumptions and drivers'!J47</f>
        <v>1377286</v>
      </c>
      <c r="K38" s="37">
        <f>'Assumptions and drivers'!K47</f>
        <v>1377286</v>
      </c>
      <c r="L38" s="37">
        <f>'Assumptions and drivers'!L47</f>
        <v>1377286</v>
      </c>
      <c r="M38" s="37">
        <f>'Assumptions and drivers'!M47</f>
        <v>1377286</v>
      </c>
      <c r="N38" s="95"/>
      <c r="P38" s="12"/>
      <c r="Q38" s="12"/>
      <c r="R38" s="12"/>
      <c r="S38" s="12"/>
      <c r="T38" s="12"/>
      <c r="U38" s="12"/>
      <c r="V38" s="39"/>
      <c r="W38" s="40"/>
    </row>
    <row r="39" spans="2:23" x14ac:dyDescent="0.25">
      <c r="B39" s="11" t="s">
        <v>86</v>
      </c>
      <c r="H39" s="37">
        <f>'Historical data'!H57</f>
        <v>33776943</v>
      </c>
      <c r="I39" s="37">
        <f>'Historical data'!I57</f>
        <v>22306746</v>
      </c>
      <c r="J39" s="37">
        <f>'Assumptions and drivers'!J48</f>
        <v>22306746</v>
      </c>
      <c r="K39" s="37">
        <f>'Assumptions and drivers'!K48</f>
        <v>22306746</v>
      </c>
      <c r="L39" s="37">
        <f>'Assumptions and drivers'!L48</f>
        <v>22306746</v>
      </c>
      <c r="M39" s="37">
        <f>'Assumptions and drivers'!M48</f>
        <v>22306746</v>
      </c>
      <c r="N39" s="95"/>
      <c r="P39" s="12"/>
      <c r="V39" s="38"/>
      <c r="W39" s="35"/>
    </row>
    <row r="40" spans="2:23" x14ac:dyDescent="0.25">
      <c r="B40" s="11" t="s">
        <v>113</v>
      </c>
      <c r="H40" s="37">
        <f xml:space="preserve"> SUM('Historical data'!H61,'Historical data'!H60,'Historical data'!H59)</f>
        <v>32483066</v>
      </c>
      <c r="I40" s="37">
        <f xml:space="preserve"> SUM('Historical data'!I61,'Historical data'!I60,'Historical data'!I59)</f>
        <v>102861</v>
      </c>
      <c r="J40" s="37">
        <f>'Assumptions and drivers'!J49</f>
        <v>102861</v>
      </c>
      <c r="K40" s="37">
        <f>'Assumptions and drivers'!K49</f>
        <v>102861</v>
      </c>
      <c r="L40" s="37">
        <f>'Assumptions and drivers'!L49</f>
        <v>102861</v>
      </c>
      <c r="M40" s="37">
        <f>'Assumptions and drivers'!M49</f>
        <v>102861</v>
      </c>
      <c r="N40" s="95"/>
      <c r="V40" s="38"/>
      <c r="W40" s="35"/>
    </row>
    <row r="41" spans="2:23" x14ac:dyDescent="0.25">
      <c r="B41" s="45" t="s">
        <v>91</v>
      </c>
      <c r="C41" s="46"/>
      <c r="D41" s="46"/>
      <c r="E41" s="46"/>
      <c r="F41" s="46"/>
      <c r="G41" s="46"/>
      <c r="H41" s="52">
        <f>SUM(H38:H40)</f>
        <v>69735266</v>
      </c>
      <c r="I41" s="52">
        <f>SUM(I38:I40)</f>
        <v>23786893</v>
      </c>
      <c r="J41" s="52">
        <f>J40+J39+J38</f>
        <v>23786893</v>
      </c>
      <c r="K41" s="52">
        <f t="shared" ref="K41:M41" si="10">K40+K39+K38</f>
        <v>23786893</v>
      </c>
      <c r="L41" s="52">
        <f t="shared" si="10"/>
        <v>23786893</v>
      </c>
      <c r="M41" s="52">
        <f t="shared" si="10"/>
        <v>23786893</v>
      </c>
      <c r="N41" s="95"/>
      <c r="V41" s="38"/>
      <c r="W41" s="35"/>
    </row>
    <row r="42" spans="2:23" x14ac:dyDescent="0.25">
      <c r="B42" s="42" t="s">
        <v>99</v>
      </c>
      <c r="C42" s="42"/>
      <c r="D42" s="47"/>
      <c r="E42" s="47"/>
      <c r="F42" s="47"/>
      <c r="G42" s="47"/>
      <c r="H42" s="54">
        <f>SUM(H35,H41)</f>
        <v>376263288</v>
      </c>
      <c r="I42" s="54">
        <f>SUM(I35,I41)</f>
        <v>808381028</v>
      </c>
      <c r="J42" s="54">
        <f>J41+J35</f>
        <v>859935733.73920393</v>
      </c>
      <c r="K42" s="54">
        <f t="shared" ref="K42:M42" si="11">K41+K35</f>
        <v>935549047.82046556</v>
      </c>
      <c r="L42" s="54">
        <f t="shared" si="11"/>
        <v>1066906668.1266546</v>
      </c>
      <c r="M42" s="54">
        <f t="shared" si="11"/>
        <v>1295945640.3218756</v>
      </c>
      <c r="N42" s="95"/>
      <c r="V42" s="38"/>
      <c r="W42" s="35"/>
    </row>
    <row r="43" spans="2:23" x14ac:dyDescent="0.25">
      <c r="N43" s="95"/>
      <c r="V43" s="38"/>
      <c r="W43" s="35"/>
    </row>
    <row r="44" spans="2:23" x14ac:dyDescent="0.25">
      <c r="B44" s="12" t="s">
        <v>79</v>
      </c>
      <c r="N44" s="95"/>
      <c r="V44" s="38"/>
      <c r="W44" s="35"/>
    </row>
    <row r="45" spans="2:23" x14ac:dyDescent="0.25">
      <c r="B45" s="11" t="s">
        <v>80</v>
      </c>
      <c r="H45" s="37">
        <f>'Historical data'!H51</f>
        <v>9000000</v>
      </c>
      <c r="I45" s="37">
        <f>'Historical data'!I51</f>
        <v>9000000</v>
      </c>
      <c r="J45" s="37">
        <f>'Assumptions and drivers'!J52</f>
        <v>9000000</v>
      </c>
      <c r="K45" s="37">
        <f>'Assumptions and drivers'!K52</f>
        <v>9000000</v>
      </c>
      <c r="L45" s="37">
        <f>'Assumptions and drivers'!L52</f>
        <v>9000000</v>
      </c>
      <c r="M45" s="37">
        <f>'Assumptions and drivers'!M52</f>
        <v>9000000</v>
      </c>
      <c r="N45" s="95"/>
      <c r="V45" s="38"/>
      <c r="W45" s="35"/>
    </row>
    <row r="46" spans="2:23" x14ac:dyDescent="0.25">
      <c r="B46" s="11" t="s">
        <v>81</v>
      </c>
      <c r="H46" s="37">
        <f>'Historical data'!H52</f>
        <v>-943228</v>
      </c>
      <c r="I46" s="37">
        <f>'Historical data'!I52</f>
        <v>-943228</v>
      </c>
      <c r="J46" s="37">
        <f>'Assumptions and drivers'!J53</f>
        <v>-943228</v>
      </c>
      <c r="K46" s="37">
        <f>'Assumptions and drivers'!K53</f>
        <v>-943228</v>
      </c>
      <c r="L46" s="37">
        <f>'Assumptions and drivers'!L53</f>
        <v>-943228</v>
      </c>
      <c r="M46" s="37">
        <f>'Assumptions and drivers'!M53</f>
        <v>-943228</v>
      </c>
      <c r="N46" s="95"/>
      <c r="V46" s="38"/>
      <c r="W46" s="35"/>
    </row>
    <row r="47" spans="2:23" x14ac:dyDescent="0.25">
      <c r="B47" s="11" t="s">
        <v>82</v>
      </c>
      <c r="H47" s="37">
        <f>'Historical data'!H53</f>
        <v>222904565</v>
      </c>
      <c r="I47" s="37">
        <f>'Historical data'!I53</f>
        <v>254002062</v>
      </c>
      <c r="J47" s="37">
        <f>'Assumptions and drivers'!J72</f>
        <v>334828334.7756443</v>
      </c>
      <c r="K47" s="37">
        <f>'Assumptions and drivers'!K54</f>
        <v>477627994.44781446</v>
      </c>
      <c r="L47" s="37">
        <f>'Assumptions and drivers'!L54</f>
        <v>728497646.4584372</v>
      </c>
      <c r="M47" s="37">
        <f>'Assumptions and drivers'!M54</f>
        <v>1167812891.8778567</v>
      </c>
      <c r="N47" s="95"/>
      <c r="V47" s="38"/>
      <c r="W47" s="35"/>
    </row>
    <row r="48" spans="2:23" x14ac:dyDescent="0.25">
      <c r="B48" s="12" t="s">
        <v>83</v>
      </c>
      <c r="H48" s="53">
        <f xml:space="preserve"> SUM(H45:H47)</f>
        <v>230961337</v>
      </c>
      <c r="I48" s="53">
        <f xml:space="preserve"> SUM(I45:I47)</f>
        <v>262058834</v>
      </c>
      <c r="J48" s="53">
        <f>J45+J46+J47</f>
        <v>342885106.7756443</v>
      </c>
      <c r="K48" s="53">
        <f t="shared" ref="K48:M48" si="12">K45+K46+K47</f>
        <v>485684766.44781446</v>
      </c>
      <c r="L48" s="53">
        <f t="shared" si="12"/>
        <v>736554418.4584372</v>
      </c>
      <c r="M48" s="53">
        <f t="shared" si="12"/>
        <v>1175869663.8778567</v>
      </c>
      <c r="N48" s="95"/>
      <c r="P48" s="12"/>
      <c r="Q48" s="12"/>
      <c r="R48" s="12"/>
      <c r="S48" s="12"/>
      <c r="T48" s="12"/>
      <c r="U48" s="12"/>
      <c r="V48" s="39"/>
      <c r="W48" s="40"/>
    </row>
    <row r="49" spans="2:23" ht="16.5" thickBot="1" x14ac:dyDescent="0.3">
      <c r="B49" s="90" t="s">
        <v>100</v>
      </c>
      <c r="C49" s="90"/>
      <c r="D49" s="90"/>
      <c r="E49" s="91"/>
      <c r="F49" s="91"/>
      <c r="G49" s="91"/>
      <c r="H49" s="92">
        <f xml:space="preserve"> SUM(H42,H48)</f>
        <v>607224625</v>
      </c>
      <c r="I49" s="92">
        <f xml:space="preserve"> SUM(I42,I48)</f>
        <v>1070439862</v>
      </c>
      <c r="J49" s="92">
        <f>J48+J42</f>
        <v>1202820840.5148482</v>
      </c>
      <c r="K49" s="92">
        <f t="shared" ref="K49:M49" si="13">K48+K42</f>
        <v>1421233814.26828</v>
      </c>
      <c r="L49" s="92">
        <f t="shared" si="13"/>
        <v>1803461086.5850918</v>
      </c>
      <c r="M49" s="92">
        <f t="shared" si="13"/>
        <v>2471815304.1997323</v>
      </c>
      <c r="N49" s="95"/>
      <c r="P49" s="12"/>
      <c r="Q49" s="12"/>
      <c r="R49" s="12"/>
      <c r="S49" s="12"/>
      <c r="T49" s="12"/>
      <c r="U49" s="12"/>
      <c r="V49" s="39"/>
      <c r="W49" s="40"/>
    </row>
    <row r="50" spans="2:23" ht="16.5" thickTop="1" x14ac:dyDescent="0.25">
      <c r="P50" s="55"/>
      <c r="Q50" s="55"/>
      <c r="R50" s="55"/>
      <c r="S50" s="55"/>
      <c r="T50" s="55"/>
      <c r="U50" s="55"/>
      <c r="V50" s="56"/>
      <c r="W50" s="57"/>
    </row>
  </sheetData>
  <conditionalFormatting sqref="B2:M3 B1:I1 B4:I59">
    <cfRule type="containsText" dxfId="2" priority="2" operator="containsText" text="good">
      <formula>NOT(ISERROR(SEARCH("good",B1)))</formula>
    </cfRule>
  </conditionalFormatting>
  <conditionalFormatting sqref="H3:M3">
    <cfRule type="containsText" dxfId="1" priority="1" operator="containsText" text="error">
      <formula>NOT(ISERROR(SEARCH("error",H3)))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AC067-ACB4-434A-9B43-3623840E5EFA}">
  <dimension ref="A1:W43"/>
  <sheetViews>
    <sheetView showGridLines="0" workbookViewId="0">
      <pane xSplit="1" ySplit="9" topLeftCell="F10" activePane="bottomRight" state="frozen"/>
      <selection activeCell="G4" sqref="G4:M5"/>
      <selection pane="topRight" activeCell="G4" sqref="G4:M5"/>
      <selection pane="bottomLeft" activeCell="G4" sqref="G4:M5"/>
      <selection pane="bottomRight" activeCell="H19" sqref="H19"/>
    </sheetView>
  </sheetViews>
  <sheetFormatPr defaultRowHeight="15.75" x14ac:dyDescent="0.25"/>
  <cols>
    <col min="1" max="1" width="4" style="11" customWidth="1"/>
    <col min="2" max="6" width="9.140625" style="11"/>
    <col min="7" max="7" width="11" style="11" customWidth="1"/>
    <col min="8" max="8" width="14.42578125" style="11" customWidth="1"/>
    <col min="9" max="9" width="15.28515625" style="11" customWidth="1"/>
    <col min="10" max="10" width="15.42578125" style="11" customWidth="1"/>
    <col min="11" max="11" width="16.140625" style="11" customWidth="1"/>
    <col min="12" max="12" width="16" style="11" customWidth="1"/>
    <col min="13" max="13" width="16.7109375" style="11" customWidth="1"/>
    <col min="14" max="21" width="9.140625" style="11"/>
    <col min="22" max="22" width="15.42578125" style="11" customWidth="1"/>
    <col min="23" max="23" width="18" style="11" customWidth="1"/>
    <col min="24" max="16384" width="9.140625" style="11"/>
  </cols>
  <sheetData>
    <row r="1" spans="1:23" x14ac:dyDescent="0.25">
      <c r="A1" s="11" t="s">
        <v>1</v>
      </c>
    </row>
    <row r="3" spans="1:23" x14ac:dyDescent="0.25">
      <c r="A3" s="8"/>
      <c r="B3" s="9" t="s">
        <v>3</v>
      </c>
      <c r="C3" s="9"/>
      <c r="D3" s="9"/>
      <c r="E3" s="26"/>
      <c r="F3" s="8"/>
      <c r="G3" s="8"/>
      <c r="H3" s="8"/>
      <c r="I3" s="8"/>
      <c r="J3" s="29"/>
      <c r="K3" s="29"/>
      <c r="L3" s="29"/>
      <c r="M3" s="29"/>
      <c r="N3" s="95"/>
    </row>
    <row r="4" spans="1:23" x14ac:dyDescent="0.25">
      <c r="A4" s="8"/>
      <c r="B4" s="25" t="s">
        <v>40</v>
      </c>
      <c r="C4" s="25"/>
      <c r="D4" s="25"/>
      <c r="E4" s="8"/>
      <c r="F4" s="8"/>
      <c r="G4" s="27"/>
      <c r="H4" s="27">
        <f t="shared" ref="H4:M4" si="0">G5+1</f>
        <v>44562</v>
      </c>
      <c r="I4" s="27">
        <f t="shared" si="0"/>
        <v>44927</v>
      </c>
      <c r="J4" s="30">
        <f t="shared" si="0"/>
        <v>45292</v>
      </c>
      <c r="K4" s="30">
        <f t="shared" si="0"/>
        <v>45658</v>
      </c>
      <c r="L4" s="30">
        <f t="shared" si="0"/>
        <v>46023</v>
      </c>
      <c r="M4" s="30">
        <f t="shared" si="0"/>
        <v>46388</v>
      </c>
      <c r="N4" s="105"/>
    </row>
    <row r="5" spans="1:23" x14ac:dyDescent="0.25">
      <c r="A5" s="8"/>
      <c r="B5" s="25" t="s">
        <v>37</v>
      </c>
      <c r="C5" s="25"/>
      <c r="D5" s="25"/>
      <c r="E5" s="8"/>
      <c r="F5" s="8"/>
      <c r="G5" s="27">
        <f>EDATE('Model guide'!J22,-12)</f>
        <v>44561</v>
      </c>
      <c r="H5" s="27">
        <f t="shared" ref="H5:M5" si="1">EOMONTH(H4, 11)</f>
        <v>44926</v>
      </c>
      <c r="I5" s="27">
        <f t="shared" si="1"/>
        <v>45291</v>
      </c>
      <c r="J5" s="30">
        <f t="shared" si="1"/>
        <v>45657</v>
      </c>
      <c r="K5" s="30">
        <f t="shared" si="1"/>
        <v>46022</v>
      </c>
      <c r="L5" s="30">
        <f t="shared" si="1"/>
        <v>46387</v>
      </c>
      <c r="M5" s="30">
        <f t="shared" si="1"/>
        <v>46752</v>
      </c>
      <c r="N5" s="105"/>
    </row>
    <row r="6" spans="1:23" x14ac:dyDescent="0.25">
      <c r="A6" s="8"/>
      <c r="B6" s="25" t="s">
        <v>39</v>
      </c>
      <c r="C6" s="25"/>
      <c r="D6" s="25"/>
      <c r="E6" s="8"/>
      <c r="F6" s="8"/>
      <c r="G6" s="25"/>
      <c r="H6" s="28">
        <f t="shared" ref="H6:M6" si="2">YEAR(H4)</f>
        <v>2022</v>
      </c>
      <c r="I6" s="28">
        <f t="shared" si="2"/>
        <v>2023</v>
      </c>
      <c r="J6" s="31">
        <f t="shared" si="2"/>
        <v>2024</v>
      </c>
      <c r="K6" s="31">
        <f t="shared" si="2"/>
        <v>2025</v>
      </c>
      <c r="L6" s="31">
        <f t="shared" si="2"/>
        <v>2026</v>
      </c>
      <c r="M6" s="31">
        <f t="shared" si="2"/>
        <v>2027</v>
      </c>
      <c r="N6" s="105"/>
    </row>
    <row r="7" spans="1:23" x14ac:dyDescent="0.25">
      <c r="A7" s="8"/>
      <c r="B7" s="25" t="s">
        <v>38</v>
      </c>
      <c r="C7" s="25"/>
      <c r="D7" s="25"/>
      <c r="E7" s="8"/>
      <c r="F7" s="8"/>
      <c r="G7" s="25"/>
      <c r="H7" s="25">
        <f t="shared" ref="H7:M7" si="3">DATEDIF(H4,H5,"D")</f>
        <v>364</v>
      </c>
      <c r="I7" s="25">
        <f t="shared" si="3"/>
        <v>364</v>
      </c>
      <c r="J7" s="32">
        <f t="shared" si="3"/>
        <v>365</v>
      </c>
      <c r="K7" s="32">
        <f t="shared" si="3"/>
        <v>364</v>
      </c>
      <c r="L7" s="32">
        <f t="shared" si="3"/>
        <v>364</v>
      </c>
      <c r="M7" s="32">
        <f t="shared" si="3"/>
        <v>364</v>
      </c>
      <c r="N7" s="105"/>
    </row>
    <row r="8" spans="1:23" x14ac:dyDescent="0.25">
      <c r="N8" s="95"/>
    </row>
    <row r="9" spans="1:23" x14ac:dyDescent="0.25">
      <c r="B9" s="11" t="s">
        <v>42</v>
      </c>
      <c r="G9" s="11" t="s">
        <v>41</v>
      </c>
      <c r="N9" s="95"/>
    </row>
    <row r="10" spans="1:23" x14ac:dyDescent="0.25">
      <c r="N10" s="95"/>
    </row>
    <row r="11" spans="1:23" ht="16.5" x14ac:dyDescent="0.25">
      <c r="B11" s="33" t="s">
        <v>43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95"/>
    </row>
    <row r="12" spans="1:23" ht="16.5" x14ac:dyDescent="0.25">
      <c r="B12" s="51"/>
      <c r="N12" s="95"/>
      <c r="P12" s="12"/>
      <c r="Q12" s="12"/>
      <c r="R12" s="12"/>
      <c r="S12" s="12"/>
      <c r="T12" s="12"/>
      <c r="U12" s="12"/>
      <c r="V12" s="40"/>
      <c r="W12" s="40"/>
    </row>
    <row r="13" spans="1:23" x14ac:dyDescent="0.25">
      <c r="B13" s="12" t="s">
        <v>45</v>
      </c>
      <c r="H13" s="37">
        <f>'Historical data'!H13</f>
        <v>418347770</v>
      </c>
      <c r="I13" s="37">
        <f>'Historical data'!I13</f>
        <v>729443355</v>
      </c>
      <c r="J13" s="37">
        <f>I13*(1+'Assumptions and drivers'!J12)</f>
        <v>1271878676.8091438</v>
      </c>
      <c r="K13" s="37">
        <f>J13*(1+'Assumptions and drivers'!K12)</f>
        <v>2217684700.85217</v>
      </c>
      <c r="L13" s="37">
        <f>K13*(1+'Assumptions and drivers'!L12)</f>
        <v>3866819628.3722944</v>
      </c>
      <c r="M13" s="37">
        <f>L13*(1+'Assumptions and drivers'!M12)</f>
        <v>6742299314.5146666</v>
      </c>
      <c r="N13" s="116"/>
      <c r="V13" s="35"/>
      <c r="W13" s="35"/>
    </row>
    <row r="14" spans="1:23" x14ac:dyDescent="0.25">
      <c r="B14" s="11" t="s">
        <v>46</v>
      </c>
      <c r="H14" s="37">
        <f>'Historical data'!H14</f>
        <v>-285555236</v>
      </c>
      <c r="I14" s="37">
        <f>'Historical data'!I14</f>
        <v>-468983756</v>
      </c>
      <c r="J14" s="37">
        <f>J13*-'Assumptions and drivers'!J13</f>
        <v>-842945451.982144</v>
      </c>
      <c r="K14" s="37">
        <f>K13*-'Assumptions and drivers'!K13</f>
        <v>-1469784238.5435603</v>
      </c>
      <c r="L14" s="37">
        <f>L13*-'Assumptions and drivers'!L13</f>
        <v>-2562758601.7473807</v>
      </c>
      <c r="M14" s="37">
        <f>M13*-'Assumptions and drivers'!M13</f>
        <v>-4468500531.3013096</v>
      </c>
      <c r="N14" s="116"/>
      <c r="P14" s="12"/>
      <c r="Q14" s="12"/>
      <c r="R14" s="12"/>
      <c r="S14" s="12"/>
      <c r="T14" s="12"/>
      <c r="U14" s="12"/>
      <c r="V14" s="40"/>
      <c r="W14" s="40"/>
    </row>
    <row r="15" spans="1:23" x14ac:dyDescent="0.25">
      <c r="B15" s="45" t="s">
        <v>47</v>
      </c>
      <c r="C15" s="46"/>
      <c r="D15" s="46"/>
      <c r="E15" s="46"/>
      <c r="F15" s="46"/>
      <c r="G15" s="46"/>
      <c r="H15" s="52">
        <f>SUM(H14,H13)</f>
        <v>132792534</v>
      </c>
      <c r="I15" s="52">
        <f>SUM(I14,I13)</f>
        <v>260459599</v>
      </c>
      <c r="J15" s="52">
        <f>SUM(J13:J14)</f>
        <v>428933224.82699978</v>
      </c>
      <c r="K15" s="52">
        <f>SUM(K13:K14)</f>
        <v>747900462.30860972</v>
      </c>
      <c r="L15" s="52">
        <f>SUM(L13:L14)</f>
        <v>1304061026.6249137</v>
      </c>
      <c r="M15" s="52">
        <f>SUM(M13:M14)</f>
        <v>2273798783.213357</v>
      </c>
      <c r="N15" s="116"/>
      <c r="V15" s="35"/>
      <c r="W15" s="35"/>
    </row>
    <row r="16" spans="1:23" x14ac:dyDescent="0.25">
      <c r="H16" s="37"/>
      <c r="I16" s="37"/>
      <c r="J16" s="37"/>
      <c r="K16" s="37"/>
      <c r="L16" s="37"/>
      <c r="M16" s="37"/>
      <c r="N16" s="116"/>
      <c r="V16" s="35"/>
      <c r="W16" s="35"/>
    </row>
    <row r="17" spans="2:23" x14ac:dyDescent="0.25">
      <c r="B17" s="11" t="s">
        <v>101</v>
      </c>
      <c r="H17" s="37">
        <f>'Historical data'!H16+'Historical data'!H17 +'Historical data'!H32</f>
        <v>-29598964</v>
      </c>
      <c r="I17" s="37">
        <f>'Historical data'!I16+'Historical data'!I17 +'Historical data'!I32</f>
        <v>-43825938</v>
      </c>
      <c r="J17" s="37">
        <f>-J13*'Assumptions and drivers'!J14</f>
        <v>-83202105.29386051</v>
      </c>
      <c r="K17" s="37">
        <f>-K13*'Assumptions and drivers'!K14</f>
        <v>-145073613.82281747</v>
      </c>
      <c r="L17" s="37">
        <f>-L13*'Assumptions and drivers'!L14</f>
        <v>-252954577.93139508</v>
      </c>
      <c r="M17" s="37">
        <f>-M13*'Assumptions and drivers'!M14</f>
        <v>-441058968.68742907</v>
      </c>
      <c r="N17" s="116"/>
      <c r="V17" s="35"/>
      <c r="W17" s="35"/>
    </row>
    <row r="18" spans="2:23" x14ac:dyDescent="0.25">
      <c r="B18" s="11" t="s">
        <v>61</v>
      </c>
      <c r="H18" s="37">
        <f>'Historical data'!H18</f>
        <v>2376501</v>
      </c>
      <c r="I18" s="37">
        <f>'Historical data'!I18</f>
        <v>-7890845</v>
      </c>
      <c r="J18" s="37">
        <f t="shared" ref="J18:M19" si="4">I18</f>
        <v>-7890845</v>
      </c>
      <c r="K18" s="37">
        <f t="shared" si="4"/>
        <v>-7890845</v>
      </c>
      <c r="L18" s="37">
        <f t="shared" si="4"/>
        <v>-7890845</v>
      </c>
      <c r="M18" s="37">
        <f t="shared" si="4"/>
        <v>-7890845</v>
      </c>
      <c r="N18" s="116"/>
      <c r="V18" s="35"/>
      <c r="W18" s="35"/>
    </row>
    <row r="19" spans="2:23" x14ac:dyDescent="0.25">
      <c r="B19" s="11" t="s">
        <v>102</v>
      </c>
      <c r="H19" s="37">
        <f>'Historical data'!H20</f>
        <v>15242660</v>
      </c>
      <c r="I19" s="37">
        <f>'Historical data'!I20</f>
        <v>809325</v>
      </c>
      <c r="J19" s="37">
        <f t="shared" si="4"/>
        <v>809325</v>
      </c>
      <c r="K19" s="37">
        <f t="shared" si="4"/>
        <v>809325</v>
      </c>
      <c r="L19" s="37">
        <f t="shared" si="4"/>
        <v>809325</v>
      </c>
      <c r="M19" s="37">
        <f t="shared" si="4"/>
        <v>809325</v>
      </c>
      <c r="N19" s="116"/>
      <c r="P19" s="12"/>
      <c r="Q19" s="12"/>
      <c r="R19" s="12"/>
      <c r="S19" s="12"/>
      <c r="T19" s="12"/>
      <c r="U19" s="12"/>
      <c r="V19" s="40"/>
      <c r="W19" s="40"/>
    </row>
    <row r="20" spans="2:23" x14ac:dyDescent="0.25">
      <c r="B20" s="45" t="s">
        <v>103</v>
      </c>
      <c r="C20" s="46"/>
      <c r="D20" s="46"/>
      <c r="E20" s="46"/>
      <c r="F20" s="46"/>
      <c r="G20" s="46"/>
      <c r="H20" s="52">
        <f t="shared" ref="H20:M20" si="5">SUM(H15:H19)</f>
        <v>120812731</v>
      </c>
      <c r="I20" s="52">
        <f t="shared" si="5"/>
        <v>209552141</v>
      </c>
      <c r="J20" s="52">
        <f t="shared" si="5"/>
        <v>338649599.53313929</v>
      </c>
      <c r="K20" s="52">
        <f t="shared" si="5"/>
        <v>595745328.48579228</v>
      </c>
      <c r="L20" s="52">
        <f t="shared" si="5"/>
        <v>1044024928.6935186</v>
      </c>
      <c r="M20" s="52">
        <f t="shared" si="5"/>
        <v>1825658294.525928</v>
      </c>
      <c r="N20" s="116"/>
      <c r="V20" s="35"/>
      <c r="W20" s="35"/>
    </row>
    <row r="21" spans="2:23" x14ac:dyDescent="0.25">
      <c r="B21" s="11" t="s">
        <v>104</v>
      </c>
      <c r="H21" s="37"/>
      <c r="I21" s="37"/>
      <c r="J21" s="37"/>
      <c r="K21" s="37"/>
      <c r="L21" s="37"/>
      <c r="M21" s="37"/>
      <c r="N21" s="116"/>
      <c r="V21" s="35"/>
      <c r="W21" s="35"/>
    </row>
    <row r="22" spans="2:23" x14ac:dyDescent="0.25">
      <c r="B22" s="11" t="s">
        <v>105</v>
      </c>
      <c r="H22" s="37">
        <f>-'Historical data'!H32</f>
        <v>-3320438</v>
      </c>
      <c r="I22" s="37">
        <f>-'Historical data'!I32</f>
        <v>-3236022</v>
      </c>
      <c r="J22" s="37">
        <f>-'Assumptions and drivers'!J65</f>
        <v>-3416202.1664181338</v>
      </c>
      <c r="K22" s="37">
        <f>-'Assumptions and drivers'!K65</f>
        <v>-3481401.6219400582</v>
      </c>
      <c r="L22" s="37">
        <f>-'Assumptions and drivers'!L65</f>
        <v>-3547845.4326825673</v>
      </c>
      <c r="M22" s="37">
        <f>-'Assumptions and drivers'!M65</f>
        <v>-3615557.3476156886</v>
      </c>
      <c r="N22" s="116"/>
      <c r="V22" s="35"/>
      <c r="W22" s="35"/>
    </row>
    <row r="23" spans="2:23" x14ac:dyDescent="0.25">
      <c r="B23" s="45" t="s">
        <v>106</v>
      </c>
      <c r="C23" s="46"/>
      <c r="D23" s="46"/>
      <c r="E23" s="46"/>
      <c r="F23" s="46"/>
      <c r="G23" s="46"/>
      <c r="H23" s="52">
        <f t="shared" ref="H23:M23" si="6">SUM(H20:H22)</f>
        <v>117492293</v>
      </c>
      <c r="I23" s="52">
        <f t="shared" si="6"/>
        <v>206316119</v>
      </c>
      <c r="J23" s="52">
        <f t="shared" si="6"/>
        <v>335233397.36672115</v>
      </c>
      <c r="K23" s="52">
        <f t="shared" si="6"/>
        <v>592263926.86385226</v>
      </c>
      <c r="L23" s="52">
        <f t="shared" si="6"/>
        <v>1040477083.2608361</v>
      </c>
      <c r="M23" s="52">
        <f t="shared" si="6"/>
        <v>1822042737.1783123</v>
      </c>
      <c r="N23" s="116"/>
      <c r="V23" s="35"/>
      <c r="W23" s="35"/>
    </row>
    <row r="24" spans="2:23" x14ac:dyDescent="0.25">
      <c r="H24" s="37"/>
      <c r="I24" s="37"/>
      <c r="J24" s="37"/>
      <c r="K24" s="37"/>
      <c r="L24" s="37"/>
      <c r="M24" s="37"/>
      <c r="N24" s="116"/>
      <c r="V24" s="35"/>
      <c r="W24" s="35"/>
    </row>
    <row r="25" spans="2:23" x14ac:dyDescent="0.25">
      <c r="B25" s="11" t="s">
        <v>107</v>
      </c>
      <c r="H25" s="37">
        <f>'Historical data'!H24</f>
        <v>-8682060</v>
      </c>
      <c r="I25" s="37">
        <f>'Historical data'!I24</f>
        <v>-98181547</v>
      </c>
      <c r="J25" s="37">
        <f>-J23*'Assumptions and drivers'!J18</f>
        <v>-32151476.324235983</v>
      </c>
      <c r="K25" s="37">
        <f>-K23*'Assumptions and drivers'!K18</f>
        <v>-56802692.607119419</v>
      </c>
      <c r="L25" s="37">
        <f>-L23*'Assumptions and drivers'!L18</f>
        <v>-99789801.884732425</v>
      </c>
      <c r="M25" s="37">
        <f>-M23*'Assumptions and drivers'!M18</f>
        <v>-174747994.63983849</v>
      </c>
      <c r="N25" s="116"/>
      <c r="V25" s="35"/>
      <c r="W25" s="35"/>
    </row>
    <row r="26" spans="2:23" x14ac:dyDescent="0.25">
      <c r="B26" s="11" t="s">
        <v>55</v>
      </c>
      <c r="H26" s="37">
        <f>'Historical data'!H25</f>
        <v>-1580531</v>
      </c>
      <c r="I26" s="37">
        <f>'Historical data'!I25</f>
        <v>-10640</v>
      </c>
      <c r="J26" s="37">
        <f>I26</f>
        <v>-10640</v>
      </c>
      <c r="K26" s="37">
        <f>J26</f>
        <v>-10640</v>
      </c>
      <c r="L26" s="37">
        <f>K26</f>
        <v>-10640</v>
      </c>
      <c r="M26" s="37">
        <f>L26</f>
        <v>-10640</v>
      </c>
      <c r="N26" s="116"/>
      <c r="P26" s="12"/>
      <c r="Q26" s="12"/>
      <c r="R26" s="12"/>
      <c r="S26" s="12"/>
      <c r="T26" s="12"/>
      <c r="U26" s="12"/>
      <c r="V26" s="40"/>
      <c r="W26" s="40"/>
    </row>
    <row r="27" spans="2:23" x14ac:dyDescent="0.25">
      <c r="B27" s="45" t="s">
        <v>108</v>
      </c>
      <c r="C27" s="46"/>
      <c r="D27" s="46"/>
      <c r="E27" s="46"/>
      <c r="F27" s="46"/>
      <c r="G27" s="46"/>
      <c r="H27" s="52">
        <f t="shared" ref="H27:M27" si="7">SUM(H23:H26)</f>
        <v>107229702</v>
      </c>
      <c r="I27" s="52">
        <f t="shared" si="7"/>
        <v>108123932</v>
      </c>
      <c r="J27" s="52">
        <f t="shared" si="7"/>
        <v>303071281.04248518</v>
      </c>
      <c r="K27" s="52">
        <f t="shared" si="7"/>
        <v>535450594.25673282</v>
      </c>
      <c r="L27" s="52">
        <f t="shared" si="7"/>
        <v>940676641.37610364</v>
      </c>
      <c r="M27" s="52">
        <f t="shared" si="7"/>
        <v>1647284102.5384738</v>
      </c>
      <c r="N27" s="116"/>
      <c r="V27" s="35"/>
      <c r="W27" s="35"/>
    </row>
    <row r="28" spans="2:23" x14ac:dyDescent="0.25">
      <c r="B28" s="12"/>
      <c r="H28" s="37"/>
      <c r="I28" s="37"/>
      <c r="J28" s="37"/>
      <c r="K28" s="37"/>
      <c r="L28" s="37"/>
      <c r="M28" s="37"/>
      <c r="N28" s="116"/>
      <c r="P28" s="12"/>
      <c r="Q28" s="12"/>
      <c r="R28" s="12"/>
      <c r="S28" s="12"/>
      <c r="T28" s="12"/>
      <c r="U28" s="12"/>
      <c r="V28" s="40"/>
      <c r="W28" s="40"/>
    </row>
    <row r="29" spans="2:23" x14ac:dyDescent="0.25">
      <c r="B29" s="11" t="s">
        <v>57</v>
      </c>
      <c r="H29" s="37">
        <f>'Historical data'!H27</f>
        <v>-15885683</v>
      </c>
      <c r="I29" s="37">
        <f>-'Historical data'!I27</f>
        <v>-3973565</v>
      </c>
      <c r="J29" s="37">
        <f>-J27*'Assumptions and drivers'!J20</f>
        <v>-28018393.114957005</v>
      </c>
      <c r="K29" s="37">
        <f>-K27*'Assumptions and drivers'!K20</f>
        <v>-49501441.350424103</v>
      </c>
      <c r="L29" s="37">
        <f>-L27*'Assumptions and drivers'!L20</f>
        <v>-86963858.276094556</v>
      </c>
      <c r="M29" s="37">
        <f>-M27*'Assumptions and drivers'!M20</f>
        <v>-152288443.16156802</v>
      </c>
      <c r="N29" s="116"/>
    </row>
    <row r="30" spans="2:23" x14ac:dyDescent="0.25">
      <c r="B30" s="42" t="s">
        <v>109</v>
      </c>
      <c r="C30" s="47"/>
      <c r="D30" s="47"/>
      <c r="E30" s="47"/>
      <c r="F30" s="47"/>
      <c r="G30" s="47"/>
      <c r="H30" s="54">
        <f t="shared" ref="H30:M30" si="8">SUM(H27:H29)</f>
        <v>91344019</v>
      </c>
      <c r="I30" s="54">
        <f t="shared" si="8"/>
        <v>104150367</v>
      </c>
      <c r="J30" s="54">
        <f t="shared" si="8"/>
        <v>275052887.92752814</v>
      </c>
      <c r="K30" s="54">
        <f t="shared" si="8"/>
        <v>485949152.90630871</v>
      </c>
      <c r="L30" s="54">
        <f t="shared" si="8"/>
        <v>853712783.10000908</v>
      </c>
      <c r="M30" s="54">
        <f t="shared" si="8"/>
        <v>1494995659.3769059</v>
      </c>
      <c r="N30" s="116"/>
    </row>
    <row r="31" spans="2:23" x14ac:dyDescent="0.25">
      <c r="H31" s="37"/>
      <c r="I31" s="37"/>
      <c r="J31" s="37"/>
      <c r="K31" s="37"/>
      <c r="L31" s="37"/>
      <c r="M31" s="37"/>
      <c r="N31" s="37"/>
    </row>
    <row r="32" spans="2:23" x14ac:dyDescent="0.25">
      <c r="H32" s="37"/>
      <c r="I32" s="37"/>
      <c r="J32" s="37"/>
      <c r="K32" s="37"/>
      <c r="L32" s="37"/>
      <c r="M32" s="37"/>
      <c r="N32" s="37"/>
    </row>
    <row r="33" spans="8:14" x14ac:dyDescent="0.25">
      <c r="H33" s="37"/>
      <c r="I33" s="37"/>
      <c r="J33" s="37"/>
      <c r="K33" s="37"/>
      <c r="L33" s="37"/>
      <c r="M33" s="37"/>
      <c r="N33" s="37"/>
    </row>
    <row r="34" spans="8:14" x14ac:dyDescent="0.25">
      <c r="H34" s="37"/>
      <c r="I34" s="37"/>
      <c r="J34" s="37"/>
      <c r="K34" s="37"/>
      <c r="L34" s="37"/>
      <c r="M34" s="37"/>
      <c r="N34" s="37"/>
    </row>
    <row r="35" spans="8:14" x14ac:dyDescent="0.25">
      <c r="H35" s="37"/>
      <c r="I35" s="37"/>
      <c r="J35" s="37"/>
      <c r="K35" s="37"/>
      <c r="L35" s="37"/>
      <c r="M35" s="37"/>
      <c r="N35" s="37"/>
    </row>
    <row r="36" spans="8:14" x14ac:dyDescent="0.25">
      <c r="H36" s="37"/>
      <c r="I36" s="37"/>
      <c r="J36" s="37"/>
      <c r="K36" s="37"/>
      <c r="L36" s="37"/>
      <c r="M36" s="37"/>
      <c r="N36" s="37"/>
    </row>
    <row r="37" spans="8:14" x14ac:dyDescent="0.25">
      <c r="H37" s="37"/>
      <c r="I37" s="37"/>
      <c r="J37" s="37"/>
      <c r="K37" s="37"/>
      <c r="L37" s="37"/>
      <c r="M37" s="37"/>
      <c r="N37" s="37"/>
    </row>
    <row r="38" spans="8:14" x14ac:dyDescent="0.25">
      <c r="H38" s="37"/>
      <c r="I38" s="37"/>
      <c r="J38" s="37"/>
      <c r="K38" s="37"/>
      <c r="L38" s="37"/>
      <c r="M38" s="37"/>
      <c r="N38" s="37"/>
    </row>
    <row r="39" spans="8:14" x14ac:dyDescent="0.25">
      <c r="H39" s="37"/>
      <c r="I39" s="37"/>
      <c r="J39" s="37"/>
      <c r="K39" s="37"/>
      <c r="L39" s="37"/>
      <c r="M39" s="37"/>
      <c r="N39" s="37"/>
    </row>
    <row r="40" spans="8:14" x14ac:dyDescent="0.25">
      <c r="H40" s="37"/>
      <c r="I40" s="37"/>
      <c r="J40" s="37"/>
      <c r="K40" s="37"/>
      <c r="L40" s="37"/>
      <c r="M40" s="37"/>
      <c r="N40" s="37"/>
    </row>
    <row r="41" spans="8:14" x14ac:dyDescent="0.25">
      <c r="H41" s="37"/>
      <c r="I41" s="37"/>
      <c r="J41" s="37"/>
      <c r="K41" s="37"/>
      <c r="L41" s="37"/>
      <c r="M41" s="37"/>
      <c r="N41" s="37"/>
    </row>
    <row r="42" spans="8:14" x14ac:dyDescent="0.25">
      <c r="H42" s="37"/>
      <c r="I42" s="37"/>
      <c r="J42" s="37"/>
      <c r="K42" s="37"/>
      <c r="L42" s="37"/>
      <c r="M42" s="37"/>
      <c r="N42" s="37"/>
    </row>
    <row r="43" spans="8:14" x14ac:dyDescent="0.25">
      <c r="H43" s="37"/>
      <c r="I43" s="37"/>
      <c r="J43" s="37"/>
      <c r="K43" s="37"/>
      <c r="L43" s="37"/>
      <c r="M43" s="37"/>
      <c r="N43" s="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94423-85E0-4F39-A019-38C2A357A19B}">
  <dimension ref="A2:N37"/>
  <sheetViews>
    <sheetView showGridLines="0" workbookViewId="0">
      <pane xSplit="1" ySplit="9" topLeftCell="C10" activePane="bottomRight" state="frozen"/>
      <selection activeCell="G4" sqref="G4:M5"/>
      <selection pane="topRight" activeCell="G4" sqref="G4:M5"/>
      <selection pane="bottomLeft" activeCell="G4" sqref="G4:M5"/>
      <selection pane="bottomRight" activeCell="C21" sqref="C21"/>
    </sheetView>
  </sheetViews>
  <sheetFormatPr defaultRowHeight="15.75" x14ac:dyDescent="0.25"/>
  <cols>
    <col min="1" max="1" width="4" style="71" customWidth="1"/>
    <col min="2" max="6" width="9.140625" style="71"/>
    <col min="7" max="7" width="11.42578125" style="71" bestFit="1" customWidth="1"/>
    <col min="8" max="8" width="11.5703125" style="71" bestFit="1" customWidth="1"/>
    <col min="9" max="9" width="14.28515625" style="71" bestFit="1" customWidth="1"/>
    <col min="10" max="10" width="13.5703125" style="71" customWidth="1"/>
    <col min="11" max="11" width="14" style="71" customWidth="1"/>
    <col min="12" max="12" width="14.7109375" style="71" customWidth="1"/>
    <col min="13" max="13" width="15.7109375" style="71" customWidth="1"/>
    <col min="14" max="16384" width="9.140625" style="71"/>
  </cols>
  <sheetData>
    <row r="2" spans="1:14" x14ac:dyDescent="0.25">
      <c r="N2" s="108"/>
    </row>
    <row r="3" spans="1:14" x14ac:dyDescent="0.25">
      <c r="A3" s="67"/>
      <c r="B3" s="68" t="s">
        <v>3</v>
      </c>
      <c r="C3" s="68"/>
      <c r="D3" s="68"/>
      <c r="E3" s="69"/>
      <c r="F3" s="67"/>
      <c r="G3" s="67"/>
      <c r="H3" s="67"/>
      <c r="I3" s="67"/>
      <c r="J3" s="70"/>
      <c r="K3" s="70"/>
      <c r="L3" s="70"/>
      <c r="M3" s="70"/>
      <c r="N3" s="108"/>
    </row>
    <row r="4" spans="1:14" x14ac:dyDescent="0.25">
      <c r="A4" s="67"/>
      <c r="B4" s="72" t="s">
        <v>40</v>
      </c>
      <c r="C4" s="72"/>
      <c r="D4" s="72"/>
      <c r="E4" s="67"/>
      <c r="F4" s="67"/>
      <c r="G4" s="27"/>
      <c r="H4" s="27">
        <f t="shared" ref="H4:M4" si="0">G5+1</f>
        <v>44562</v>
      </c>
      <c r="I4" s="27">
        <f t="shared" si="0"/>
        <v>44927</v>
      </c>
      <c r="J4" s="30">
        <f t="shared" si="0"/>
        <v>45292</v>
      </c>
      <c r="K4" s="30">
        <f t="shared" si="0"/>
        <v>45658</v>
      </c>
      <c r="L4" s="30">
        <f t="shared" si="0"/>
        <v>46023</v>
      </c>
      <c r="M4" s="30">
        <f t="shared" si="0"/>
        <v>46388</v>
      </c>
      <c r="N4" s="109"/>
    </row>
    <row r="5" spans="1:14" x14ac:dyDescent="0.25">
      <c r="A5" s="67"/>
      <c r="B5" s="72" t="s">
        <v>37</v>
      </c>
      <c r="C5" s="72"/>
      <c r="D5" s="72"/>
      <c r="E5" s="67"/>
      <c r="F5" s="67"/>
      <c r="G5" s="27">
        <f>EDATE('Model guide'!J22,-12)</f>
        <v>44561</v>
      </c>
      <c r="H5" s="27">
        <f t="shared" ref="H5:M5" si="1">EOMONTH(H4, 11)</f>
        <v>44926</v>
      </c>
      <c r="I5" s="27">
        <f t="shared" si="1"/>
        <v>45291</v>
      </c>
      <c r="J5" s="30">
        <f t="shared" si="1"/>
        <v>45657</v>
      </c>
      <c r="K5" s="30">
        <f t="shared" si="1"/>
        <v>46022</v>
      </c>
      <c r="L5" s="30">
        <f t="shared" si="1"/>
        <v>46387</v>
      </c>
      <c r="M5" s="30">
        <f t="shared" si="1"/>
        <v>46752</v>
      </c>
      <c r="N5" s="109"/>
    </row>
    <row r="6" spans="1:14" x14ac:dyDescent="0.25">
      <c r="A6" s="67"/>
      <c r="B6" s="72" t="s">
        <v>39</v>
      </c>
      <c r="C6" s="72"/>
      <c r="D6" s="72"/>
      <c r="E6" s="67"/>
      <c r="F6" s="67"/>
      <c r="G6" s="72"/>
      <c r="H6" s="106">
        <f t="shared" ref="H6:M6" si="2">YEAR(H4)</f>
        <v>2022</v>
      </c>
      <c r="I6" s="106">
        <f t="shared" si="2"/>
        <v>2023</v>
      </c>
      <c r="J6" s="114">
        <f t="shared" si="2"/>
        <v>2024</v>
      </c>
      <c r="K6" s="114">
        <f t="shared" si="2"/>
        <v>2025</v>
      </c>
      <c r="L6" s="114">
        <f t="shared" si="2"/>
        <v>2026</v>
      </c>
      <c r="M6" s="114">
        <f t="shared" si="2"/>
        <v>2027</v>
      </c>
      <c r="N6" s="109"/>
    </row>
    <row r="7" spans="1:14" x14ac:dyDescent="0.25">
      <c r="A7" s="67"/>
      <c r="B7" s="72" t="s">
        <v>38</v>
      </c>
      <c r="C7" s="72"/>
      <c r="D7" s="72"/>
      <c r="E7" s="67"/>
      <c r="F7" s="67"/>
      <c r="G7" s="72"/>
      <c r="H7" s="72">
        <f t="shared" ref="H7:M7" si="3">DATEDIF(H4,H5,"D")</f>
        <v>364</v>
      </c>
      <c r="I7" s="72">
        <f t="shared" si="3"/>
        <v>364</v>
      </c>
      <c r="J7" s="73">
        <f t="shared" si="3"/>
        <v>365</v>
      </c>
      <c r="K7" s="73">
        <f t="shared" si="3"/>
        <v>364</v>
      </c>
      <c r="L7" s="73">
        <f t="shared" si="3"/>
        <v>364</v>
      </c>
      <c r="M7" s="73">
        <f t="shared" si="3"/>
        <v>364</v>
      </c>
      <c r="N7" s="109"/>
    </row>
    <row r="8" spans="1:14" x14ac:dyDescent="0.25">
      <c r="N8" s="108"/>
    </row>
    <row r="9" spans="1:14" x14ac:dyDescent="0.25">
      <c r="B9" s="71" t="s">
        <v>42</v>
      </c>
      <c r="G9" s="71" t="s">
        <v>41</v>
      </c>
      <c r="N9" s="108"/>
    </row>
    <row r="10" spans="1:14" x14ac:dyDescent="0.25">
      <c r="N10" s="108"/>
    </row>
    <row r="11" spans="1:14" ht="18.75" x14ac:dyDescent="0.3">
      <c r="B11" s="74" t="s">
        <v>36</v>
      </c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108"/>
    </row>
    <row r="12" spans="1:14" x14ac:dyDescent="0.25">
      <c r="N12" s="108"/>
    </row>
    <row r="13" spans="1:14" x14ac:dyDescent="0.25">
      <c r="B13" s="75" t="s">
        <v>160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108"/>
    </row>
    <row r="14" spans="1:14" x14ac:dyDescent="0.25">
      <c r="B14" s="76" t="s">
        <v>185</v>
      </c>
      <c r="J14" s="71">
        <f>SOPL!J23</f>
        <v>335233397.36672115</v>
      </c>
      <c r="K14" s="71">
        <f>SOPL!K23</f>
        <v>592263926.86385226</v>
      </c>
      <c r="L14" s="71">
        <f>SOPL!L23</f>
        <v>1040477083.2608361</v>
      </c>
      <c r="M14" s="71">
        <f>SOPL!M23</f>
        <v>1822042737.1783123</v>
      </c>
      <c r="N14" s="108"/>
    </row>
    <row r="15" spans="1:14" x14ac:dyDescent="0.25">
      <c r="B15" s="71" t="s">
        <v>161</v>
      </c>
      <c r="H15" s="71" t="s">
        <v>104</v>
      </c>
      <c r="J15" s="71">
        <f>-SOPL!J22</f>
        <v>3416202.1664181338</v>
      </c>
      <c r="K15" s="71">
        <f>-SOPL!K22</f>
        <v>3481401.6219400582</v>
      </c>
      <c r="L15" s="71">
        <f>-SOPL!L22</f>
        <v>3547845.4326825673</v>
      </c>
      <c r="M15" s="71">
        <f>-SOPL!M22</f>
        <v>3615557.3476156886</v>
      </c>
      <c r="N15" s="108"/>
    </row>
    <row r="16" spans="1:14" x14ac:dyDescent="0.25">
      <c r="B16" s="71" t="s">
        <v>186</v>
      </c>
      <c r="J16" s="71">
        <f>SOPL!J25</f>
        <v>-32151476.324235983</v>
      </c>
      <c r="K16" s="71">
        <f>SOPL!K25</f>
        <v>-56802692.607119419</v>
      </c>
      <c r="L16" s="71">
        <f>SOPL!L25</f>
        <v>-99789801.884732425</v>
      </c>
      <c r="M16" s="71">
        <f>SOPL!M25</f>
        <v>-174747994.63983849</v>
      </c>
      <c r="N16" s="108"/>
    </row>
    <row r="17" spans="2:14" x14ac:dyDescent="0.25">
      <c r="B17" s="71" t="s">
        <v>55</v>
      </c>
      <c r="J17" s="71">
        <f>SOPL!J26</f>
        <v>-10640</v>
      </c>
      <c r="K17" s="71">
        <f>SOPL!K26</f>
        <v>-10640</v>
      </c>
      <c r="L17" s="71">
        <f>SOPL!L26</f>
        <v>-10640</v>
      </c>
      <c r="M17" s="71">
        <f>SOPL!M26</f>
        <v>-10640</v>
      </c>
      <c r="N17" s="108"/>
    </row>
    <row r="18" spans="2:14" x14ac:dyDescent="0.25">
      <c r="B18" s="71" t="s">
        <v>162</v>
      </c>
      <c r="J18" s="71">
        <f>SOPL!J29</f>
        <v>-28018393.114957005</v>
      </c>
      <c r="K18" s="71">
        <f>SOPL!K29</f>
        <v>-49501441.350424103</v>
      </c>
      <c r="L18" s="71">
        <f>SOPL!L29</f>
        <v>-86963858.276094556</v>
      </c>
      <c r="M18" s="71">
        <f>SOPL!M29</f>
        <v>-152288443.16156802</v>
      </c>
      <c r="N18" s="108"/>
    </row>
    <row r="19" spans="2:14" x14ac:dyDescent="0.25">
      <c r="B19" s="71" t="s">
        <v>163</v>
      </c>
      <c r="J19" s="71">
        <f>'Assumptions and drivers'!J95</f>
        <v>-143010126.52804101</v>
      </c>
      <c r="K19" s="71">
        <f>'Assumptions and drivers'!K95</f>
        <v>-267160925.89399135</v>
      </c>
      <c r="L19" s="71">
        <f>'Assumptions and drivers'!L95</f>
        <v>-464119631.45164728</v>
      </c>
      <c r="M19" s="71">
        <f>'Assumptions and drivers'!M95</f>
        <v>-809252505.60664606</v>
      </c>
      <c r="N19" s="108"/>
    </row>
    <row r="20" spans="2:14" x14ac:dyDescent="0.25">
      <c r="B20" s="76" t="s">
        <v>170</v>
      </c>
      <c r="C20" s="77"/>
      <c r="D20" s="77"/>
      <c r="E20" s="77"/>
      <c r="F20" s="77"/>
      <c r="G20" s="77"/>
      <c r="H20" s="77"/>
      <c r="I20" s="77"/>
      <c r="J20" s="76">
        <f>SUM(J14:J19)</f>
        <v>135458963.56590533</v>
      </c>
      <c r="K20" s="76">
        <f t="shared" ref="K20:M20" si="4">SUM(K14:K19)</f>
        <v>222269628.63425738</v>
      </c>
      <c r="L20" s="76">
        <f t="shared" si="4"/>
        <v>393140997.08104432</v>
      </c>
      <c r="M20" s="76">
        <f t="shared" si="4"/>
        <v>689358711.11787558</v>
      </c>
      <c r="N20" s="108"/>
    </row>
    <row r="21" spans="2:14" x14ac:dyDescent="0.25">
      <c r="N21" s="108"/>
    </row>
    <row r="22" spans="2:14" x14ac:dyDescent="0.25">
      <c r="B22" s="75" t="s">
        <v>171</v>
      </c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108"/>
    </row>
    <row r="23" spans="2:14" x14ac:dyDescent="0.25">
      <c r="B23" s="78" t="s">
        <v>172</v>
      </c>
      <c r="C23" s="78"/>
      <c r="D23" s="78"/>
      <c r="E23" s="78"/>
      <c r="F23" s="78"/>
      <c r="G23" s="78"/>
      <c r="H23" s="78"/>
      <c r="I23" s="78"/>
      <c r="J23" s="78">
        <f>-'Assumptions and drivers'!J64</f>
        <v>-10248606.499254402</v>
      </c>
      <c r="K23" s="78">
        <f>-'Assumptions and drivers'!K64</f>
        <v>-10444204.865820175</v>
      </c>
      <c r="L23" s="78">
        <f>-'Assumptions and drivers'!L64</f>
        <v>-10643536.298047703</v>
      </c>
      <c r="M23" s="78">
        <f>-'Assumptions and drivers'!M64</f>
        <v>-10846672.042847065</v>
      </c>
      <c r="N23" s="108"/>
    </row>
    <row r="24" spans="2:14" x14ac:dyDescent="0.25">
      <c r="B24" s="79" t="s">
        <v>173</v>
      </c>
      <c r="J24" s="79">
        <f>SUM(J23)</f>
        <v>-10248606.499254402</v>
      </c>
      <c r="K24" s="79">
        <f t="shared" ref="K24:M24" si="5">SUM(K23)</f>
        <v>-10444204.865820175</v>
      </c>
      <c r="L24" s="79">
        <f t="shared" si="5"/>
        <v>-10643536.298047703</v>
      </c>
      <c r="M24" s="79">
        <f t="shared" si="5"/>
        <v>-10846672.042847065</v>
      </c>
      <c r="N24" s="108"/>
    </row>
    <row r="25" spans="2:14" x14ac:dyDescent="0.25">
      <c r="N25" s="108"/>
    </row>
    <row r="26" spans="2:14" x14ac:dyDescent="0.25">
      <c r="B26" s="75" t="s">
        <v>174</v>
      </c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108"/>
    </row>
    <row r="27" spans="2:14" x14ac:dyDescent="0.25">
      <c r="B27" s="71" t="s">
        <v>80</v>
      </c>
      <c r="J27" s="71">
        <f>'Assumptions and drivers'!J98</f>
        <v>0</v>
      </c>
      <c r="K27" s="71">
        <v>0</v>
      </c>
      <c r="L27" s="71">
        <v>0</v>
      </c>
      <c r="M27" s="71">
        <v>0</v>
      </c>
      <c r="N27" s="108"/>
    </row>
    <row r="28" spans="2:14" x14ac:dyDescent="0.25">
      <c r="B28" s="71" t="s">
        <v>81</v>
      </c>
      <c r="J28" s="71">
        <f>'Assumptions and drivers'!J99</f>
        <v>0</v>
      </c>
      <c r="K28" s="71">
        <v>0</v>
      </c>
      <c r="L28" s="71">
        <v>0</v>
      </c>
      <c r="M28" s="71">
        <v>0</v>
      </c>
      <c r="N28" s="108"/>
    </row>
    <row r="29" spans="2:14" x14ac:dyDescent="0.25">
      <c r="B29" s="71" t="s">
        <v>65</v>
      </c>
      <c r="J29" s="71">
        <f>'Assumptions and drivers'!J100</f>
        <v>-194226615.15188381</v>
      </c>
      <c r="K29" s="71">
        <f>'Assumptions and drivers'!K100</f>
        <v>-343149493.23413849</v>
      </c>
      <c r="L29" s="71">
        <f>'Assumptions and drivers'!L100</f>
        <v>-602843131.08938622</v>
      </c>
      <c r="M29" s="71">
        <f>'Assumptions and drivers'!M100</f>
        <v>-1055680413.9574866</v>
      </c>
      <c r="N29" s="108"/>
    </row>
    <row r="30" spans="2:14" x14ac:dyDescent="0.25">
      <c r="B30" s="76" t="s">
        <v>178</v>
      </c>
      <c r="C30" s="76"/>
      <c r="D30" s="76"/>
      <c r="E30" s="76"/>
      <c r="F30" s="76"/>
      <c r="G30" s="76"/>
      <c r="H30" s="76"/>
      <c r="I30" s="76"/>
      <c r="J30" s="76">
        <f>SUM(J27:J29)</f>
        <v>-194226615.15188381</v>
      </c>
      <c r="K30" s="76">
        <f t="shared" ref="K30:M30" si="6">SUM(K27:K29)</f>
        <v>-343149493.23413849</v>
      </c>
      <c r="L30" s="76">
        <f t="shared" si="6"/>
        <v>-602843131.08938622</v>
      </c>
      <c r="M30" s="76">
        <f t="shared" si="6"/>
        <v>-1055680413.9574866</v>
      </c>
      <c r="N30" s="108"/>
    </row>
    <row r="31" spans="2:14" x14ac:dyDescent="0.25">
      <c r="N31" s="108"/>
    </row>
    <row r="32" spans="2:14" x14ac:dyDescent="0.25">
      <c r="B32" s="78" t="s">
        <v>179</v>
      </c>
      <c r="C32" s="78"/>
      <c r="D32" s="78"/>
      <c r="E32" s="78"/>
      <c r="F32" s="78"/>
      <c r="G32" s="78"/>
      <c r="H32" s="78"/>
      <c r="I32" s="78"/>
      <c r="J32" s="78">
        <f>J20+J24+J30</f>
        <v>-69016258.085232884</v>
      </c>
      <c r="K32" s="78">
        <f t="shared" ref="K32:M32" si="7">SUM(K30,K24,K20)</f>
        <v>-131324069.46570128</v>
      </c>
      <c r="L32" s="78">
        <f t="shared" si="7"/>
        <v>-220345670.30638957</v>
      </c>
      <c r="M32" s="78">
        <f t="shared" si="7"/>
        <v>-377168374.88245809</v>
      </c>
      <c r="N32" s="108"/>
    </row>
    <row r="33" spans="2:14" x14ac:dyDescent="0.25">
      <c r="N33" s="108"/>
    </row>
    <row r="34" spans="2:14" x14ac:dyDescent="0.25">
      <c r="B34" s="75" t="s">
        <v>180</v>
      </c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108"/>
    </row>
    <row r="35" spans="2:14" x14ac:dyDescent="0.25">
      <c r="B35" s="71" t="s">
        <v>181</v>
      </c>
      <c r="H35" s="80"/>
      <c r="I35" s="80"/>
      <c r="J35" s="71">
        <f>I37</f>
        <v>100124789</v>
      </c>
      <c r="K35" s="71">
        <f t="shared" ref="K35:M35" si="8">J37</f>
        <v>31108530.914767116</v>
      </c>
      <c r="L35" s="71">
        <f t="shared" si="8"/>
        <v>-100215538.55093417</v>
      </c>
      <c r="M35" s="71">
        <f t="shared" si="8"/>
        <v>-320561208.85732377</v>
      </c>
      <c r="N35" s="108"/>
    </row>
    <row r="36" spans="2:14" x14ac:dyDescent="0.25">
      <c r="B36" s="71" t="s">
        <v>182</v>
      </c>
      <c r="H36" s="80"/>
      <c r="I36" s="80"/>
      <c r="J36" s="71">
        <f>J32</f>
        <v>-69016258.085232884</v>
      </c>
      <c r="K36" s="71">
        <f t="shared" ref="K36:M36" si="9">K32</f>
        <v>-131324069.46570128</v>
      </c>
      <c r="L36" s="71">
        <f t="shared" si="9"/>
        <v>-220345670.30638957</v>
      </c>
      <c r="M36" s="71">
        <f t="shared" si="9"/>
        <v>-377168374.88245809</v>
      </c>
      <c r="N36" s="108"/>
    </row>
    <row r="37" spans="2:14" x14ac:dyDescent="0.25">
      <c r="B37" s="78" t="s">
        <v>183</v>
      </c>
      <c r="C37" s="78"/>
      <c r="D37" s="78"/>
      <c r="E37" s="78"/>
      <c r="F37" s="78"/>
      <c r="G37" s="78"/>
      <c r="H37" s="78"/>
      <c r="I37" s="78">
        <f>SOFP!I16</f>
        <v>100124789</v>
      </c>
      <c r="J37" s="78">
        <f>SUM(J35:J36)</f>
        <v>31108530.914767116</v>
      </c>
      <c r="K37" s="78">
        <f t="shared" ref="K37:M37" si="10">SUM(K35:K36)</f>
        <v>-100215538.55093417</v>
      </c>
      <c r="L37" s="78">
        <f t="shared" si="10"/>
        <v>-320561208.85732377</v>
      </c>
      <c r="M37" s="78">
        <f t="shared" si="10"/>
        <v>-697729583.73978186</v>
      </c>
      <c r="N37" s="108"/>
    </row>
  </sheetData>
  <conditionalFormatting sqref="B27:B28">
    <cfRule type="containsText" dxfId="0" priority="1" operator="containsText" text="good">
      <formula>NOT(ISERROR(SEARCH("good",B27)))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95BA-3AB0-4356-8312-E2AE6CC24CBA}">
  <dimension ref="A3:Q34"/>
  <sheetViews>
    <sheetView showGridLines="0" workbookViewId="0">
      <pane xSplit="2" ySplit="9" topLeftCell="C20" activePane="bottomRight" state="frozen"/>
      <selection pane="topRight" activeCell="C1" sqref="C1"/>
      <selection pane="bottomLeft" activeCell="A10" sqref="A10"/>
      <selection pane="bottomRight" activeCell="I31" sqref="I31"/>
    </sheetView>
  </sheetViews>
  <sheetFormatPr defaultRowHeight="15.75" x14ac:dyDescent="0.25"/>
  <cols>
    <col min="1" max="1" width="4.5703125" style="11" customWidth="1"/>
    <col min="2" max="2" width="3.85546875" style="11" customWidth="1"/>
    <col min="3" max="3" width="3.7109375" style="11" customWidth="1"/>
    <col min="4" max="6" width="9.140625" style="11"/>
    <col min="7" max="7" width="12" style="11" customWidth="1"/>
    <col min="8" max="8" width="11" style="11" customWidth="1"/>
    <col min="9" max="9" width="11.5703125" style="11" customWidth="1"/>
    <col min="10" max="10" width="11" style="11" customWidth="1"/>
    <col min="11" max="11" width="11.42578125" style="11" customWidth="1"/>
    <col min="12" max="12" width="12.140625" style="11" customWidth="1"/>
    <col min="13" max="13" width="11.42578125" style="11" customWidth="1"/>
    <col min="14" max="16384" width="9.140625" style="11"/>
  </cols>
  <sheetData>
    <row r="3" spans="1:17" x14ac:dyDescent="0.25">
      <c r="A3" s="8"/>
      <c r="B3" s="9" t="s">
        <v>3</v>
      </c>
      <c r="C3" s="9"/>
      <c r="D3" s="9"/>
      <c r="E3" s="26"/>
      <c r="F3" s="8"/>
      <c r="G3" s="8"/>
      <c r="H3" s="25"/>
      <c r="I3" s="8"/>
      <c r="J3" s="29"/>
      <c r="K3" s="29"/>
      <c r="L3" s="29"/>
      <c r="M3" s="29"/>
      <c r="N3" s="95"/>
    </row>
    <row r="4" spans="1:17" x14ac:dyDescent="0.25">
      <c r="A4" s="8"/>
      <c r="B4" s="25" t="s">
        <v>40</v>
      </c>
      <c r="C4" s="25"/>
      <c r="D4" s="25"/>
      <c r="E4" s="8"/>
      <c r="F4" s="8"/>
      <c r="G4" s="27"/>
      <c r="H4" s="27">
        <f t="shared" ref="H4:M4" si="0">G5+1</f>
        <v>44562</v>
      </c>
      <c r="I4" s="27">
        <f t="shared" si="0"/>
        <v>44927</v>
      </c>
      <c r="J4" s="30">
        <f t="shared" si="0"/>
        <v>45292</v>
      </c>
      <c r="K4" s="30">
        <f t="shared" si="0"/>
        <v>45658</v>
      </c>
      <c r="L4" s="30">
        <f t="shared" si="0"/>
        <v>46023</v>
      </c>
      <c r="M4" s="30">
        <f t="shared" si="0"/>
        <v>46388</v>
      </c>
      <c r="N4" s="115"/>
    </row>
    <row r="5" spans="1:17" x14ac:dyDescent="0.25">
      <c r="A5" s="8"/>
      <c r="B5" s="25" t="s">
        <v>37</v>
      </c>
      <c r="C5" s="25"/>
      <c r="D5" s="25"/>
      <c r="E5" s="8"/>
      <c r="F5" s="8"/>
      <c r="G5" s="27">
        <f>EDATE('Model guide'!J22,-12)</f>
        <v>44561</v>
      </c>
      <c r="H5" s="27">
        <f t="shared" ref="H5:M5" si="1">EOMONTH(H4, 11)</f>
        <v>44926</v>
      </c>
      <c r="I5" s="27">
        <f t="shared" si="1"/>
        <v>45291</v>
      </c>
      <c r="J5" s="30">
        <f t="shared" si="1"/>
        <v>45657</v>
      </c>
      <c r="K5" s="30">
        <f t="shared" si="1"/>
        <v>46022</v>
      </c>
      <c r="L5" s="30">
        <f t="shared" si="1"/>
        <v>46387</v>
      </c>
      <c r="M5" s="30">
        <f t="shared" si="1"/>
        <v>46752</v>
      </c>
      <c r="N5" s="115"/>
    </row>
    <row r="6" spans="1:17" x14ac:dyDescent="0.25">
      <c r="A6" s="8"/>
      <c r="B6" s="25" t="s">
        <v>39</v>
      </c>
      <c r="C6" s="25"/>
      <c r="D6" s="25"/>
      <c r="E6" s="8"/>
      <c r="F6" s="8"/>
      <c r="G6" s="25"/>
      <c r="H6" s="28">
        <f t="shared" ref="H6:M6" si="2">YEAR(H4)</f>
        <v>2022</v>
      </c>
      <c r="I6" s="28">
        <f t="shared" si="2"/>
        <v>2023</v>
      </c>
      <c r="J6" s="31">
        <f t="shared" si="2"/>
        <v>2024</v>
      </c>
      <c r="K6" s="31">
        <f t="shared" si="2"/>
        <v>2025</v>
      </c>
      <c r="L6" s="31">
        <f t="shared" si="2"/>
        <v>2026</v>
      </c>
      <c r="M6" s="31">
        <f t="shared" si="2"/>
        <v>2027</v>
      </c>
      <c r="N6" s="105"/>
    </row>
    <row r="7" spans="1:17" x14ac:dyDescent="0.25">
      <c r="A7" s="8"/>
      <c r="B7" s="25" t="s">
        <v>38</v>
      </c>
      <c r="C7" s="25"/>
      <c r="D7" s="25"/>
      <c r="E7" s="8"/>
      <c r="F7" s="8"/>
      <c r="G7" s="25"/>
      <c r="H7" s="25">
        <f t="shared" ref="H7:M7" si="3">DATEDIF(H4,H5,"D")</f>
        <v>364</v>
      </c>
      <c r="I7" s="25">
        <f t="shared" si="3"/>
        <v>364</v>
      </c>
      <c r="J7" s="32">
        <f t="shared" si="3"/>
        <v>365</v>
      </c>
      <c r="K7" s="32">
        <f t="shared" si="3"/>
        <v>364</v>
      </c>
      <c r="L7" s="32">
        <f t="shared" si="3"/>
        <v>364</v>
      </c>
      <c r="M7" s="32">
        <f t="shared" si="3"/>
        <v>364</v>
      </c>
      <c r="N7" s="105"/>
    </row>
    <row r="8" spans="1:17" x14ac:dyDescent="0.25">
      <c r="N8" s="95"/>
    </row>
    <row r="9" spans="1:17" x14ac:dyDescent="0.25">
      <c r="B9" s="11" t="s">
        <v>42</v>
      </c>
      <c r="G9" s="11" t="s">
        <v>41</v>
      </c>
      <c r="N9" s="95"/>
    </row>
    <row r="10" spans="1:17" x14ac:dyDescent="0.25">
      <c r="N10" s="95"/>
    </row>
    <row r="11" spans="1:17" x14ac:dyDescent="0.25">
      <c r="C11" s="41" t="s">
        <v>116</v>
      </c>
      <c r="D11" s="41"/>
      <c r="E11" s="14"/>
      <c r="F11" s="14"/>
      <c r="G11" s="14"/>
      <c r="H11" s="14"/>
      <c r="I11" s="14"/>
      <c r="J11" s="14"/>
      <c r="K11" s="14"/>
      <c r="L11" s="14"/>
      <c r="M11" s="14"/>
      <c r="N11" s="95"/>
    </row>
    <row r="12" spans="1:17" x14ac:dyDescent="0.25">
      <c r="C12" s="11" t="s">
        <v>117</v>
      </c>
      <c r="H12" s="60">
        <f>(SOFP!H17/SOPL!H13)*365</f>
        <v>104.10910840997192</v>
      </c>
      <c r="I12" s="60">
        <f>(SOFP!I17/SOPL!I13)*365</f>
        <v>75.635731817722842</v>
      </c>
      <c r="J12" s="61">
        <f>AVERAGE($H$12:$I$12)</f>
        <v>89.872420113847383</v>
      </c>
      <c r="K12" s="61">
        <f>AVERAGE($H$12:$I$12)</f>
        <v>89.872420113847383</v>
      </c>
      <c r="L12" s="61">
        <f>AVERAGE($H$12:$I$12)</f>
        <v>89.872420113847383</v>
      </c>
      <c r="M12" s="61">
        <f>AVERAGE($H$12:$I$12)</f>
        <v>89.872420113847383</v>
      </c>
      <c r="N12" s="95"/>
    </row>
    <row r="13" spans="1:17" x14ac:dyDescent="0.25">
      <c r="C13" s="11" t="s">
        <v>120</v>
      </c>
      <c r="G13" s="59"/>
      <c r="H13" s="59">
        <f>(SOFP!H32/-SOPL!H14)*365</f>
        <v>48.987586643307075</v>
      </c>
      <c r="I13" s="59">
        <f>(SOFP!I32/-SOPL!I14)*365</f>
        <v>38.506091893297899</v>
      </c>
      <c r="J13" s="59">
        <f>AVERAGE($H$13:$I$13)</f>
        <v>43.746839268302487</v>
      </c>
      <c r="K13" s="59">
        <f>AVERAGE($H$13:$I$13)</f>
        <v>43.746839268302487</v>
      </c>
      <c r="L13" s="59">
        <f>AVERAGE($H$13:$I$13)</f>
        <v>43.746839268302487</v>
      </c>
      <c r="M13" s="59">
        <f>AVERAGE($H$13:$I$13)</f>
        <v>43.746839268302487</v>
      </c>
      <c r="N13" s="95"/>
      <c r="Q13" s="11">
        <f ca="1">'Historical data'!R13+Q13</f>
        <v>0</v>
      </c>
    </row>
    <row r="14" spans="1:17" x14ac:dyDescent="0.25">
      <c r="C14" s="11" t="s">
        <v>118</v>
      </c>
      <c r="G14" s="59"/>
      <c r="H14" s="59">
        <f>(SOFP!H18/-SOPL!H14)*365</f>
        <v>38.040334900390341</v>
      </c>
      <c r="I14" s="59">
        <f>(SOFP!I18/-SOPL!I14)*365</f>
        <v>87.382501932540279</v>
      </c>
      <c r="J14" s="61">
        <f>AVERAGE($H$14:$I$14)</f>
        <v>62.711418416465307</v>
      </c>
      <c r="K14" s="61">
        <f>AVERAGE($H$14:$I$14)</f>
        <v>62.711418416465307</v>
      </c>
      <c r="L14" s="61">
        <f>AVERAGE($H$14:$I$14)</f>
        <v>62.711418416465307</v>
      </c>
      <c r="M14" s="61">
        <f>AVERAGE($H$14:$I$14)</f>
        <v>62.711418416465307</v>
      </c>
      <c r="N14" s="95"/>
    </row>
    <row r="15" spans="1:17" x14ac:dyDescent="0.25">
      <c r="C15" s="11" t="s">
        <v>119</v>
      </c>
      <c r="H15" s="59">
        <f t="shared" ref="H15:M15" si="4">H12+H14</f>
        <v>142.14944331036227</v>
      </c>
      <c r="I15" s="59">
        <f t="shared" si="4"/>
        <v>163.01823375026311</v>
      </c>
      <c r="J15" s="59">
        <f t="shared" si="4"/>
        <v>152.58383853031268</v>
      </c>
      <c r="K15" s="59">
        <f t="shared" si="4"/>
        <v>152.58383853031268</v>
      </c>
      <c r="L15" s="59">
        <f t="shared" si="4"/>
        <v>152.58383853031268</v>
      </c>
      <c r="M15" s="59">
        <f t="shared" si="4"/>
        <v>152.58383853031268</v>
      </c>
      <c r="N15" s="95"/>
    </row>
    <row r="16" spans="1:17" x14ac:dyDescent="0.25">
      <c r="N16" s="95"/>
    </row>
    <row r="17" spans="3:14" x14ac:dyDescent="0.25">
      <c r="C17" s="41" t="s">
        <v>135</v>
      </c>
      <c r="D17" s="41"/>
      <c r="E17" s="14"/>
      <c r="F17" s="14"/>
      <c r="G17" s="14"/>
      <c r="H17" s="14"/>
      <c r="I17" s="14"/>
      <c r="J17" s="14"/>
      <c r="K17" s="14"/>
      <c r="L17" s="14"/>
      <c r="M17" s="14"/>
      <c r="N17" s="95"/>
    </row>
    <row r="18" spans="3:14" x14ac:dyDescent="0.25">
      <c r="C18" s="11" t="s">
        <v>136</v>
      </c>
      <c r="H18" s="63">
        <f>SOPL!H15/SOPL!H13</f>
        <v>0.31742139799143665</v>
      </c>
      <c r="I18" s="63">
        <f>SOPL!I15/SOPL!I13</f>
        <v>0.35706624402658382</v>
      </c>
      <c r="J18" s="63">
        <f>SOPL!J15/SOPL!J13</f>
        <v>0.33724382100901035</v>
      </c>
      <c r="K18" s="63">
        <f>SOPL!K15/SOPL!K13</f>
        <v>0.33724382100901029</v>
      </c>
      <c r="L18" s="63">
        <f>SOPL!L15/SOPL!L13</f>
        <v>0.33724382100901029</v>
      </c>
      <c r="M18" s="63">
        <f>SOPL!M15/SOPL!M13</f>
        <v>0.33724382100901029</v>
      </c>
      <c r="N18" s="95"/>
    </row>
    <row r="19" spans="3:14" x14ac:dyDescent="0.25">
      <c r="C19" s="11" t="s">
        <v>138</v>
      </c>
      <c r="H19" s="63">
        <f>SOPL!H20/SOPL!H13</f>
        <v>0.28878540693547861</v>
      </c>
      <c r="I19" s="63">
        <f>SOPL!I20/SOPL!I13</f>
        <v>0.28727678381551641</v>
      </c>
      <c r="J19" s="63">
        <f>SOPL!J20/SOPL!J13</f>
        <v>0.2662593576792518</v>
      </c>
      <c r="K19" s="63">
        <f>SOPL!K20/SOPL!K13</f>
        <v>0.26863391728178065</v>
      </c>
      <c r="L19" s="63">
        <f>SOPL!L20/SOPL!L13</f>
        <v>0.26999576629670524</v>
      </c>
      <c r="M19" s="63">
        <f>SOPL!M20/SOPL!M13</f>
        <v>0.2707768091214362</v>
      </c>
      <c r="N19" s="95"/>
    </row>
    <row r="20" spans="3:14" x14ac:dyDescent="0.25">
      <c r="C20" s="11" t="s">
        <v>139</v>
      </c>
      <c r="H20" s="63">
        <f>SOPL!H30/SOPL!H13</f>
        <v>0.21834470158643371</v>
      </c>
      <c r="I20" s="63">
        <f>SOPL!I30/SOPL!I13</f>
        <v>0.14278060974316506</v>
      </c>
      <c r="J20" s="63">
        <f>SOPL!J30/SOPL!J13</f>
        <v>0.21625717369330674</v>
      </c>
      <c r="K20" s="63">
        <f>SOPL!K30/SOPL!K13</f>
        <v>0.21912454584710683</v>
      </c>
      <c r="L20" s="63">
        <f>SOPL!L30/SOPL!L13</f>
        <v>0.22077905492048316</v>
      </c>
      <c r="M20" s="63">
        <f>SOPL!M30/SOPL!M13</f>
        <v>0.22173380172525325</v>
      </c>
      <c r="N20" s="95"/>
    </row>
    <row r="21" spans="3:14" x14ac:dyDescent="0.25">
      <c r="N21" s="95"/>
    </row>
    <row r="22" spans="3:14" x14ac:dyDescent="0.25">
      <c r="C22" s="41" t="s">
        <v>135</v>
      </c>
      <c r="D22" s="41"/>
      <c r="E22" s="14"/>
      <c r="F22" s="14"/>
      <c r="G22" s="14"/>
      <c r="H22" s="14"/>
      <c r="I22" s="14"/>
      <c r="J22" s="14"/>
      <c r="K22" s="14"/>
      <c r="L22" s="14"/>
      <c r="M22" s="14"/>
      <c r="N22" s="95"/>
    </row>
    <row r="23" spans="3:14" x14ac:dyDescent="0.25">
      <c r="C23" s="11" t="s">
        <v>140</v>
      </c>
      <c r="H23" s="65">
        <f>SOFP!H16/SOFP!H35</f>
        <v>0.10492818173732905</v>
      </c>
      <c r="I23" s="65">
        <f>SOFP!I16/SOFP!I35</f>
        <v>0.12761348133197553</v>
      </c>
      <c r="J23" s="65"/>
      <c r="K23" s="65"/>
      <c r="L23" s="65"/>
      <c r="M23" s="65"/>
      <c r="N23" s="95"/>
    </row>
    <row r="24" spans="3:14" x14ac:dyDescent="0.25">
      <c r="C24" s="11" t="s">
        <v>137</v>
      </c>
      <c r="H24" s="65">
        <f>SOFP!H20/SOFP!H35</f>
        <v>0.90259189419230323</v>
      </c>
      <c r="I24" s="65">
        <f>SOFP!I20/SOFP!I35</f>
        <v>0.90800790398465059</v>
      </c>
      <c r="J24" s="65"/>
      <c r="K24" s="65"/>
      <c r="L24" s="65"/>
      <c r="M24" s="65"/>
      <c r="N24" s="95"/>
    </row>
    <row r="25" spans="3:14" x14ac:dyDescent="0.25">
      <c r="C25" s="11" t="s">
        <v>141</v>
      </c>
      <c r="H25" s="65">
        <f>(SOFP!H20-SOFP!H18)/SOFP!H35</f>
        <v>0.80550258468702085</v>
      </c>
      <c r="I25" s="65">
        <f>(SOFP!I20-SOFP!I18)/SOFP!I35</f>
        <v>0.7649063486817933</v>
      </c>
      <c r="J25" s="65"/>
      <c r="K25" s="65"/>
      <c r="L25" s="65"/>
      <c r="M25" s="65"/>
      <c r="N25" s="95"/>
    </row>
    <row r="26" spans="3:14" x14ac:dyDescent="0.25">
      <c r="H26" s="65"/>
      <c r="I26" s="65"/>
      <c r="J26" s="65"/>
      <c r="K26" s="65"/>
      <c r="L26" s="65"/>
      <c r="M26" s="65"/>
      <c r="N26" s="95"/>
    </row>
    <row r="27" spans="3:14" x14ac:dyDescent="0.25">
      <c r="C27" s="41" t="s">
        <v>135</v>
      </c>
      <c r="D27" s="41"/>
      <c r="E27" s="14"/>
      <c r="F27" s="14"/>
      <c r="G27" s="14"/>
      <c r="H27" s="14"/>
      <c r="I27" s="14"/>
      <c r="J27" s="14"/>
      <c r="K27" s="14"/>
      <c r="L27" s="14"/>
      <c r="M27" s="14"/>
      <c r="N27" s="95"/>
    </row>
    <row r="28" spans="3:14" x14ac:dyDescent="0.25">
      <c r="C28" s="11" t="s">
        <v>142</v>
      </c>
      <c r="H28" s="65">
        <f>SOFP!H42/SOFP!H48</f>
        <v>1.6291180718268876</v>
      </c>
      <c r="I28" s="65">
        <f>SOFP!I42/SOFP!I48</f>
        <v>3.0847310722599035</v>
      </c>
      <c r="N28" s="95"/>
    </row>
    <row r="29" spans="3:14" x14ac:dyDescent="0.25">
      <c r="C29" s="11" t="s">
        <v>143</v>
      </c>
      <c r="H29" s="66">
        <f>-'Historical data'!H21/SOPL!H25</f>
        <v>13.532766877906857</v>
      </c>
      <c r="I29" s="66">
        <f>-'Historical data'!I21/SOPL!I25</f>
        <v>2.1013736827756442</v>
      </c>
      <c r="N29" s="95"/>
    </row>
    <row r="30" spans="3:14" x14ac:dyDescent="0.25">
      <c r="C30" s="11" t="s">
        <v>144</v>
      </c>
      <c r="H30" s="65">
        <f>SOFP!H42/SOFP!H27</f>
        <v>0.6196443169609599</v>
      </c>
      <c r="I30" s="65">
        <f>SOFP!I42/SOFP!I27</f>
        <v>0.7551858415377285</v>
      </c>
      <c r="N30" s="95"/>
    </row>
    <row r="31" spans="3:14" x14ac:dyDescent="0.25">
      <c r="N31" s="95"/>
    </row>
    <row r="32" spans="3:14" x14ac:dyDescent="0.25">
      <c r="N32" s="95"/>
    </row>
    <row r="33" spans="14:14" x14ac:dyDescent="0.25">
      <c r="N33" s="95"/>
    </row>
    <row r="34" spans="14:14" x14ac:dyDescent="0.25">
      <c r="N34" s="95"/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 PAGE </vt:lpstr>
      <vt:lpstr>Model guide</vt:lpstr>
      <vt:lpstr>Historical data</vt:lpstr>
      <vt:lpstr>Assumptions and drivers</vt:lpstr>
      <vt:lpstr>SOFP</vt:lpstr>
      <vt:lpstr>SOPL</vt:lpstr>
      <vt:lpstr>SOCF</vt:lpstr>
      <vt:lpstr>Financial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Emem Samuel</dc:creator>
  <cp:lastModifiedBy>Emem Samuel</cp:lastModifiedBy>
  <dcterms:created xsi:type="dcterms:W3CDTF">2024-08-09T09:10:23Z</dcterms:created>
  <dcterms:modified xsi:type="dcterms:W3CDTF">2024-08-14T18:40:30Z</dcterms:modified>
</cp:coreProperties>
</file>