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10A1B32-1272-49FF-BF3A-10BB19E93769}" xr6:coauthVersionLast="47" xr6:coauthVersionMax="47" xr10:uidLastSave="{00000000-0000-0000-0000-000000000000}"/>
  <bookViews>
    <workbookView xWindow="-120" yWindow="-120" windowWidth="20730" windowHeight="11310" activeTab="1" xr2:uid="{07CF3714-4581-4393-9AAE-A0555AA36BE4}"/>
  </bookViews>
  <sheets>
    <sheet name="COVER PAGE" sheetId="1" r:id="rId1"/>
    <sheet name="GUIDE" sheetId="2" r:id="rId2"/>
    <sheet name="HISTORICAL DATA" sheetId="3" r:id="rId3"/>
    <sheet name="ANALYTICS" sheetId="4" r:id="rId4"/>
    <sheet name="VISUALS" sheetId="5" r:id="rId5"/>
    <sheet name="CONT. ANALYSIS &amp; VIZ" sheetId="6" r:id="rId6"/>
  </sheets>
  <definedNames>
    <definedName name="_xlnm._FilterDatabase" localSheetId="2" hidden="1">'HISTORICAL DATA'!$A$5:$M$106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1" i="4" l="1"/>
  <c r="G202" i="4"/>
  <c r="G181" i="4"/>
  <c r="G182" i="4"/>
  <c r="J182" i="4"/>
  <c r="J181" i="4"/>
  <c r="K75" i="4"/>
  <c r="K74" i="4"/>
  <c r="I3" i="3"/>
  <c r="H3" i="3"/>
  <c r="G3" i="3"/>
  <c r="J58" i="4"/>
  <c r="K58" i="4" s="1"/>
  <c r="K90" i="4"/>
  <c r="K89" i="4"/>
  <c r="K87" i="4"/>
  <c r="K86" i="4"/>
  <c r="K84" i="4"/>
  <c r="K83" i="4"/>
  <c r="K81" i="4"/>
  <c r="K78" i="4"/>
  <c r="K77" i="4"/>
  <c r="K56" i="4"/>
  <c r="J199" i="4"/>
  <c r="G199" i="4"/>
  <c r="J198" i="4"/>
  <c r="G198" i="4"/>
  <c r="J166" i="4"/>
  <c r="J167" i="4"/>
  <c r="J169" i="4"/>
  <c r="J170" i="4"/>
  <c r="J172" i="4"/>
  <c r="J173" i="4"/>
  <c r="J175" i="4"/>
  <c r="J176" i="4"/>
  <c r="G176" i="4"/>
  <c r="G175" i="4"/>
  <c r="G173" i="4"/>
  <c r="G172" i="4"/>
  <c r="G170" i="4"/>
  <c r="G169" i="4"/>
  <c r="G167" i="4"/>
  <c r="G166" i="4"/>
  <c r="G196" i="4"/>
  <c r="G195" i="4"/>
  <c r="G193" i="4"/>
  <c r="G192" i="4"/>
  <c r="G190" i="4"/>
  <c r="G189" i="4"/>
  <c r="G186" i="4"/>
  <c r="G187" i="4"/>
  <c r="J187" i="4"/>
  <c r="J186" i="4"/>
  <c r="J189" i="4"/>
  <c r="J190" i="4"/>
  <c r="J192" i="4"/>
  <c r="J193" i="4"/>
  <c r="J195" i="4"/>
  <c r="J196" i="4"/>
  <c r="J201" i="4"/>
  <c r="J202" i="4"/>
  <c r="G162" i="4"/>
  <c r="G161" i="4"/>
  <c r="G142" i="4"/>
  <c r="J146" i="4"/>
  <c r="J147" i="4"/>
  <c r="J149" i="4"/>
  <c r="J150" i="4"/>
  <c r="J152" i="4"/>
  <c r="J153" i="4"/>
  <c r="J155" i="4"/>
  <c r="J156" i="4"/>
  <c r="J161" i="4"/>
  <c r="J162" i="4"/>
  <c r="G156" i="4"/>
  <c r="G155" i="4"/>
  <c r="G153" i="4"/>
  <c r="G152" i="4"/>
  <c r="G150" i="4"/>
  <c r="G149" i="4"/>
  <c r="G147" i="4"/>
  <c r="G146" i="4"/>
  <c r="G141" i="4"/>
  <c r="J141" i="4"/>
  <c r="G121" i="4"/>
  <c r="J121" i="4"/>
  <c r="J136" i="4"/>
  <c r="J135" i="4"/>
  <c r="J132" i="4"/>
  <c r="J133" i="4"/>
  <c r="J130" i="4"/>
  <c r="J110" i="4"/>
  <c r="J129" i="4"/>
  <c r="J127" i="4"/>
  <c r="J126" i="4"/>
  <c r="J142" i="4"/>
  <c r="G136" i="4"/>
  <c r="G135" i="4"/>
  <c r="G133" i="4"/>
  <c r="G132" i="4"/>
  <c r="G130" i="4"/>
  <c r="G129" i="4"/>
  <c r="G127" i="4"/>
  <c r="G126" i="4"/>
  <c r="G138" i="4" s="1"/>
  <c r="G106" i="4"/>
  <c r="G109" i="4"/>
  <c r="G110" i="4"/>
  <c r="G112" i="4"/>
  <c r="G113" i="4"/>
  <c r="G115" i="4"/>
  <c r="G116" i="4"/>
  <c r="G122" i="4"/>
  <c r="J122" i="4"/>
  <c r="J116" i="4"/>
  <c r="J115" i="4"/>
  <c r="J113" i="4"/>
  <c r="J112" i="4"/>
  <c r="J109" i="4"/>
  <c r="J106" i="4"/>
  <c r="J107" i="4"/>
  <c r="G107" i="4"/>
  <c r="J90" i="4"/>
  <c r="J89" i="4"/>
  <c r="J87" i="4"/>
  <c r="J86" i="4"/>
  <c r="J84" i="4"/>
  <c r="J83" i="4"/>
  <c r="J81" i="4"/>
  <c r="J80" i="4"/>
  <c r="K80" i="4" s="1"/>
  <c r="J78" i="4"/>
  <c r="J77" i="4"/>
  <c r="J71" i="4"/>
  <c r="K71" i="4" s="1"/>
  <c r="J70" i="4"/>
  <c r="K70" i="4" s="1"/>
  <c r="J67" i="4"/>
  <c r="K67" i="4" s="1"/>
  <c r="J68" i="4"/>
  <c r="K68" i="4" s="1"/>
  <c r="J65" i="4"/>
  <c r="K65" i="4" s="1"/>
  <c r="J64" i="4"/>
  <c r="K64" i="4" s="1"/>
  <c r="J62" i="4"/>
  <c r="K62" i="4" s="1"/>
  <c r="J61" i="4"/>
  <c r="K61" i="4" s="1"/>
  <c r="J59" i="4"/>
  <c r="K59" i="4" s="1"/>
  <c r="K31" i="4"/>
  <c r="K8" i="4"/>
  <c r="K30" i="4"/>
  <c r="K55" i="4"/>
  <c r="K15" i="4"/>
  <c r="K14" i="4"/>
  <c r="K13" i="4"/>
  <c r="K12" i="4"/>
  <c r="K11" i="4"/>
  <c r="K10" i="4"/>
  <c r="K9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G178" i="4" l="1"/>
  <c r="G179" i="4"/>
  <c r="J178" i="4"/>
  <c r="J179" i="4"/>
  <c r="G139" i="4"/>
  <c r="J138" i="4"/>
  <c r="J139" i="4"/>
  <c r="J159" i="4"/>
  <c r="J158" i="4"/>
  <c r="G159" i="4"/>
  <c r="G158" i="4"/>
  <c r="J118" i="4"/>
  <c r="G118" i="4"/>
  <c r="G119" i="4"/>
  <c r="J119" i="4"/>
  <c r="K51" i="4"/>
  <c r="K44" i="4"/>
  <c r="K50" i="4" s="1"/>
  <c r="K41" i="4"/>
  <c r="K47" i="4" s="1"/>
  <c r="K43" i="4"/>
  <c r="K49" i="4" s="1"/>
  <c r="K37" i="4"/>
  <c r="K38" i="4"/>
  <c r="K36" i="4"/>
  <c r="K42" i="4"/>
  <c r="K48" i="4" s="1"/>
</calcChain>
</file>

<file path=xl/sharedStrings.xml><?xml version="1.0" encoding="utf-8"?>
<sst xmlns="http://schemas.openxmlformats.org/spreadsheetml/2006/main" count="714" uniqueCount="143">
  <si>
    <t>FlORISH  RETAIL OUTLET</t>
  </si>
  <si>
    <t>SALES AND PROFITAILITY ANALYSIS</t>
  </si>
  <si>
    <t>ANALYST; EMEM SAMUEL</t>
  </si>
  <si>
    <t>ANALYSIS GUIDE</t>
  </si>
  <si>
    <t>General Information</t>
  </si>
  <si>
    <t>This section covers the company information as well as the analysis information.</t>
  </si>
  <si>
    <t>Company Information</t>
  </si>
  <si>
    <t>Company name</t>
  </si>
  <si>
    <t>Company sector</t>
  </si>
  <si>
    <t>Consumer goods</t>
  </si>
  <si>
    <t>Purpose of the Analysis</t>
  </si>
  <si>
    <t>Model Information</t>
  </si>
  <si>
    <t>Analysis owner</t>
  </si>
  <si>
    <t>Currency</t>
  </si>
  <si>
    <t>Dollar ($)</t>
  </si>
  <si>
    <t>Analyst</t>
  </si>
  <si>
    <t>Emem Samuel</t>
  </si>
  <si>
    <t>Analysis Timing and Navigation</t>
  </si>
  <si>
    <t>Analysis Timing</t>
  </si>
  <si>
    <t>Beginning Financial period</t>
  </si>
  <si>
    <t>End of financial peiod</t>
  </si>
  <si>
    <t>Months in period</t>
  </si>
  <si>
    <t>Analysis historical period</t>
  </si>
  <si>
    <t>Beginning of analysis historical period</t>
  </si>
  <si>
    <t>End of analysis historical period</t>
  </si>
  <si>
    <t>Cover page</t>
  </si>
  <si>
    <t>Model guide</t>
  </si>
  <si>
    <t>Historical data</t>
  </si>
  <si>
    <t>Profitability research</t>
  </si>
  <si>
    <t>Company product line</t>
  </si>
  <si>
    <t>5 product line (</t>
  </si>
  <si>
    <t>FLOURISH RETAIL OUTLET</t>
  </si>
  <si>
    <t>Date</t>
  </si>
  <si>
    <t>Product Name</t>
  </si>
  <si>
    <t>Sales Revenue</t>
  </si>
  <si>
    <t>COGS</t>
  </si>
  <si>
    <t>Marketing Cost</t>
  </si>
  <si>
    <t>Shipping Cost</t>
  </si>
  <si>
    <t>Sales Channel</t>
  </si>
  <si>
    <t>Customer Type</t>
  </si>
  <si>
    <t>Profit</t>
  </si>
  <si>
    <t>Profit Margin (%)</t>
  </si>
  <si>
    <t>Discount (%)</t>
  </si>
  <si>
    <t>Discount Amount</t>
  </si>
  <si>
    <t>Profit After Discount</t>
  </si>
  <si>
    <t>EverFresh Organic Juice</t>
  </si>
  <si>
    <t>Online</t>
  </si>
  <si>
    <t>Returning</t>
  </si>
  <si>
    <t>StyleEase Sneakers</t>
  </si>
  <si>
    <t>New</t>
  </si>
  <si>
    <t>HomeHaven Scented Candle</t>
  </si>
  <si>
    <t>GlowSkin Serum</t>
  </si>
  <si>
    <t>In-Store</t>
  </si>
  <si>
    <t>PowerUp Protein Bar</t>
  </si>
  <si>
    <t>FitFuel Energy Drink</t>
  </si>
  <si>
    <t>ANALYSIS OF SALES AND PROFITABILITY PERFORMANCE</t>
  </si>
  <si>
    <t>BASIC ANALYSIS</t>
  </si>
  <si>
    <t>SUMMARY</t>
  </si>
  <si>
    <t>Average Discount Rate (%)</t>
  </si>
  <si>
    <t xml:space="preserve">Total Sales Revenue </t>
  </si>
  <si>
    <t>Total Profit After Discount</t>
  </si>
  <si>
    <t>Total Cost of Goods Sold (COGS)</t>
  </si>
  <si>
    <t xml:space="preserve">Total Shipping Cost </t>
  </si>
  <si>
    <t>Total Discount Given</t>
  </si>
  <si>
    <t>Total Marketing Cost</t>
  </si>
  <si>
    <t>Total Profit Before Discount</t>
  </si>
  <si>
    <t>SALES BY PRODUCT</t>
  </si>
  <si>
    <t>SALES BY CHANNEL</t>
  </si>
  <si>
    <t>DEEP DELVE ANALYSIS</t>
  </si>
  <si>
    <t>PROFITABILITY ANALYSIS</t>
  </si>
  <si>
    <t>Total profit margin before discount</t>
  </si>
  <si>
    <t>Total profit margin after discount</t>
  </si>
  <si>
    <t>Total  discount margin</t>
  </si>
  <si>
    <t>EXPENSES ANALYSIS</t>
  </si>
  <si>
    <t>[COS as a % of Revenue]</t>
  </si>
  <si>
    <t>[total profit margin  as a % of Revenue]</t>
  </si>
  <si>
    <t>[total profit margin after disc,  as a % of Revenue]</t>
  </si>
  <si>
    <t>[total discount as a % of Revenue]</t>
  </si>
  <si>
    <t>[Marketing as a % of Revenue]</t>
  </si>
  <si>
    <t>[Shipping cost  as a % of Revenue]</t>
  </si>
  <si>
    <t>CUSTOMER ANALYSIS</t>
  </si>
  <si>
    <t>[profit margin based on customer type]</t>
  </si>
  <si>
    <t>LEAST PROFITABLE PRODUCTS</t>
  </si>
  <si>
    <t>SALES BY CUSTOMER TYPE</t>
  </si>
  <si>
    <t>[profit margin based on instore sales]</t>
  </si>
  <si>
    <t>[profit margin based on online sales]</t>
  </si>
  <si>
    <t>Total Cost of goods -Revenue</t>
  </si>
  <si>
    <t>Total shipping cost - Revenue</t>
  </si>
  <si>
    <t>Total marketing cost - Revenue</t>
  </si>
  <si>
    <t>Total discount - Revenue</t>
  </si>
  <si>
    <t>[Discount given as a % of Revenue]</t>
  </si>
  <si>
    <t>Total profit after discount - Revenue</t>
  </si>
  <si>
    <t>[profit after discount given as a % of Revenue]</t>
  </si>
  <si>
    <t xml:space="preserve"> CHANNEL ANALYSIS</t>
  </si>
  <si>
    <t>cost of sales</t>
  </si>
  <si>
    <t>[total/ as a % on instore total revenue]</t>
  </si>
  <si>
    <t>[total/ as a % on online total revenue]</t>
  </si>
  <si>
    <t>marketing cost</t>
  </si>
  <si>
    <t>shipping cost</t>
  </si>
  <si>
    <t>discount given</t>
  </si>
  <si>
    <t>Profit after discount given</t>
  </si>
  <si>
    <t>profit margin</t>
  </si>
  <si>
    <t>profit</t>
  </si>
  <si>
    <t>PRODUCT ANALYSIS</t>
  </si>
  <si>
    <t>total cost for new</t>
  </si>
  <si>
    <t>total cost for returning</t>
  </si>
  <si>
    <t>total for online</t>
  </si>
  <si>
    <t>total for instore</t>
  </si>
  <si>
    <t>REVENUE ANALYSIS</t>
  </si>
  <si>
    <t>COS;</t>
  </si>
  <si>
    <t>glow skin</t>
  </si>
  <si>
    <t>stle ease</t>
  </si>
  <si>
    <t>homehaven</t>
  </si>
  <si>
    <t>fitfuel</t>
  </si>
  <si>
    <t>powerup protein</t>
  </si>
  <si>
    <t>MKT</t>
  </si>
  <si>
    <t>SHIPPING</t>
  </si>
  <si>
    <t>DISCT.</t>
  </si>
  <si>
    <t>PROFIT</t>
  </si>
  <si>
    <t>online</t>
  </si>
  <si>
    <t>instore</t>
  </si>
  <si>
    <t>style ease</t>
  </si>
  <si>
    <t xml:space="preserve">new </t>
  </si>
  <si>
    <t>new</t>
  </si>
  <si>
    <t xml:space="preserve">glow skin </t>
  </si>
  <si>
    <t>HISHEST COST/PROFIT PRODUCT</t>
  </si>
  <si>
    <t>product</t>
  </si>
  <si>
    <t>customers</t>
  </si>
  <si>
    <t>channel</t>
  </si>
  <si>
    <t>returning</t>
  </si>
  <si>
    <t>new/ returning</t>
  </si>
  <si>
    <t>amount</t>
  </si>
  <si>
    <t>online/ instore</t>
  </si>
  <si>
    <t>glow skin =1</t>
  </si>
  <si>
    <t>homehaven =2</t>
  </si>
  <si>
    <t>style ease =3</t>
  </si>
  <si>
    <t>powerup protein =4</t>
  </si>
  <si>
    <t>fitfuel=5</t>
  </si>
  <si>
    <t>COST DRIVER ANALYSIS BASED ON PRODUCTS</t>
  </si>
  <si>
    <t>Analysis Navigation</t>
  </si>
  <si>
    <t>Visualization</t>
  </si>
  <si>
    <t>Analysis</t>
  </si>
  <si>
    <t>Contd. Analysis nd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</si>
</sst>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months&quot;"/>
    <numFmt numFmtId="165" formatCode="yyyy\-mm\-dd"/>
  </numFmts>
  <fonts count="2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5" tint="0.39997558519241921"/>
      <name val="Times New Roman"/>
      <family val="1"/>
    </font>
    <font>
      <sz val="12"/>
      <name val="Times New Roman"/>
      <family val="1"/>
    </font>
    <font>
      <sz val="12"/>
      <color rgb="FFCC0000"/>
      <name val="Times New Roman"/>
      <family val="1"/>
    </font>
    <font>
      <sz val="12"/>
      <color theme="0"/>
      <name val="Times New Roman"/>
      <family val="1"/>
    </font>
    <font>
      <sz val="16"/>
      <name val="Times New Roman"/>
      <family val="1"/>
    </font>
    <font>
      <sz val="20"/>
      <color theme="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i/>
      <sz val="11"/>
      <color theme="0" tint="-0.34998626667073579"/>
      <name val="Times New Roman"/>
      <family val="1"/>
    </font>
    <font>
      <sz val="11"/>
      <color theme="0" tint="-0.34998626667073579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12"/>
      <color theme="1" tint="4.9989318521683403E-2"/>
      <name val="Times New Roman"/>
      <family val="1"/>
    </font>
    <font>
      <sz val="11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2" borderId="0" xfId="0" applyFont="1" applyFill="1"/>
    <xf numFmtId="0" fontId="2" fillId="4" borderId="0" xfId="0" applyFont="1" applyFill="1"/>
    <xf numFmtId="0" fontId="5" fillId="3" borderId="0" xfId="0" applyFont="1" applyFill="1"/>
    <xf numFmtId="0" fontId="3" fillId="5" borderId="0" xfId="0" applyFont="1" applyFill="1"/>
    <xf numFmtId="0" fontId="1" fillId="5" borderId="0" xfId="0" applyFont="1" applyFill="1"/>
    <xf numFmtId="0" fontId="2" fillId="4" borderId="0" xfId="0" applyFont="1" applyFill="1" applyAlignment="1">
      <alignment horizontal="centerContinuous"/>
    </xf>
    <xf numFmtId="0" fontId="7" fillId="3" borderId="0" xfId="0" applyFont="1" applyFill="1" applyAlignment="1">
      <alignment horizontal="centerContinuous"/>
    </xf>
    <xf numFmtId="0" fontId="8" fillId="4" borderId="0" xfId="0" applyFont="1" applyFill="1" applyAlignment="1">
      <alignment horizontal="centerContinuous"/>
    </xf>
    <xf numFmtId="0" fontId="1" fillId="4" borderId="0" xfId="0" applyFont="1" applyFill="1" applyAlignment="1">
      <alignment horizontal="centerContinuous"/>
    </xf>
    <xf numFmtId="0" fontId="6" fillId="4" borderId="0" xfId="0" applyFont="1" applyFill="1" applyAlignment="1">
      <alignment horizontal="centerContinuous"/>
    </xf>
    <xf numFmtId="0" fontId="13" fillId="0" borderId="0" xfId="0" applyFont="1"/>
    <xf numFmtId="0" fontId="10" fillId="0" borderId="1" xfId="0" applyFont="1" applyBorder="1"/>
    <xf numFmtId="0" fontId="1" fillId="0" borderId="1" xfId="0" applyFont="1" applyBorder="1"/>
    <xf numFmtId="0" fontId="14" fillId="0" borderId="0" xfId="0" applyFont="1"/>
    <xf numFmtId="0" fontId="1" fillId="7" borderId="0" xfId="0" applyFont="1" applyFill="1"/>
    <xf numFmtId="14" fontId="1" fillId="7" borderId="0" xfId="0" applyNumberFormat="1" applyFont="1" applyFill="1"/>
    <xf numFmtId="164" fontId="1" fillId="7" borderId="0" xfId="0" applyNumberFormat="1" applyFont="1" applyFill="1"/>
    <xf numFmtId="0" fontId="12" fillId="6" borderId="0" xfId="0" applyFont="1" applyFill="1"/>
    <xf numFmtId="0" fontId="1" fillId="6" borderId="0" xfId="0" applyFont="1" applyFill="1"/>
    <xf numFmtId="0" fontId="2" fillId="6" borderId="0" xfId="0" applyFont="1" applyFill="1"/>
    <xf numFmtId="0" fontId="19" fillId="0" borderId="0" xfId="1" applyFont="1" applyFill="1"/>
    <xf numFmtId="0" fontId="19" fillId="0" borderId="0" xfId="0" applyFont="1"/>
    <xf numFmtId="0" fontId="0" fillId="7" borderId="0" xfId="0" applyFill="1"/>
    <xf numFmtId="0" fontId="1" fillId="8" borderId="0" xfId="0" applyFont="1" applyFill="1"/>
    <xf numFmtId="165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5" fontId="17" fillId="0" borderId="2" xfId="0" applyNumberFormat="1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2" fontId="9" fillId="0" borderId="0" xfId="0" applyNumberFormat="1" applyFont="1" applyAlignment="1">
      <alignment horizontal="left"/>
    </xf>
    <xf numFmtId="2" fontId="17" fillId="0" borderId="2" xfId="0" applyNumberFormat="1" applyFont="1" applyBorder="1" applyAlignment="1">
      <alignment horizontal="left" vertical="top"/>
    </xf>
    <xf numFmtId="0" fontId="11" fillId="8" borderId="0" xfId="0" applyFont="1" applyFill="1"/>
    <xf numFmtId="0" fontId="9" fillId="7" borderId="0" xfId="0" applyFont="1" applyFill="1"/>
    <xf numFmtId="0" fontId="9" fillId="0" borderId="0" xfId="0" applyFont="1"/>
    <xf numFmtId="0" fontId="15" fillId="0" borderId="0" xfId="0" applyFont="1"/>
    <xf numFmtId="0" fontId="16" fillId="0" borderId="0" xfId="0" applyFont="1"/>
    <xf numFmtId="9" fontId="1" fillId="0" borderId="0" xfId="0" applyNumberFormat="1" applyFont="1"/>
    <xf numFmtId="9" fontId="1" fillId="7" borderId="0" xfId="0" applyNumberFormat="1" applyFont="1" applyFill="1"/>
    <xf numFmtId="9" fontId="1" fillId="0" borderId="0" xfId="2" applyFont="1"/>
    <xf numFmtId="1" fontId="9" fillId="0" borderId="0" xfId="0" applyNumberFormat="1" applyFont="1"/>
    <xf numFmtId="9" fontId="9" fillId="0" borderId="0" xfId="2" applyFont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0" xfId="0" applyFont="1" applyFill="1"/>
    <xf numFmtId="0" fontId="1" fillId="10" borderId="0" xfId="0" applyFont="1" applyFill="1"/>
    <xf numFmtId="0" fontId="9" fillId="0" borderId="2" xfId="0" applyFont="1" applyBorder="1"/>
    <xf numFmtId="0" fontId="21" fillId="10" borderId="0" xfId="0" applyFont="1" applyFill="1"/>
    <xf numFmtId="0" fontId="9" fillId="9" borderId="0" xfId="0" applyFont="1" applyFill="1"/>
    <xf numFmtId="9" fontId="9" fillId="0" borderId="0" xfId="2" applyFont="1" applyAlignment="1">
      <alignment horizontal="left"/>
    </xf>
    <xf numFmtId="0" fontId="1" fillId="0" borderId="0" xfId="0" applyFont="1" applyAlignment="1">
      <alignment horizontal="centerContinuous"/>
    </xf>
    <xf numFmtId="0" fontId="1" fillId="9" borderId="0" xfId="0" applyFont="1" applyFill="1" applyAlignment="1">
      <alignment horizontal="centerContinuous"/>
    </xf>
    <xf numFmtId="0" fontId="1" fillId="0" borderId="0" xfId="0" applyFont="1" applyAlignment="1">
      <alignment horizontal="left"/>
    </xf>
    <xf numFmtId="0" fontId="22" fillId="7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EXPENSES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3808005401958"/>
          <c:y val="7.7818906456897319E-2"/>
          <c:w val="0.50402451776140866"/>
          <c:h val="0.85848681352614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1-45F4-914A-200D796B3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1-45F4-914A-200D796B3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1-45F4-914A-200D796B3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71-45F4-914A-200D796B3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ANALYTICS!$K$41:$K$44</c:f>
              <c:numCache>
                <c:formatCode>0%</c:formatCode>
                <c:ptCount val="4"/>
                <c:pt idx="0">
                  <c:v>0.74127250622358598</c:v>
                </c:pt>
                <c:pt idx="1">
                  <c:v>0.17003415735541016</c:v>
                </c:pt>
                <c:pt idx="2">
                  <c:v>5.8356973310947718E-2</c:v>
                </c:pt>
                <c:pt idx="3">
                  <c:v>5.2689168065767379E-2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71-45F4-914A-200D796B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699750886658874"/>
          <c:y val="0.33604289769208356"/>
          <c:w val="3.3246394821535775E-2"/>
          <c:h val="0.4777460262630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'CONT. ANALYSIS &amp; VIZ'!$E$22:$E$26</c:f>
              <c:numCache>
                <c:formatCode>General</c:formatCode>
                <c:ptCount val="5"/>
                <c:pt idx="0">
                  <c:v>98</c:v>
                </c:pt>
                <c:pt idx="1">
                  <c:v>52</c:v>
                </c:pt>
                <c:pt idx="2">
                  <c:v>146</c:v>
                </c:pt>
                <c:pt idx="3">
                  <c:v>73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E-4CE6-9120-A1D6328F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84816"/>
        <c:axId val="141882416"/>
      </c:barChart>
      <c:catAx>
        <c:axId val="1418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2416"/>
        <c:crosses val="autoZero"/>
        <c:auto val="1"/>
        <c:lblAlgn val="ctr"/>
        <c:lblOffset val="100"/>
        <c:noMultiLvlLbl val="0"/>
      </c:catAx>
      <c:valAx>
        <c:axId val="1418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'CONT. ANALYSIS &amp; VIZ'!$D$29:$D$33</c:f>
              <c:strCache>
                <c:ptCount val="5"/>
                <c:pt idx="0">
                  <c:v>new</c:v>
                </c:pt>
                <c:pt idx="1">
                  <c:v>returning</c:v>
                </c:pt>
                <c:pt idx="2">
                  <c:v>new</c:v>
                </c:pt>
                <c:pt idx="3">
                  <c:v>new</c:v>
                </c:pt>
                <c:pt idx="4">
                  <c:v>returning</c:v>
                </c:pt>
              </c:strCache>
            </c:strRef>
          </c:cat>
          <c:val>
            <c:numRef>
              <c:f>'CONT. ANALYSIS &amp; VIZ'!$E$29:$E$33</c:f>
              <c:numCache>
                <c:formatCode>General</c:formatCode>
                <c:ptCount val="5"/>
                <c:pt idx="0">
                  <c:v>88.55</c:v>
                </c:pt>
                <c:pt idx="1">
                  <c:v>31.3</c:v>
                </c:pt>
                <c:pt idx="2">
                  <c:v>132.1</c:v>
                </c:pt>
                <c:pt idx="3">
                  <c:v>84.9</c:v>
                </c:pt>
                <c:pt idx="4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E-4C15-A0A9-4FB16F87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130176"/>
        <c:axId val="319128736"/>
      </c:barChart>
      <c:catAx>
        <c:axId val="3191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28736"/>
        <c:crosses val="autoZero"/>
        <c:auto val="1"/>
        <c:lblAlgn val="ctr"/>
        <c:lblOffset val="100"/>
        <c:noMultiLvlLbl val="0"/>
      </c:catAx>
      <c:valAx>
        <c:axId val="3191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'CONT. ANALYSIS &amp; VIZ'!$E$36:$E$40</c:f>
              <c:numCache>
                <c:formatCode>General</c:formatCode>
                <c:ptCount val="5"/>
                <c:pt idx="0">
                  <c:v>-191.1</c:v>
                </c:pt>
                <c:pt idx="1">
                  <c:v>-66.75</c:v>
                </c:pt>
                <c:pt idx="2">
                  <c:v>-59.3</c:v>
                </c:pt>
                <c:pt idx="3">
                  <c:v>75.2</c:v>
                </c:pt>
                <c:pt idx="4">
                  <c:v>309.39999999999998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D-468F-B9DC-5174BC8B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631856"/>
        <c:axId val="217630896"/>
      </c:barChart>
      <c:catAx>
        <c:axId val="2176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30896"/>
        <c:crosses val="autoZero"/>
        <c:auto val="1"/>
        <c:lblAlgn val="ctr"/>
        <c:lblOffset val="100"/>
        <c:noMultiLvlLbl val="0"/>
      </c:catAx>
      <c:valAx>
        <c:axId val="2176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'CONT. ANALYSIS &amp; VIZ'!$H$22:$H$26</c:f>
              <c:numCache>
                <c:formatCode>General</c:formatCode>
                <c:ptCount val="5"/>
                <c:pt idx="0">
                  <c:v>118</c:v>
                </c:pt>
                <c:pt idx="1">
                  <c:v>82</c:v>
                </c:pt>
                <c:pt idx="2">
                  <c:v>149</c:v>
                </c:pt>
                <c:pt idx="3">
                  <c:v>93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8-41D7-A271-BB46D613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6336"/>
        <c:axId val="148174416"/>
      </c:barChart>
      <c:catAx>
        <c:axId val="1481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4416"/>
        <c:crosses val="autoZero"/>
        <c:auto val="1"/>
        <c:lblAlgn val="ctr"/>
        <c:lblOffset val="100"/>
        <c:noMultiLvlLbl val="0"/>
      </c:catAx>
      <c:valAx>
        <c:axId val="148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'CONT. ANALYSIS &amp; VIZ'!$H$29:$H$33</c:f>
              <c:numCache>
                <c:formatCode>General</c:formatCode>
                <c:ptCount val="5"/>
                <c:pt idx="0">
                  <c:v>100.75</c:v>
                </c:pt>
                <c:pt idx="1">
                  <c:v>48.05</c:v>
                </c:pt>
                <c:pt idx="2">
                  <c:v>120</c:v>
                </c:pt>
                <c:pt idx="3">
                  <c:v>119.7</c:v>
                </c:pt>
                <c:pt idx="4">
                  <c:v>62.25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9-4FBB-9D3E-19BD1F85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4896"/>
        <c:axId val="148175376"/>
      </c:barChart>
      <c:catAx>
        <c:axId val="1481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5376"/>
        <c:crosses val="autoZero"/>
        <c:auto val="1"/>
        <c:lblAlgn val="ctr"/>
        <c:lblOffset val="100"/>
        <c:noMultiLvlLbl val="0"/>
      </c:catAx>
      <c:valAx>
        <c:axId val="1481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00481189851263E-2"/>
          <c:y val="0.27515716535433077"/>
          <c:w val="0.88265507436570434"/>
          <c:h val="0.660028136482939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'CONT. ANALYSIS &amp; VIZ'!$H$36:$H$40</c:f>
              <c:numCache>
                <c:formatCode>General</c:formatCode>
                <c:ptCount val="5"/>
                <c:pt idx="0">
                  <c:v>-59.9</c:v>
                </c:pt>
                <c:pt idx="1">
                  <c:v>5</c:v>
                </c:pt>
                <c:pt idx="2">
                  <c:v>0.6</c:v>
                </c:pt>
                <c:pt idx="3">
                  <c:v>80</c:v>
                </c:pt>
                <c:pt idx="4">
                  <c:v>200.8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E-45E2-83B5-59D3CFB5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99136"/>
        <c:axId val="22297696"/>
      </c:barChart>
      <c:catAx>
        <c:axId val="222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7696"/>
        <c:crosses val="autoZero"/>
        <c:auto val="1"/>
        <c:lblAlgn val="ctr"/>
        <c:lblOffset val="100"/>
        <c:noMultiLvlLbl val="0"/>
      </c:catAx>
      <c:valAx>
        <c:axId val="222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74-4A66-BAE3-B636A1DA28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4-4A66-BAE3-B636A1DA28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74-4A66-BAE3-B636A1DA28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74-4A66-BAE3-B636A1DA28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74-4A66-BAE3-B636A1DA28F2}"/>
              </c:ext>
            </c:extLst>
          </c:dPt>
          <c:val>
            <c:numRef>
              <c:f>ANALYTICS!$K$47:$K$51</c:f>
              <c:numCache>
                <c:formatCode>0%</c:formatCode>
                <c:ptCount val="5"/>
                <c:pt idx="0">
                  <c:v>0.74127250622358598</c:v>
                </c:pt>
                <c:pt idx="1">
                  <c:v>0.17003415735541016</c:v>
                </c:pt>
                <c:pt idx="2">
                  <c:v>5.8356973310947718E-2</c:v>
                </c:pt>
                <c:pt idx="3">
                  <c:v>5.2689168065767379E-2</c:v>
                </c:pt>
                <c:pt idx="4">
                  <c:v>-2.2352804955711222E-2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74-4A66-BAE3-B636A1DA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EB74-4A66-BAE3-B636A1DA28F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B74-4A66-BAE3-B636A1DA28F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B74-4A66-BAE3-B636A1DA28F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B74-4A66-BAE3-B636A1DA28F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EB74-4A66-BAE3-B636A1DA28F2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ANALYTICS!$L$47:$L$51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EB74-4A66-BAE3-B636A1DA28F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336867891513560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830-409E-B61F-DCA1AD72DA12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0-409E-B61F-DCA1AD72DA12}"/>
              </c:ext>
            </c:extLst>
          </c:dPt>
          <c:dPt>
            <c:idx val="7"/>
            <c:invertIfNegative val="0"/>
            <c:bubble3D val="0"/>
            <c:spPr>
              <a:solidFill>
                <a:srgbClr val="CC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30-409E-B61F-DCA1AD72DA12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0-409E-B61F-DCA1AD72DA1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30-409E-B61F-DCA1AD72DA12}"/>
              </c:ext>
            </c:extLst>
          </c:dPt>
          <c:val>
            <c:numRef>
              <c:f>ANALYTICS!$K$58:$K$71</c:f>
              <c:numCache>
                <c:formatCode>0%</c:formatCode>
                <c:ptCount val="14"/>
                <c:pt idx="0">
                  <c:v>0.58141332920983457</c:v>
                </c:pt>
                <c:pt idx="1">
                  <c:v>0.83694243938552659</c:v>
                </c:pt>
                <c:pt idx="3">
                  <c:v>0.13978660893768363</c:v>
                </c:pt>
                <c:pt idx="4">
                  <c:v>0.18813622061817509</c:v>
                </c:pt>
                <c:pt idx="6">
                  <c:v>5.4120921601979281E-2</c:v>
                </c:pt>
                <c:pt idx="7">
                  <c:v>6.0892096983157507E-2</c:v>
                </c:pt>
                <c:pt idx="9">
                  <c:v>5.3819390753053968E-2</c:v>
                </c:pt>
                <c:pt idx="10">
                  <c:v>5.2012770682953922E-2</c:v>
                </c:pt>
                <c:pt idx="12">
                  <c:v>0.17085974949744862</c:v>
                </c:pt>
                <c:pt idx="13">
                  <c:v>-0.13313436979455856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A-4C6F-80D0-B15DDBC5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69968"/>
        <c:axId val="1288569488"/>
      </c:barChart>
      <c:catAx>
        <c:axId val="128856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EXPENSE AND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9488"/>
        <c:crosses val="autoZero"/>
        <c:auto val="1"/>
        <c:lblAlgn val="ctr"/>
        <c:lblOffset val="100"/>
        <c:noMultiLvlLbl val="0"/>
      </c:catAx>
      <c:valAx>
        <c:axId val="12885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</a:t>
                </a:r>
                <a:r>
                  <a:rPr lang="en-US" baseline="0"/>
                  <a:t> REVENUE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9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0E-46DE-B757-CD1BC1BF81C4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0E-46DE-B757-CD1BC1BF81C4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0E-46DE-B757-CD1BC1BF81C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20E-46DE-B757-CD1BC1BF81C4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0E-46DE-B757-CD1BC1BF81C4}"/>
              </c:ext>
            </c:extLst>
          </c:dPt>
          <c:val>
            <c:numRef>
              <c:f>ANALYTICS!$K$77:$K$90</c:f>
              <c:numCache>
                <c:formatCode>0%</c:formatCode>
                <c:ptCount val="14"/>
                <c:pt idx="0">
                  <c:v>0.71120650287697507</c:v>
                </c:pt>
                <c:pt idx="1">
                  <c:v>0.7933270082226439</c:v>
                </c:pt>
                <c:pt idx="3">
                  <c:v>0.16321125216914786</c:v>
                </c:pt>
                <c:pt idx="4">
                  <c:v>0.18200506008855155</c:v>
                </c:pt>
                <c:pt idx="6">
                  <c:v>5.6260845739336929E-2</c:v>
                </c:pt>
                <c:pt idx="7">
                  <c:v>4.7596457938013918E-2</c:v>
                </c:pt>
                <c:pt idx="9">
                  <c:v>5.2954607726733043E-2</c:v>
                </c:pt>
                <c:pt idx="10">
                  <c:v>5.2229601518026567E-2</c:v>
                </c:pt>
                <c:pt idx="12">
                  <c:v>1.6458124029591743E-2</c:v>
                </c:pt>
                <c:pt idx="13">
                  <c:v>-8.9547754585705255E-2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E-46DE-B757-CD1BC1BF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89264"/>
        <c:axId val="155365744"/>
      </c:barChart>
      <c:catAx>
        <c:axId val="1553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EXPENSE AND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5744"/>
        <c:crosses val="autoZero"/>
        <c:auto val="1"/>
        <c:lblAlgn val="ctr"/>
        <c:lblOffset val="100"/>
        <c:noMultiLvlLbl val="0"/>
      </c:catAx>
      <c:valAx>
        <c:axId val="1553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TO REVENUE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REVENU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 ANALYSIS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8105751025471"/>
          <c:y val="0.13822460057077782"/>
          <c:w val="0.4659470248434554"/>
          <c:h val="0.84609570361428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B8-466F-A401-FF4B98074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B8-466F-A401-FF4B980741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B8-466F-A401-FF4B980741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B8-466F-A401-FF4B980741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B8-466F-A401-FF4B98074129}"/>
              </c:ext>
            </c:extLst>
          </c:dPt>
          <c:dLbls>
            <c:dLbl>
              <c:idx val="0"/>
              <c:layout>
                <c:manualLayout>
                  <c:x val="-0.22616950099922581"/>
                  <c:y val="-0.1565627061821195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bg1"/>
                        </a:solidFill>
                      </a:rPr>
                      <a:t>COST OF SALES, 74%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96362170607522"/>
                      <c:h val="0.1832464285460416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A7B8-466F-A401-FF4B98074129}"/>
                </c:ext>
              </c:extLst>
            </c:dLbl>
            <c:dLbl>
              <c:idx val="1"/>
              <c:layout>
                <c:manualLayout>
                  <c:x val="0.17174322217473326"/>
                  <c:y val="8.11214024013680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bg1"/>
                        </a:solidFill>
                      </a:rPr>
                      <a:t>MARKETING, 17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85957257313647"/>
                      <c:h val="0.1101091948043667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A7B8-466F-A401-FF4B98074129}"/>
                </c:ext>
              </c:extLst>
            </c:dLbl>
            <c:dLbl>
              <c:idx val="4"/>
              <c:layout>
                <c:manualLayout>
                  <c:x val="2.1091272898651398E-2"/>
                  <c:y val="3.76149423244731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1311F8B-3F60-4BFF-9D35-726F108EFA0B}" type="VALUE">
                      <a:rPr lang="en-US"/>
                      <a:pPr>
                        <a:defRPr sz="1600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r>
                      <a:rPr lang="en-US"/>
                      <a:t>, PROFIT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86107328007374"/>
                      <c:h val="0.114896551100208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7B8-466F-A401-FF4B98074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ANALYTICS!$K$47:$K$51</c:f>
              <c:numCache>
                <c:formatCode>0%</c:formatCode>
                <c:ptCount val="5"/>
                <c:pt idx="0">
                  <c:v>0.74127250622358598</c:v>
                </c:pt>
                <c:pt idx="1">
                  <c:v>0.17003415735541016</c:v>
                </c:pt>
                <c:pt idx="2">
                  <c:v>5.8356973310947718E-2</c:v>
                </c:pt>
                <c:pt idx="3">
                  <c:v>5.2689168065767379E-2</c:v>
                </c:pt>
                <c:pt idx="4">
                  <c:v>-2.2352804955711222E-2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B8-466F-A401-FF4B980741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45188547424195"/>
          <c:y val="0.17891867012060553"/>
          <c:w val="3.1984595067133227E-2"/>
          <c:h val="0.57391156412320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'CONT. ANALYSIS &amp; VIZ'!$E$8:$E$12</c:f>
              <c:numCache>
                <c:formatCode>General</c:formatCode>
                <c:ptCount val="5"/>
                <c:pt idx="0">
                  <c:v>1519</c:v>
                </c:pt>
                <c:pt idx="1">
                  <c:v>1065</c:v>
                </c:pt>
                <c:pt idx="2">
                  <c:v>1713</c:v>
                </c:pt>
                <c:pt idx="3">
                  <c:v>1361</c:v>
                </c:pt>
                <c:pt idx="4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3-497A-856B-04212A40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76304"/>
        <c:axId val="155389744"/>
      </c:barChart>
      <c:catAx>
        <c:axId val="1553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9744"/>
        <c:crosses val="autoZero"/>
        <c:auto val="1"/>
        <c:lblAlgn val="ctr"/>
        <c:lblOffset val="100"/>
        <c:noMultiLvlLbl val="0"/>
      </c:catAx>
      <c:valAx>
        <c:axId val="1553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CHANNELS</a:t>
            </a:r>
          </a:p>
        </c:rich>
      </c:tx>
      <c:layout>
        <c:manualLayout>
          <c:xMode val="edge"/>
          <c:yMode val="edge"/>
          <c:x val="0.4340901137357829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'CONT. ANALYSIS &amp; VIZ'!$H$8:$H$12</c:f>
              <c:numCache>
                <c:formatCode>General</c:formatCode>
                <c:ptCount val="5"/>
                <c:pt idx="0">
                  <c:v>1754</c:v>
                </c:pt>
                <c:pt idx="1">
                  <c:v>1243</c:v>
                </c:pt>
                <c:pt idx="2">
                  <c:v>1851</c:v>
                </c:pt>
                <c:pt idx="3">
                  <c:v>1576</c:v>
                </c:pt>
                <c:pt idx="4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0-45F8-8F2C-1BBE7E85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71024"/>
        <c:axId val="155376784"/>
      </c:barChart>
      <c:catAx>
        <c:axId val="1553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6784"/>
        <c:crosses val="autoZero"/>
        <c:auto val="1"/>
        <c:lblAlgn val="ctr"/>
        <c:lblOffset val="100"/>
        <c:noMultiLvlLbl val="0"/>
      </c:catAx>
      <c:valAx>
        <c:axId val="155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'CONT. ANALYSIS &amp; VIZ'!$H$15:$H$19</c:f>
              <c:numCache>
                <c:formatCode>General</c:formatCode>
                <c:ptCount val="5"/>
                <c:pt idx="0">
                  <c:v>450</c:v>
                </c:pt>
                <c:pt idx="1">
                  <c:v>306</c:v>
                </c:pt>
                <c:pt idx="2">
                  <c:v>437</c:v>
                </c:pt>
                <c:pt idx="3">
                  <c:v>382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E-4419-8CBE-2E52771E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3600"/>
        <c:axId val="239945120"/>
      </c:barChart>
      <c:catAx>
        <c:axId val="25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5120"/>
        <c:crosses val="autoZero"/>
        <c:auto val="1"/>
        <c:lblAlgn val="ctr"/>
        <c:lblOffset val="100"/>
        <c:noMultiLvlLbl val="0"/>
      </c:catAx>
      <c:valAx>
        <c:axId val="2399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'CONT. ANALYSIS &amp; VIZ'!$E$15:$E$19</c:f>
              <c:numCache>
                <c:formatCode>General</c:formatCode>
                <c:ptCount val="5"/>
                <c:pt idx="0">
                  <c:v>338</c:v>
                </c:pt>
                <c:pt idx="1">
                  <c:v>228</c:v>
                </c:pt>
                <c:pt idx="2">
                  <c:v>414</c:v>
                </c:pt>
                <c:pt idx="3">
                  <c:v>327</c:v>
                </c:pt>
                <c:pt idx="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1-4FE4-9E17-DE676A8A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88480"/>
        <c:axId val="238891840"/>
      </c:barChart>
      <c:catAx>
        <c:axId val="2388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91840"/>
        <c:crosses val="autoZero"/>
        <c:auto val="1"/>
        <c:lblAlgn val="ctr"/>
        <c:lblOffset val="100"/>
        <c:noMultiLvlLbl val="0"/>
      </c:catAx>
      <c:valAx>
        <c:axId val="2388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13606</xdr:colOff>
      <xdr:row>2</xdr:row>
      <xdr:rowOff>54428</xdr:rowOff>
    </xdr:from>
    <xdr:to>
      <xdr:col>13</xdr:col>
      <xdr:colOff>476249</xdr:colOff>
      <xdr:row>24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EF301-0A32-4BF1-A6B5-C101B506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248130</xdr:colOff>
      <xdr:row>2</xdr:row>
      <xdr:rowOff>29874</xdr:rowOff>
    </xdr:from>
    <xdr:to>
      <xdr:col>2</xdr:col>
      <xdr:colOff>128400</xdr:colOff>
      <xdr:row>3</xdr:row>
      <xdr:rowOff>59320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FFC85-516C-4856-ABA6-49ADB5A8F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608239</xdr:colOff>
      <xdr:row>27</xdr:row>
      <xdr:rowOff>146956</xdr:rowOff>
    </xdr:from>
    <xdr:to>
      <xdr:col>13</xdr:col>
      <xdr:colOff>530678</xdr:colOff>
      <xdr:row>50</xdr:row>
      <xdr:rowOff>40822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DBD6AC-BC79-4D23-B67F-C50A0B34A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463152</xdr:colOff>
      <xdr:row>27</xdr:row>
      <xdr:rowOff>136183</xdr:rowOff>
    </xdr:from>
    <xdr:to>
      <xdr:col>28</xdr:col>
      <xdr:colOff>163286</xdr:colOff>
      <xdr:row>50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6B9EF9-95BC-44C4-9CC8-769E34FBA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319365</xdr:colOff>
      <xdr:row>2</xdr:row>
      <xdr:rowOff>11206</xdr:rowOff>
    </xdr:from>
    <xdr:to>
      <xdr:col>28</xdr:col>
      <xdr:colOff>176892</xdr:colOff>
      <xdr:row>24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21BE2D-00CA-451F-8CFE-5483FBC37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0.32222</cdr:x>
      <cdr:y>0.47527</cdr:y>
    </cdr:from>
    <cdr:to>
      <cdr:x>0.48792</cdr:x>
      <cdr:y>0.54681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489535B6-3E9B-CB1C-F90D-98A165A721E8}"/>
            </a:ext>
          </a:extLst>
        </cdr:cNvPr>
        <cdr:cNvSpPr txBox="1"/>
      </cdr:nvSpPr>
      <cdr:spPr>
        <a:xfrm xmlns:a="http://schemas.openxmlformats.org/drawingml/2006/main">
          <a:off x="1553088" y="1516128"/>
          <a:ext cx="798664" cy="2282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kern="1200"/>
            <a:t>marketing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0.1374</cdr:x>
      <cdr:y>0.13139</cdr:y>
    </cdr:from>
    <cdr:to>
      <cdr:x>0.23972</cdr:x>
      <cdr:y>0.20294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489535B6-3E9B-CB1C-F90D-98A165A721E8}"/>
            </a:ext>
          </a:extLst>
        </cdr:cNvPr>
        <cdr:cNvSpPr txBox="1"/>
      </cdr:nvSpPr>
      <cdr:spPr>
        <a:xfrm xmlns:a="http://schemas.openxmlformats.org/drawingml/2006/main">
          <a:off x="805473" y="417147"/>
          <a:ext cx="599832" cy="2271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kern="1200"/>
            <a:t>COS</a:t>
          </a:r>
        </a:p>
      </cdr:txBody>
    </cdr:sp>
  </cdr:relSizeAnchor>
  <cdr:relSizeAnchor xmlns:cdr="http://schemas.openxmlformats.org/drawingml/2006/chartDrawing">
    <cdr:from>
      <cdr:x>0.68561</cdr:x>
      <cdr:y>0.53527</cdr:y>
    </cdr:from>
    <cdr:to>
      <cdr:x>0.81957</cdr:x>
      <cdr:y>0.60682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489535B6-3E9B-CB1C-F90D-98A165A721E8}"/>
            </a:ext>
          </a:extLst>
        </cdr:cNvPr>
        <cdr:cNvSpPr txBox="1"/>
      </cdr:nvSpPr>
      <cdr:spPr>
        <a:xfrm xmlns:a="http://schemas.openxmlformats.org/drawingml/2006/main">
          <a:off x="3304625" y="1707546"/>
          <a:ext cx="645670" cy="22823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kern="1200"/>
            <a:t>discont</a:t>
          </a:r>
        </a:p>
      </cdr:txBody>
    </cdr:sp>
  </cdr:relSizeAnchor>
  <cdr:relSizeAnchor xmlns:cdr="http://schemas.openxmlformats.org/drawingml/2006/chartDrawing">
    <cdr:from>
      <cdr:x>0.85981</cdr:x>
      <cdr:y>0.54393</cdr:y>
    </cdr:from>
    <cdr:to>
      <cdr:x>0.97422</cdr:x>
      <cdr:y>0.61547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489535B6-3E9B-CB1C-F90D-98A165A721E8}"/>
            </a:ext>
          </a:extLst>
        </cdr:cNvPr>
        <cdr:cNvSpPr txBox="1"/>
      </cdr:nvSpPr>
      <cdr:spPr>
        <a:xfrm xmlns:a="http://schemas.openxmlformats.org/drawingml/2006/main">
          <a:off x="4144254" y="1735154"/>
          <a:ext cx="551475" cy="2282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kern="1200"/>
            <a:t>profit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19050</xdr:rowOff>
    </xdr:from>
    <xdr:to>
      <xdr:col>19</xdr:col>
      <xdr:colOff>66675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867A4-7272-2C45-5DC1-8A65CADC1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6</xdr:row>
      <xdr:rowOff>28575</xdr:rowOff>
    </xdr:from>
    <xdr:to>
      <xdr:col>27</xdr:col>
      <xdr:colOff>133350</xdr:colOff>
      <xdr:row>12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8400A-5AFB-DA14-0E10-20DA1DD85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447675</xdr:colOff>
      <xdr:row>13</xdr:row>
      <xdr:rowOff>142875</xdr:rowOff>
    </xdr:from>
    <xdr:to>
      <xdr:col>27</xdr:col>
      <xdr:colOff>142875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349F3-2F1F-7E7D-6D1E-44CC38532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66675</xdr:colOff>
      <xdr:row>13</xdr:row>
      <xdr:rowOff>142875</xdr:rowOff>
    </xdr:from>
    <xdr:to>
      <xdr:col>19</xdr:col>
      <xdr:colOff>123825</xdr:colOff>
      <xdr:row>19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C319D0-04C3-F201-FAB7-58F9A79F4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76200</xdr:colOff>
      <xdr:row>20</xdr:row>
      <xdr:rowOff>190499</xdr:rowOff>
    </xdr:from>
    <xdr:to>
      <xdr:col>19</xdr:col>
      <xdr:colOff>142875</xdr:colOff>
      <xdr:row>26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120F6-2DCE-0377-7907-AB6785319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28</xdr:row>
      <xdr:rowOff>47624</xdr:rowOff>
    </xdr:from>
    <xdr:to>
      <xdr:col>19</xdr:col>
      <xdr:colOff>209550</xdr:colOff>
      <xdr:row>33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E52672-2F25-722C-8A66-9BF2F902E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47625</xdr:colOff>
      <xdr:row>35</xdr:row>
      <xdr:rowOff>9525</xdr:rowOff>
    </xdr:from>
    <xdr:to>
      <xdr:col>19</xdr:col>
      <xdr:colOff>200025</xdr:colOff>
      <xdr:row>41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A07D5-94E7-8752-5827-353051DF1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457200</xdr:colOff>
      <xdr:row>20</xdr:row>
      <xdr:rowOff>190500</xdr:rowOff>
    </xdr:from>
    <xdr:to>
      <xdr:col>27</xdr:col>
      <xdr:colOff>152400</xdr:colOff>
      <xdr:row>26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BA7B8B-9FBD-65D4-0642-36F75FCAD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476250</xdr:colOff>
      <xdr:row>28</xdr:row>
      <xdr:rowOff>28575</xdr:rowOff>
    </xdr:from>
    <xdr:to>
      <xdr:col>27</xdr:col>
      <xdr:colOff>171450</xdr:colOff>
      <xdr:row>33</xdr:row>
      <xdr:rowOff>133349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05EAA9-3A81-063C-9C95-75439DD5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485775</xdr:colOff>
      <xdr:row>35</xdr:row>
      <xdr:rowOff>0</xdr:rowOff>
    </xdr:from>
    <xdr:to>
      <xdr:col>27</xdr:col>
      <xdr:colOff>180975</xdr:colOff>
      <xdr:row>40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930750-4C57-EEF2-77B9-2018B833A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8E9C-BF24-453C-AD04-74B9196FDCD1}">
  <dimension ref="A1:U23"/>
  <sheetViews>
    <sheetView showGridLines="0" workbookViewId="0">
      <selection activeCell="A21" sqref="A21"/>
    </sheetView>
  </sheetViews>
  <sheetFormatPr defaultRowHeight="15.75" x14ac:dyDescent="0.25"/>
  <cols>
    <col min="1" max="16384" width="9.140625" style="1"/>
  </cols>
  <sheetData>
    <row r="1" spans="1:21" x14ac:dyDescent="0.25"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8"/>
      <c r="T1" s="8"/>
      <c r="U1" s="8"/>
    </row>
    <row r="2" spans="1:21" x14ac:dyDescent="0.25">
      <c r="H2" s="7"/>
      <c r="I2" s="7"/>
      <c r="J2" s="7"/>
      <c r="K2" s="7"/>
      <c r="L2" s="7"/>
      <c r="M2" s="7"/>
      <c r="N2" s="7"/>
      <c r="O2" s="8"/>
      <c r="P2" s="8"/>
      <c r="Q2" s="8"/>
      <c r="R2" s="8"/>
      <c r="S2" s="8"/>
      <c r="T2" s="8"/>
      <c r="U2" s="8"/>
    </row>
    <row r="3" spans="1:21" x14ac:dyDescent="0.25">
      <c r="H3" s="7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</row>
    <row r="4" spans="1:21" x14ac:dyDescent="0.25">
      <c r="E4" s="3"/>
      <c r="H4" s="7"/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</row>
    <row r="5" spans="1:21" x14ac:dyDescent="0.25">
      <c r="H5" s="7"/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</row>
    <row r="6" spans="1:21" x14ac:dyDescent="0.25">
      <c r="A6" s="5"/>
      <c r="B6" s="5"/>
      <c r="C6" s="5"/>
      <c r="D6" s="5"/>
      <c r="E6" s="5"/>
      <c r="F6" s="5"/>
      <c r="G6" s="5"/>
      <c r="H6" s="7"/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</row>
    <row r="7" spans="1:21" ht="26.25" x14ac:dyDescent="0.4">
      <c r="A7" s="11" t="s">
        <v>0</v>
      </c>
      <c r="B7" s="9"/>
      <c r="C7" s="9"/>
      <c r="D7" s="9"/>
      <c r="E7" s="9"/>
      <c r="F7" s="9"/>
      <c r="G7" s="9"/>
      <c r="H7" s="7"/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</row>
    <row r="8" spans="1:21" x14ac:dyDescent="0.25">
      <c r="A8" s="5"/>
      <c r="B8" s="5"/>
      <c r="C8" s="5"/>
      <c r="D8" s="5"/>
      <c r="E8" s="5"/>
      <c r="F8" s="5"/>
      <c r="G8" s="5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</row>
    <row r="9" spans="1:21" x14ac:dyDescent="0.25"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</row>
    <row r="10" spans="1:21" x14ac:dyDescent="0.25"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</row>
    <row r="11" spans="1:21" x14ac:dyDescent="0.25">
      <c r="A11" s="2"/>
      <c r="B11" s="2"/>
      <c r="C11" s="2"/>
      <c r="D11" s="2"/>
      <c r="E11" s="2"/>
      <c r="F11" s="2"/>
      <c r="G11" s="2"/>
      <c r="H11" s="7"/>
      <c r="I11" s="7"/>
      <c r="J11" s="7"/>
      <c r="K11" s="7"/>
      <c r="L11" s="7"/>
      <c r="M11" s="7"/>
      <c r="N11" s="7"/>
      <c r="O11" s="8"/>
      <c r="P11" s="8"/>
      <c r="Q11" s="8"/>
      <c r="R11" s="8"/>
      <c r="S11" s="8"/>
      <c r="T11" s="8"/>
      <c r="U11" s="8"/>
    </row>
    <row r="12" spans="1:21" ht="20.25" x14ac:dyDescent="0.3">
      <c r="A12" s="10" t="s">
        <v>1</v>
      </c>
      <c r="B12" s="10"/>
      <c r="C12" s="10"/>
      <c r="D12" s="10"/>
      <c r="E12" s="10"/>
      <c r="F12" s="10"/>
      <c r="G12" s="10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8"/>
    </row>
    <row r="13" spans="1:21" x14ac:dyDescent="0.25">
      <c r="A13" s="6"/>
      <c r="B13" s="6"/>
      <c r="C13" s="6"/>
      <c r="D13" s="6"/>
      <c r="E13" s="6"/>
      <c r="F13" s="6"/>
      <c r="G13" s="6"/>
      <c r="H13" s="7"/>
      <c r="I13" s="7"/>
      <c r="J13" s="7"/>
      <c r="K13" s="7"/>
      <c r="L13" s="7"/>
      <c r="M13" s="7"/>
      <c r="N13" s="7"/>
      <c r="O13" s="8"/>
      <c r="P13" s="8"/>
      <c r="Q13" s="8"/>
      <c r="R13" s="8"/>
      <c r="S13" s="8"/>
      <c r="T13" s="8"/>
      <c r="U13" s="8"/>
    </row>
    <row r="14" spans="1:21" x14ac:dyDescent="0.25">
      <c r="H14" s="7"/>
      <c r="I14" s="7"/>
      <c r="J14" s="7"/>
      <c r="K14" s="7"/>
      <c r="L14" s="7"/>
      <c r="M14" s="7"/>
      <c r="N14" s="7"/>
      <c r="O14" s="8"/>
      <c r="P14" s="8"/>
      <c r="Q14" s="8"/>
      <c r="R14" s="8"/>
      <c r="S14" s="8"/>
      <c r="T14" s="8"/>
      <c r="U14" s="8"/>
    </row>
    <row r="15" spans="1:21" x14ac:dyDescent="0.25">
      <c r="H15" s="7"/>
      <c r="I15" s="7"/>
      <c r="J15" s="7"/>
      <c r="K15" s="7"/>
      <c r="L15" s="7"/>
      <c r="M15" s="7"/>
      <c r="N15" s="7"/>
      <c r="O15" s="8"/>
      <c r="P15" s="8"/>
      <c r="Q15" s="8"/>
      <c r="R15" s="8"/>
      <c r="S15" s="8"/>
      <c r="T15" s="8"/>
      <c r="U15" s="8"/>
    </row>
    <row r="16" spans="1:21" x14ac:dyDescent="0.25">
      <c r="A16" s="13" t="s">
        <v>2</v>
      </c>
      <c r="B16" s="13"/>
      <c r="C16" s="12"/>
      <c r="D16" s="12"/>
      <c r="E16" s="12"/>
      <c r="F16" s="12"/>
      <c r="G16" s="12"/>
      <c r="H16" s="7"/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</row>
    <row r="17" spans="8:21" x14ac:dyDescent="0.25">
      <c r="H17" s="7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</row>
    <row r="18" spans="8:21" x14ac:dyDescent="0.25"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8"/>
      <c r="U18" s="8"/>
    </row>
    <row r="19" spans="8:21" x14ac:dyDescent="0.25">
      <c r="H19" s="7"/>
      <c r="I19" s="7"/>
      <c r="J19" s="7"/>
      <c r="K19" s="7"/>
      <c r="L19" s="7"/>
      <c r="M19" s="7"/>
      <c r="N19" s="7"/>
      <c r="O19" s="8"/>
      <c r="P19" s="8"/>
      <c r="Q19" s="8"/>
      <c r="R19" s="8"/>
      <c r="S19" s="8"/>
      <c r="T19" s="8"/>
      <c r="U19" s="8"/>
    </row>
    <row r="20" spans="8:21" x14ac:dyDescent="0.25">
      <c r="H20" s="7"/>
      <c r="I20" s="7"/>
      <c r="J20" s="7"/>
      <c r="K20" s="7"/>
      <c r="L20" s="7"/>
      <c r="M20" s="7"/>
      <c r="N20" s="7"/>
      <c r="O20" s="8"/>
      <c r="P20" s="8"/>
      <c r="Q20" s="8"/>
      <c r="R20" s="8"/>
      <c r="S20" s="8"/>
      <c r="T20" s="8"/>
      <c r="U20" s="8"/>
    </row>
    <row r="21" spans="8:21" x14ac:dyDescent="0.25">
      <c r="H21" s="7"/>
      <c r="I21" s="7"/>
      <c r="J21" s="7"/>
      <c r="K21" s="7"/>
      <c r="L21" s="7"/>
      <c r="M21" s="7"/>
      <c r="N21" s="7"/>
      <c r="O21" s="8"/>
      <c r="P21" s="8"/>
      <c r="Q21" s="8"/>
      <c r="R21" s="8"/>
      <c r="S21" s="8"/>
      <c r="T21" s="8"/>
      <c r="U21" s="8"/>
    </row>
    <row r="22" spans="8:21" x14ac:dyDescent="0.25">
      <c r="H22" s="7"/>
      <c r="I22" s="7"/>
      <c r="J22" s="7"/>
      <c r="K22" s="7"/>
      <c r="L22" s="7"/>
      <c r="M22" s="7"/>
      <c r="N22" s="7"/>
      <c r="O22" s="8"/>
      <c r="P22" s="8"/>
      <c r="Q22" s="8"/>
      <c r="R22" s="8"/>
      <c r="S22" s="8"/>
      <c r="T22" s="8"/>
      <c r="U22" s="8"/>
    </row>
    <row r="23" spans="8:21" x14ac:dyDescent="0.25">
      <c r="H23" s="7"/>
      <c r="I23" s="7"/>
      <c r="J23" s="7"/>
      <c r="K23" s="7"/>
      <c r="L23" s="7"/>
      <c r="M23" s="7"/>
      <c r="N23" s="7"/>
      <c r="O23" s="8"/>
      <c r="P23" s="8"/>
      <c r="Q23" s="8"/>
      <c r="R23" s="8"/>
      <c r="S23" s="8"/>
      <c r="T23" s="8"/>
      <c r="U2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391C-1D32-4341-893C-CB3862D00CDC}">
  <dimension ref="D3:M41"/>
  <sheetViews>
    <sheetView showGridLines="0" tabSelected="1" topLeftCell="A26" workbookViewId="0">
      <selection activeCell="K46" sqref="K46"/>
    </sheetView>
  </sheetViews>
  <sheetFormatPr defaultRowHeight="15.75" x14ac:dyDescent="0.25"/>
  <cols>
    <col min="1" max="1" width="4" style="1" customWidth="1"/>
    <col min="2" max="2" width="3.7109375" style="1" customWidth="1"/>
    <col min="3" max="3" width="4.140625" style="1" customWidth="1"/>
    <col min="4" max="11" width="9.140625" style="1"/>
    <col min="12" max="12" width="16.28515625" style="1" customWidth="1"/>
    <col min="13" max="13" width="14" style="1" customWidth="1"/>
    <col min="14" max="16384" width="9.140625" style="1"/>
  </cols>
  <sheetData>
    <row r="3" spans="4:13" x14ac:dyDescent="0.25">
      <c r="D3" s="21" t="s">
        <v>31</v>
      </c>
      <c r="E3" s="22"/>
      <c r="F3" s="23"/>
      <c r="G3" s="22"/>
      <c r="H3" s="22"/>
      <c r="I3" s="22"/>
      <c r="J3" s="22"/>
      <c r="K3" s="22"/>
      <c r="L3" s="22"/>
      <c r="M3" s="22"/>
    </row>
    <row r="5" spans="4:13" x14ac:dyDescent="0.25">
      <c r="F5" s="14" t="s">
        <v>3</v>
      </c>
    </row>
    <row r="7" spans="4:13" ht="18.75" x14ac:dyDescent="0.3">
      <c r="F7" s="15" t="s">
        <v>4</v>
      </c>
      <c r="G7" s="16"/>
      <c r="H7" s="16"/>
      <c r="I7" s="16"/>
      <c r="J7" s="16"/>
      <c r="K7" s="16"/>
      <c r="L7" s="16"/>
      <c r="M7" s="16"/>
    </row>
    <row r="8" spans="4:13" x14ac:dyDescent="0.25">
      <c r="F8" s="17" t="s">
        <v>5</v>
      </c>
      <c r="G8" s="17"/>
      <c r="H8" s="17"/>
      <c r="I8" s="17"/>
      <c r="J8" s="17"/>
      <c r="K8" s="17"/>
      <c r="L8" s="17"/>
      <c r="M8" s="17"/>
    </row>
    <row r="10" spans="4:13" x14ac:dyDescent="0.25">
      <c r="G10" s="16" t="s">
        <v>6</v>
      </c>
      <c r="H10" s="16"/>
      <c r="I10" s="16"/>
      <c r="J10" s="16"/>
      <c r="K10" s="16"/>
      <c r="L10" s="16"/>
      <c r="M10" s="16"/>
    </row>
    <row r="11" spans="4:13" x14ac:dyDescent="0.25">
      <c r="G11" s="1" t="s">
        <v>7</v>
      </c>
      <c r="L11" s="18" t="s">
        <v>31</v>
      </c>
      <c r="M11" s="18"/>
    </row>
    <row r="12" spans="4:13" x14ac:dyDescent="0.25">
      <c r="G12" s="1" t="s">
        <v>8</v>
      </c>
      <c r="L12" s="18" t="s">
        <v>9</v>
      </c>
      <c r="M12" s="18"/>
    </row>
    <row r="13" spans="4:13" x14ac:dyDescent="0.25">
      <c r="G13" s="1" t="s">
        <v>29</v>
      </c>
      <c r="L13" s="18" t="s">
        <v>30</v>
      </c>
      <c r="M13" s="18"/>
    </row>
    <row r="14" spans="4:13" x14ac:dyDescent="0.25">
      <c r="G14" s="1" t="s">
        <v>10</v>
      </c>
      <c r="L14" s="18" t="s">
        <v>28</v>
      </c>
      <c r="M14" s="18"/>
    </row>
    <row r="16" spans="4:13" x14ac:dyDescent="0.25">
      <c r="G16" s="16" t="s">
        <v>11</v>
      </c>
      <c r="H16" s="16"/>
      <c r="I16" s="16"/>
      <c r="J16" s="16"/>
      <c r="K16" s="16"/>
      <c r="L16" s="16"/>
      <c r="M16" s="16"/>
    </row>
    <row r="17" spans="4:13" x14ac:dyDescent="0.25">
      <c r="G17" s="1" t="s">
        <v>12</v>
      </c>
      <c r="L17" s="18" t="s">
        <v>31</v>
      </c>
      <c r="M17" s="18"/>
    </row>
    <row r="18" spans="4:13" x14ac:dyDescent="0.25">
      <c r="G18" s="1" t="s">
        <v>13</v>
      </c>
      <c r="L18" s="18" t="s">
        <v>14</v>
      </c>
      <c r="M18" s="18"/>
    </row>
    <row r="19" spans="4:13" x14ac:dyDescent="0.25">
      <c r="G19" s="1" t="s">
        <v>15</v>
      </c>
      <c r="L19" s="18" t="s">
        <v>16</v>
      </c>
      <c r="M19" s="18"/>
    </row>
    <row r="21" spans="4:13" ht="18.75" x14ac:dyDescent="0.3">
      <c r="F21" s="15" t="s">
        <v>17</v>
      </c>
      <c r="G21" s="16"/>
      <c r="H21" s="16"/>
      <c r="I21" s="16"/>
      <c r="J21" s="16"/>
      <c r="K21" s="16"/>
      <c r="L21" s="16"/>
      <c r="M21" s="16"/>
    </row>
    <row r="22" spans="4:13" x14ac:dyDescent="0.25">
      <c r="F22" s="17"/>
      <c r="G22" s="17"/>
      <c r="H22" s="17"/>
      <c r="I22" s="17"/>
      <c r="J22" s="17"/>
      <c r="K22" s="17"/>
      <c r="L22" s="17"/>
      <c r="M22" s="17"/>
    </row>
    <row r="23" spans="4:13" x14ac:dyDescent="0.25">
      <c r="G23" s="16" t="s">
        <v>18</v>
      </c>
      <c r="H23" s="16"/>
      <c r="I23" s="16"/>
      <c r="J23" s="16"/>
      <c r="K23" s="16"/>
      <c r="L23" s="16"/>
      <c r="M23" s="16"/>
    </row>
    <row r="24" spans="4:13" x14ac:dyDescent="0.25">
      <c r="G24" s="1" t="s">
        <v>19</v>
      </c>
      <c r="L24" s="19">
        <v>45657</v>
      </c>
      <c r="M24" s="18"/>
    </row>
    <row r="25" spans="4:13" x14ac:dyDescent="0.25">
      <c r="G25" s="1" t="s">
        <v>20</v>
      </c>
      <c r="L25" s="19">
        <v>46022</v>
      </c>
      <c r="M25" s="18"/>
    </row>
    <row r="26" spans="4:13" x14ac:dyDescent="0.25">
      <c r="G26" s="1" t="s">
        <v>21</v>
      </c>
      <c r="L26" s="20">
        <v>12</v>
      </c>
      <c r="M26" s="18"/>
    </row>
    <row r="27" spans="4:13" x14ac:dyDescent="0.25">
      <c r="G27" s="1" t="s">
        <v>22</v>
      </c>
      <c r="L27" s="20">
        <v>1</v>
      </c>
      <c r="M27" s="18"/>
    </row>
    <row r="28" spans="4:13" x14ac:dyDescent="0.25">
      <c r="G28" s="1" t="s">
        <v>23</v>
      </c>
      <c r="L28" s="19">
        <v>45689</v>
      </c>
      <c r="M28" s="18"/>
    </row>
    <row r="29" spans="4:13" x14ac:dyDescent="0.25">
      <c r="D29"/>
      <c r="E29"/>
      <c r="F29"/>
      <c r="G29" s="1" t="s">
        <v>24</v>
      </c>
      <c r="H29"/>
      <c r="I29"/>
      <c r="J29"/>
      <c r="K29"/>
      <c r="L29" s="19">
        <v>45716</v>
      </c>
      <c r="M29" s="26"/>
    </row>
    <row r="33" spans="7:8" x14ac:dyDescent="0.25">
      <c r="G33" s="16" t="s">
        <v>139</v>
      </c>
      <c r="H33" s="16"/>
    </row>
    <row r="34" spans="7:8" x14ac:dyDescent="0.25">
      <c r="G34" s="24" t="s">
        <v>25</v>
      </c>
      <c r="H34" s="25"/>
    </row>
    <row r="35" spans="7:8" x14ac:dyDescent="0.25">
      <c r="G35" s="24" t="s">
        <v>26</v>
      </c>
      <c r="H35" s="25"/>
    </row>
    <row r="36" spans="7:8" x14ac:dyDescent="0.25">
      <c r="G36" s="24" t="s">
        <v>27</v>
      </c>
      <c r="H36" s="25"/>
    </row>
    <row r="37" spans="7:8" x14ac:dyDescent="0.25">
      <c r="G37" s="24" t="s">
        <v>141</v>
      </c>
      <c r="H37" s="25"/>
    </row>
    <row r="38" spans="7:8" x14ac:dyDescent="0.25">
      <c r="G38" s="24" t="s">
        <v>140</v>
      </c>
      <c r="H38" s="25"/>
    </row>
    <row r="39" spans="7:8" x14ac:dyDescent="0.25">
      <c r="G39" s="24" t="s">
        <v>142</v>
      </c>
      <c r="H39" s="25"/>
    </row>
    <row r="40" spans="7:8" x14ac:dyDescent="0.25">
      <c r="G40" s="24"/>
      <c r="H40" s="25"/>
    </row>
    <row r="41" spans="7:8" x14ac:dyDescent="0.25">
      <c r="G41" s="24"/>
      <c r="H41" s="25"/>
    </row>
  </sheetData>
  <hyperlinks>
    <hyperlink ref="G34" location="'COVER PAGE '!A1" display="Cover page" xr:uid="{A9687920-2AC3-47BD-8F88-32C04FDDD30F}"/>
    <hyperlink ref="G35" location="'Model guide'!A1" display="Model guide" xr:uid="{2B17A89D-9BAA-4789-98C9-4880265C965D}"/>
    <hyperlink ref="G36" location="'Historical data'!A1" display="Historical data" xr:uid="{9BEDA9CA-ED04-4746-A57A-FC61F75408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0061-6D5B-47F8-A6BD-AB575731DF2D}">
  <dimension ref="A3:M105"/>
  <sheetViews>
    <sheetView workbookViewId="0"/>
  </sheetViews>
  <sheetFormatPr defaultRowHeight="15" x14ac:dyDescent="0.25"/>
  <cols>
    <col min="1" max="1" width="23.85546875" style="28" customWidth="1"/>
    <col min="2" max="2" width="31.85546875" style="29" customWidth="1"/>
    <col min="3" max="3" width="16.85546875" style="29" customWidth="1"/>
    <col min="4" max="4" width="13" style="29" customWidth="1"/>
    <col min="5" max="5" width="15.7109375" style="29" customWidth="1"/>
    <col min="6" max="6" width="15.5703125" style="29" customWidth="1"/>
    <col min="7" max="7" width="18.5703125" style="29" customWidth="1"/>
    <col min="8" max="8" width="16.7109375" style="29" customWidth="1"/>
    <col min="9" max="9" width="15.140625" style="29" customWidth="1"/>
    <col min="10" max="10" width="19.28515625" style="32" customWidth="1"/>
    <col min="11" max="11" width="16.140625" style="29" customWidth="1"/>
    <col min="12" max="12" width="20.140625" style="29" customWidth="1"/>
    <col min="13" max="13" width="20.7109375" style="29" customWidth="1"/>
    <col min="14" max="16384" width="9.140625" style="29"/>
  </cols>
  <sheetData>
    <row r="3" spans="1:13" x14ac:dyDescent="0.25">
      <c r="G3" s="29">
        <f>SUMIF(H6:H105,"New",M6:M105)</f>
        <v>180.2</v>
      </c>
      <c r="H3" s="29">
        <f>SUMIF(H6:H105,"New",C6:C105)</f>
        <v>10949</v>
      </c>
      <c r="I3" s="51">
        <f>G3/H3</f>
        <v>1.6458124029591743E-2</v>
      </c>
    </row>
    <row r="5" spans="1:13" x14ac:dyDescent="0.25">
      <c r="A5" s="30" t="s">
        <v>32</v>
      </c>
      <c r="B5" s="31" t="s">
        <v>33</v>
      </c>
      <c r="C5" s="31" t="s">
        <v>34</v>
      </c>
      <c r="D5" s="31" t="s">
        <v>35</v>
      </c>
      <c r="E5" s="31" t="s">
        <v>36</v>
      </c>
      <c r="F5" s="31" t="s">
        <v>37</v>
      </c>
      <c r="G5" s="31" t="s">
        <v>38</v>
      </c>
      <c r="H5" s="31" t="s">
        <v>39</v>
      </c>
      <c r="I5" s="31" t="s">
        <v>40</v>
      </c>
      <c r="J5" s="33" t="s">
        <v>41</v>
      </c>
      <c r="K5" s="31" t="s">
        <v>42</v>
      </c>
      <c r="L5" s="31" t="s">
        <v>43</v>
      </c>
      <c r="M5" s="31" t="s">
        <v>44</v>
      </c>
    </row>
    <row r="6" spans="1:13" x14ac:dyDescent="0.25">
      <c r="A6" s="28">
        <v>45689</v>
      </c>
      <c r="B6" s="29" t="s">
        <v>45</v>
      </c>
      <c r="C6" s="29">
        <v>64</v>
      </c>
      <c r="D6" s="29">
        <v>59</v>
      </c>
      <c r="E6" s="29">
        <v>37</v>
      </c>
      <c r="F6" s="29">
        <v>14</v>
      </c>
      <c r="G6" s="29" t="s">
        <v>46</v>
      </c>
      <c r="H6" s="29" t="s">
        <v>47</v>
      </c>
      <c r="I6" s="29">
        <v>-46</v>
      </c>
      <c r="J6" s="32">
        <f t="shared" ref="J6:J37" si="0">I6/C6</f>
        <v>-0.71875</v>
      </c>
      <c r="K6" s="29">
        <v>10</v>
      </c>
      <c r="L6" s="29">
        <v>6.4</v>
      </c>
      <c r="M6" s="29">
        <v>-52.4</v>
      </c>
    </row>
    <row r="7" spans="1:13" x14ac:dyDescent="0.25">
      <c r="A7" s="28">
        <v>45690</v>
      </c>
      <c r="B7" s="29" t="s">
        <v>48</v>
      </c>
      <c r="C7" s="29">
        <v>94</v>
      </c>
      <c r="D7" s="29">
        <v>104</v>
      </c>
      <c r="E7" s="29">
        <v>28</v>
      </c>
      <c r="F7" s="29">
        <v>2</v>
      </c>
      <c r="G7" s="29" t="s">
        <v>46</v>
      </c>
      <c r="H7" s="29" t="s">
        <v>49</v>
      </c>
      <c r="I7" s="29">
        <v>-40</v>
      </c>
      <c r="J7" s="32">
        <f t="shared" si="0"/>
        <v>-0.42553191489361702</v>
      </c>
      <c r="K7" s="29">
        <v>5</v>
      </c>
      <c r="L7" s="29">
        <v>4.7</v>
      </c>
      <c r="M7" s="29">
        <v>-44.7</v>
      </c>
    </row>
    <row r="8" spans="1:13" x14ac:dyDescent="0.25">
      <c r="A8" s="28">
        <v>45691</v>
      </c>
      <c r="B8" s="29" t="s">
        <v>50</v>
      </c>
      <c r="C8" s="29">
        <v>114</v>
      </c>
      <c r="D8" s="29">
        <v>157</v>
      </c>
      <c r="E8" s="29">
        <v>15</v>
      </c>
      <c r="F8" s="29">
        <v>9</v>
      </c>
      <c r="G8" s="29" t="s">
        <v>46</v>
      </c>
      <c r="H8" s="29" t="s">
        <v>47</v>
      </c>
      <c r="I8" s="29">
        <v>-67</v>
      </c>
      <c r="J8" s="32">
        <f t="shared" si="0"/>
        <v>-0.58771929824561409</v>
      </c>
      <c r="K8" s="29">
        <v>15</v>
      </c>
      <c r="L8" s="29">
        <v>17.100000000000001</v>
      </c>
      <c r="M8" s="29">
        <v>-84.1</v>
      </c>
    </row>
    <row r="9" spans="1:13" x14ac:dyDescent="0.25">
      <c r="A9" s="28">
        <v>45692</v>
      </c>
      <c r="B9" s="29" t="s">
        <v>48</v>
      </c>
      <c r="C9" s="29">
        <v>138</v>
      </c>
      <c r="D9" s="29">
        <v>121</v>
      </c>
      <c r="E9" s="29">
        <v>12</v>
      </c>
      <c r="F9" s="29">
        <v>15</v>
      </c>
      <c r="G9" s="29" t="s">
        <v>46</v>
      </c>
      <c r="H9" s="29" t="s">
        <v>49</v>
      </c>
      <c r="I9" s="29">
        <v>-10</v>
      </c>
      <c r="J9" s="32">
        <f t="shared" si="0"/>
        <v>-7.2463768115942032E-2</v>
      </c>
      <c r="K9" s="29">
        <v>10</v>
      </c>
      <c r="L9" s="29">
        <v>13.8</v>
      </c>
      <c r="M9" s="29">
        <v>-23.8</v>
      </c>
    </row>
    <row r="10" spans="1:13" x14ac:dyDescent="0.25">
      <c r="A10" s="28">
        <v>45693</v>
      </c>
      <c r="B10" s="29" t="s">
        <v>48</v>
      </c>
      <c r="C10" s="29">
        <v>120</v>
      </c>
      <c r="D10" s="29">
        <v>158</v>
      </c>
      <c r="E10" s="29">
        <v>40</v>
      </c>
      <c r="F10" s="29">
        <v>17</v>
      </c>
      <c r="G10" s="29" t="s">
        <v>46</v>
      </c>
      <c r="H10" s="29" t="s">
        <v>49</v>
      </c>
      <c r="I10" s="29">
        <v>-95</v>
      </c>
      <c r="J10" s="32">
        <f t="shared" si="0"/>
        <v>-0.79166666666666663</v>
      </c>
      <c r="K10" s="29">
        <v>0</v>
      </c>
      <c r="L10" s="29">
        <v>0</v>
      </c>
      <c r="M10" s="29">
        <v>-95</v>
      </c>
    </row>
    <row r="11" spans="1:13" x14ac:dyDescent="0.25">
      <c r="A11" s="28">
        <v>45694</v>
      </c>
      <c r="B11" s="29" t="s">
        <v>51</v>
      </c>
      <c r="C11" s="29">
        <v>58</v>
      </c>
      <c r="D11" s="29">
        <v>150</v>
      </c>
      <c r="E11" s="29">
        <v>42</v>
      </c>
      <c r="F11" s="29">
        <v>15</v>
      </c>
      <c r="G11" s="29" t="s">
        <v>46</v>
      </c>
      <c r="H11" s="29" t="s">
        <v>49</v>
      </c>
      <c r="I11" s="29">
        <v>-149</v>
      </c>
      <c r="J11" s="32">
        <f t="shared" si="0"/>
        <v>-2.5689655172413794</v>
      </c>
      <c r="K11" s="29">
        <v>0</v>
      </c>
      <c r="L11" s="29">
        <v>0</v>
      </c>
      <c r="M11" s="29">
        <v>-149</v>
      </c>
    </row>
    <row r="12" spans="1:13" x14ac:dyDescent="0.25">
      <c r="A12" s="28">
        <v>45695</v>
      </c>
      <c r="B12" s="29" t="s">
        <v>50</v>
      </c>
      <c r="C12" s="29">
        <v>137</v>
      </c>
      <c r="D12" s="29">
        <v>56</v>
      </c>
      <c r="E12" s="29">
        <v>44</v>
      </c>
      <c r="F12" s="29">
        <v>13</v>
      </c>
      <c r="G12" s="29" t="s">
        <v>46</v>
      </c>
      <c r="H12" s="29" t="s">
        <v>49</v>
      </c>
      <c r="I12" s="29">
        <v>24</v>
      </c>
      <c r="J12" s="32">
        <f t="shared" si="0"/>
        <v>0.17518248175182483</v>
      </c>
      <c r="K12" s="29">
        <v>10</v>
      </c>
      <c r="L12" s="29">
        <v>13.7</v>
      </c>
      <c r="M12" s="29">
        <v>10.3</v>
      </c>
    </row>
    <row r="13" spans="1:13" x14ac:dyDescent="0.25">
      <c r="A13" s="28">
        <v>45696</v>
      </c>
      <c r="B13" s="29" t="s">
        <v>50</v>
      </c>
      <c r="C13" s="29">
        <v>178</v>
      </c>
      <c r="D13" s="29">
        <v>150</v>
      </c>
      <c r="E13" s="29">
        <v>24</v>
      </c>
      <c r="F13" s="29">
        <v>16</v>
      </c>
      <c r="G13" s="29" t="s">
        <v>52</v>
      </c>
      <c r="H13" s="29" t="s">
        <v>47</v>
      </c>
      <c r="I13" s="29">
        <v>-12</v>
      </c>
      <c r="J13" s="32">
        <f t="shared" si="0"/>
        <v>-6.741573033707865E-2</v>
      </c>
      <c r="K13" s="29">
        <v>0</v>
      </c>
      <c r="L13" s="29">
        <v>0</v>
      </c>
      <c r="M13" s="29">
        <v>-12</v>
      </c>
    </row>
    <row r="14" spans="1:13" x14ac:dyDescent="0.25">
      <c r="A14" s="28">
        <v>45697</v>
      </c>
      <c r="B14" s="29" t="s">
        <v>50</v>
      </c>
      <c r="C14" s="29">
        <v>285</v>
      </c>
      <c r="D14" s="29">
        <v>145</v>
      </c>
      <c r="E14" s="29">
        <v>39</v>
      </c>
      <c r="F14" s="29">
        <v>3</v>
      </c>
      <c r="G14" s="29" t="s">
        <v>46</v>
      </c>
      <c r="H14" s="29" t="s">
        <v>47</v>
      </c>
      <c r="I14" s="29">
        <v>98</v>
      </c>
      <c r="J14" s="32">
        <f t="shared" si="0"/>
        <v>0.34385964912280703</v>
      </c>
      <c r="K14" s="29">
        <v>0</v>
      </c>
      <c r="L14" s="29">
        <v>0</v>
      </c>
      <c r="M14" s="29">
        <v>98</v>
      </c>
    </row>
    <row r="15" spans="1:13" x14ac:dyDescent="0.25">
      <c r="A15" s="28">
        <v>45698</v>
      </c>
      <c r="B15" s="29" t="s">
        <v>48</v>
      </c>
      <c r="C15" s="29">
        <v>185</v>
      </c>
      <c r="D15" s="29">
        <v>32</v>
      </c>
      <c r="E15" s="29">
        <v>29</v>
      </c>
      <c r="F15" s="29">
        <v>3</v>
      </c>
      <c r="G15" s="29" t="s">
        <v>46</v>
      </c>
      <c r="H15" s="29" t="s">
        <v>49</v>
      </c>
      <c r="I15" s="29">
        <v>121</v>
      </c>
      <c r="J15" s="32">
        <f t="shared" si="0"/>
        <v>0.65405405405405403</v>
      </c>
      <c r="K15" s="29">
        <v>5</v>
      </c>
      <c r="L15" s="29">
        <v>9.25</v>
      </c>
      <c r="M15" s="29">
        <v>111.75</v>
      </c>
    </row>
    <row r="16" spans="1:13" x14ac:dyDescent="0.25">
      <c r="A16" s="28">
        <v>45699</v>
      </c>
      <c r="B16" s="29" t="s">
        <v>45</v>
      </c>
      <c r="C16" s="29">
        <v>265</v>
      </c>
      <c r="D16" s="29">
        <v>132</v>
      </c>
      <c r="E16" s="29">
        <v>39</v>
      </c>
      <c r="F16" s="29">
        <v>18</v>
      </c>
      <c r="G16" s="29" t="s">
        <v>52</v>
      </c>
      <c r="H16" s="29" t="s">
        <v>47</v>
      </c>
      <c r="I16" s="29">
        <v>76</v>
      </c>
      <c r="J16" s="32">
        <f t="shared" si="0"/>
        <v>0.28679245283018867</v>
      </c>
      <c r="K16" s="29">
        <v>0</v>
      </c>
      <c r="L16" s="29">
        <v>0</v>
      </c>
      <c r="M16" s="29">
        <v>76</v>
      </c>
    </row>
    <row r="17" spans="1:13" x14ac:dyDescent="0.25">
      <c r="A17" s="28">
        <v>45700</v>
      </c>
      <c r="B17" s="29" t="s">
        <v>50</v>
      </c>
      <c r="C17" s="29">
        <v>112</v>
      </c>
      <c r="D17" s="29">
        <v>184</v>
      </c>
      <c r="E17" s="29">
        <v>29</v>
      </c>
      <c r="F17" s="29">
        <v>11</v>
      </c>
      <c r="G17" s="29" t="s">
        <v>46</v>
      </c>
      <c r="H17" s="29" t="s">
        <v>47</v>
      </c>
      <c r="I17" s="29">
        <v>-112</v>
      </c>
      <c r="J17" s="32">
        <f t="shared" si="0"/>
        <v>-1</v>
      </c>
      <c r="K17" s="29">
        <v>5</v>
      </c>
      <c r="L17" s="29">
        <v>5.6000000000000014</v>
      </c>
      <c r="M17" s="29">
        <v>-117.6</v>
      </c>
    </row>
    <row r="18" spans="1:13" x14ac:dyDescent="0.25">
      <c r="A18" s="28">
        <v>45701</v>
      </c>
      <c r="B18" s="29" t="s">
        <v>53</v>
      </c>
      <c r="C18" s="29">
        <v>188</v>
      </c>
      <c r="D18" s="29">
        <v>166</v>
      </c>
      <c r="E18" s="29">
        <v>33</v>
      </c>
      <c r="F18" s="29">
        <v>7</v>
      </c>
      <c r="G18" s="29" t="s">
        <v>46</v>
      </c>
      <c r="H18" s="29" t="s">
        <v>47</v>
      </c>
      <c r="I18" s="29">
        <v>-18</v>
      </c>
      <c r="J18" s="32">
        <f t="shared" si="0"/>
        <v>-9.5744680851063829E-2</v>
      </c>
      <c r="K18" s="29">
        <v>5</v>
      </c>
      <c r="L18" s="29">
        <v>9.4</v>
      </c>
      <c r="M18" s="29">
        <v>-27.4</v>
      </c>
    </row>
    <row r="19" spans="1:13" x14ac:dyDescent="0.25">
      <c r="A19" s="28">
        <v>45702</v>
      </c>
      <c r="B19" s="29" t="s">
        <v>48</v>
      </c>
      <c r="C19" s="29">
        <v>292</v>
      </c>
      <c r="D19" s="29">
        <v>91</v>
      </c>
      <c r="E19" s="29">
        <v>22</v>
      </c>
      <c r="F19" s="29">
        <v>16</v>
      </c>
      <c r="G19" s="29" t="s">
        <v>46</v>
      </c>
      <c r="H19" s="29" t="s">
        <v>49</v>
      </c>
      <c r="I19" s="29">
        <v>163</v>
      </c>
      <c r="J19" s="32">
        <f t="shared" si="0"/>
        <v>0.55821917808219179</v>
      </c>
      <c r="K19" s="29">
        <v>5</v>
      </c>
      <c r="L19" s="29">
        <v>14.6</v>
      </c>
      <c r="M19" s="29">
        <v>148.4</v>
      </c>
    </row>
    <row r="20" spans="1:13" x14ac:dyDescent="0.25">
      <c r="A20" s="28">
        <v>45703</v>
      </c>
      <c r="B20" s="29" t="s">
        <v>51</v>
      </c>
      <c r="C20" s="29">
        <v>130</v>
      </c>
      <c r="D20" s="29">
        <v>194</v>
      </c>
      <c r="E20" s="29">
        <v>22</v>
      </c>
      <c r="F20" s="29">
        <v>12</v>
      </c>
      <c r="G20" s="29" t="s">
        <v>46</v>
      </c>
      <c r="H20" s="29" t="s">
        <v>49</v>
      </c>
      <c r="I20" s="29">
        <v>-98</v>
      </c>
      <c r="J20" s="32">
        <f t="shared" si="0"/>
        <v>-0.75384615384615383</v>
      </c>
      <c r="K20" s="29">
        <v>5</v>
      </c>
      <c r="L20" s="29">
        <v>6.5</v>
      </c>
      <c r="M20" s="29">
        <v>-104.5</v>
      </c>
    </row>
    <row r="21" spans="1:13" x14ac:dyDescent="0.25">
      <c r="A21" s="28">
        <v>45704</v>
      </c>
      <c r="B21" s="29" t="s">
        <v>45</v>
      </c>
      <c r="C21" s="29">
        <v>185</v>
      </c>
      <c r="D21" s="29">
        <v>80</v>
      </c>
      <c r="E21" s="29">
        <v>6</v>
      </c>
      <c r="F21" s="29">
        <v>6</v>
      </c>
      <c r="G21" s="29" t="s">
        <v>52</v>
      </c>
      <c r="H21" s="29" t="s">
        <v>49</v>
      </c>
      <c r="I21" s="29">
        <v>93</v>
      </c>
      <c r="J21" s="32">
        <f t="shared" si="0"/>
        <v>0.50270270270270268</v>
      </c>
      <c r="K21" s="29">
        <v>10</v>
      </c>
      <c r="L21" s="29">
        <v>18.5</v>
      </c>
      <c r="M21" s="29">
        <v>74.5</v>
      </c>
    </row>
    <row r="22" spans="1:13" x14ac:dyDescent="0.25">
      <c r="A22" s="28">
        <v>45705</v>
      </c>
      <c r="B22" s="29" t="s">
        <v>53</v>
      </c>
      <c r="C22" s="29">
        <v>212</v>
      </c>
      <c r="D22" s="29">
        <v>181</v>
      </c>
      <c r="E22" s="29">
        <v>39</v>
      </c>
      <c r="F22" s="29">
        <v>2</v>
      </c>
      <c r="G22" s="29" t="s">
        <v>46</v>
      </c>
      <c r="H22" s="29" t="s">
        <v>49</v>
      </c>
      <c r="I22" s="29">
        <v>-10</v>
      </c>
      <c r="J22" s="32">
        <f t="shared" si="0"/>
        <v>-4.716981132075472E-2</v>
      </c>
      <c r="K22" s="29">
        <v>0</v>
      </c>
      <c r="L22" s="29">
        <v>0</v>
      </c>
      <c r="M22" s="29">
        <v>-10</v>
      </c>
    </row>
    <row r="23" spans="1:13" x14ac:dyDescent="0.25">
      <c r="A23" s="28">
        <v>45706</v>
      </c>
      <c r="B23" s="29" t="s">
        <v>53</v>
      </c>
      <c r="C23" s="29">
        <v>212</v>
      </c>
      <c r="D23" s="29">
        <v>88</v>
      </c>
      <c r="E23" s="29">
        <v>20</v>
      </c>
      <c r="F23" s="29">
        <v>9</v>
      </c>
      <c r="G23" s="29" t="s">
        <v>46</v>
      </c>
      <c r="H23" s="29" t="s">
        <v>49</v>
      </c>
      <c r="I23" s="29">
        <v>95</v>
      </c>
      <c r="J23" s="32">
        <f t="shared" si="0"/>
        <v>0.44811320754716982</v>
      </c>
      <c r="K23" s="29">
        <v>10</v>
      </c>
      <c r="L23" s="29">
        <v>21.2</v>
      </c>
      <c r="M23" s="29">
        <v>73.8</v>
      </c>
    </row>
    <row r="24" spans="1:13" x14ac:dyDescent="0.25">
      <c r="A24" s="28">
        <v>45707</v>
      </c>
      <c r="B24" s="29" t="s">
        <v>51</v>
      </c>
      <c r="C24" s="29">
        <v>82</v>
      </c>
      <c r="D24" s="29">
        <v>147</v>
      </c>
      <c r="E24" s="29">
        <v>45</v>
      </c>
      <c r="F24" s="29">
        <v>13</v>
      </c>
      <c r="G24" s="29" t="s">
        <v>46</v>
      </c>
      <c r="H24" s="29" t="s">
        <v>47</v>
      </c>
      <c r="I24" s="29">
        <v>-123</v>
      </c>
      <c r="J24" s="32">
        <f t="shared" si="0"/>
        <v>-1.5</v>
      </c>
      <c r="K24" s="29">
        <v>5</v>
      </c>
      <c r="L24" s="29">
        <v>4.1000000000000014</v>
      </c>
      <c r="M24" s="29">
        <v>-127.1</v>
      </c>
    </row>
    <row r="25" spans="1:13" x14ac:dyDescent="0.25">
      <c r="A25" s="28">
        <v>45708</v>
      </c>
      <c r="B25" s="29" t="s">
        <v>45</v>
      </c>
      <c r="C25" s="29">
        <v>172</v>
      </c>
      <c r="D25" s="29">
        <v>189</v>
      </c>
      <c r="E25" s="29">
        <v>40</v>
      </c>
      <c r="F25" s="29">
        <v>13</v>
      </c>
      <c r="G25" s="29" t="s">
        <v>52</v>
      </c>
      <c r="H25" s="29" t="s">
        <v>49</v>
      </c>
      <c r="I25" s="29">
        <v>-70</v>
      </c>
      <c r="J25" s="32">
        <f t="shared" si="0"/>
        <v>-0.40697674418604651</v>
      </c>
      <c r="K25" s="29">
        <v>15</v>
      </c>
      <c r="L25" s="29">
        <v>25.8</v>
      </c>
      <c r="M25" s="29">
        <v>-95.8</v>
      </c>
    </row>
    <row r="26" spans="1:13" x14ac:dyDescent="0.25">
      <c r="A26" s="28">
        <v>45709</v>
      </c>
      <c r="B26" s="29" t="s">
        <v>48</v>
      </c>
      <c r="C26" s="29">
        <v>54</v>
      </c>
      <c r="D26" s="29">
        <v>125</v>
      </c>
      <c r="E26" s="29">
        <v>37</v>
      </c>
      <c r="F26" s="29">
        <v>6</v>
      </c>
      <c r="G26" s="29" t="s">
        <v>46</v>
      </c>
      <c r="H26" s="29" t="s">
        <v>49</v>
      </c>
      <c r="I26" s="29">
        <v>-114</v>
      </c>
      <c r="J26" s="32">
        <f t="shared" si="0"/>
        <v>-2.1111111111111112</v>
      </c>
      <c r="K26" s="29">
        <v>5</v>
      </c>
      <c r="L26" s="29">
        <v>2.7</v>
      </c>
      <c r="M26" s="29">
        <v>-116.7</v>
      </c>
    </row>
    <row r="27" spans="1:13" x14ac:dyDescent="0.25">
      <c r="A27" s="28">
        <v>45710</v>
      </c>
      <c r="B27" s="29" t="s">
        <v>54</v>
      </c>
      <c r="C27" s="29">
        <v>283</v>
      </c>
      <c r="D27" s="29">
        <v>142</v>
      </c>
      <c r="E27" s="29">
        <v>8</v>
      </c>
      <c r="F27" s="29">
        <v>8</v>
      </c>
      <c r="G27" s="29" t="s">
        <v>46</v>
      </c>
      <c r="H27" s="29" t="s">
        <v>49</v>
      </c>
      <c r="I27" s="29">
        <v>125</v>
      </c>
      <c r="J27" s="32">
        <f t="shared" si="0"/>
        <v>0.44169611307420492</v>
      </c>
      <c r="K27" s="29">
        <v>20</v>
      </c>
      <c r="L27" s="29">
        <v>56.6</v>
      </c>
      <c r="M27" s="29">
        <v>68.400000000000006</v>
      </c>
    </row>
    <row r="28" spans="1:13" x14ac:dyDescent="0.25">
      <c r="A28" s="28">
        <v>45711</v>
      </c>
      <c r="B28" s="29" t="s">
        <v>45</v>
      </c>
      <c r="C28" s="29">
        <v>280</v>
      </c>
      <c r="D28" s="29">
        <v>91</v>
      </c>
      <c r="E28" s="29">
        <v>37</v>
      </c>
      <c r="F28" s="29">
        <v>5</v>
      </c>
      <c r="G28" s="29" t="s">
        <v>46</v>
      </c>
      <c r="H28" s="29" t="s">
        <v>49</v>
      </c>
      <c r="I28" s="29">
        <v>147</v>
      </c>
      <c r="J28" s="32">
        <f t="shared" si="0"/>
        <v>0.52500000000000002</v>
      </c>
      <c r="K28" s="29">
        <v>10</v>
      </c>
      <c r="L28" s="29">
        <v>28</v>
      </c>
      <c r="M28" s="29">
        <v>119</v>
      </c>
    </row>
    <row r="29" spans="1:13" x14ac:dyDescent="0.25">
      <c r="A29" s="28">
        <v>45712</v>
      </c>
      <c r="B29" s="29" t="s">
        <v>51</v>
      </c>
      <c r="C29" s="29">
        <v>299</v>
      </c>
      <c r="D29" s="29">
        <v>81</v>
      </c>
      <c r="E29" s="29">
        <v>18</v>
      </c>
      <c r="F29" s="29">
        <v>7</v>
      </c>
      <c r="G29" s="29" t="s">
        <v>52</v>
      </c>
      <c r="H29" s="29" t="s">
        <v>49</v>
      </c>
      <c r="I29" s="29">
        <v>193</v>
      </c>
      <c r="J29" s="32">
        <f t="shared" si="0"/>
        <v>0.64548494983277593</v>
      </c>
      <c r="K29" s="29">
        <v>0</v>
      </c>
      <c r="L29" s="29">
        <v>0</v>
      </c>
      <c r="M29" s="29">
        <v>193</v>
      </c>
    </row>
    <row r="30" spans="1:13" x14ac:dyDescent="0.25">
      <c r="A30" s="28">
        <v>45713</v>
      </c>
      <c r="B30" s="29" t="s">
        <v>53</v>
      </c>
      <c r="C30" s="29">
        <v>90</v>
      </c>
      <c r="D30" s="29">
        <v>41</v>
      </c>
      <c r="E30" s="29">
        <v>25</v>
      </c>
      <c r="F30" s="29">
        <v>14</v>
      </c>
      <c r="G30" s="29" t="s">
        <v>46</v>
      </c>
      <c r="H30" s="29" t="s">
        <v>49</v>
      </c>
      <c r="I30" s="29">
        <v>10</v>
      </c>
      <c r="J30" s="32">
        <f t="shared" si="0"/>
        <v>0.1111111111111111</v>
      </c>
      <c r="K30" s="29">
        <v>15</v>
      </c>
      <c r="L30" s="29">
        <v>13.5</v>
      </c>
      <c r="M30" s="29">
        <v>-3.5</v>
      </c>
    </row>
    <row r="31" spans="1:13" x14ac:dyDescent="0.25">
      <c r="A31" s="28">
        <v>45714</v>
      </c>
      <c r="B31" s="29" t="s">
        <v>48</v>
      </c>
      <c r="C31" s="29">
        <v>77</v>
      </c>
      <c r="D31" s="29">
        <v>68</v>
      </c>
      <c r="E31" s="29">
        <v>24</v>
      </c>
      <c r="F31" s="29">
        <v>16</v>
      </c>
      <c r="G31" s="29" t="s">
        <v>46</v>
      </c>
      <c r="H31" s="29" t="s">
        <v>49</v>
      </c>
      <c r="I31" s="29">
        <v>-31</v>
      </c>
      <c r="J31" s="32">
        <f t="shared" si="0"/>
        <v>-0.40259740259740262</v>
      </c>
      <c r="K31" s="29">
        <v>0</v>
      </c>
      <c r="L31" s="29">
        <v>0</v>
      </c>
      <c r="M31" s="29">
        <v>-31</v>
      </c>
    </row>
    <row r="32" spans="1:13" x14ac:dyDescent="0.25">
      <c r="A32" s="28">
        <v>45715</v>
      </c>
      <c r="B32" s="29" t="s">
        <v>45</v>
      </c>
      <c r="C32" s="29">
        <v>184</v>
      </c>
      <c r="D32" s="29">
        <v>159</v>
      </c>
      <c r="E32" s="29">
        <v>12</v>
      </c>
      <c r="F32" s="29">
        <v>4</v>
      </c>
      <c r="G32" s="29" t="s">
        <v>46</v>
      </c>
      <c r="H32" s="29" t="s">
        <v>49</v>
      </c>
      <c r="I32" s="29">
        <v>9</v>
      </c>
      <c r="J32" s="32">
        <f t="shared" si="0"/>
        <v>4.8913043478260872E-2</v>
      </c>
      <c r="K32" s="29">
        <v>0</v>
      </c>
      <c r="L32" s="29">
        <v>0</v>
      </c>
      <c r="M32" s="29">
        <v>9</v>
      </c>
    </row>
    <row r="33" spans="1:13" x14ac:dyDescent="0.25">
      <c r="A33" s="28">
        <v>45716</v>
      </c>
      <c r="B33" s="29" t="s">
        <v>54</v>
      </c>
      <c r="C33" s="29">
        <v>250</v>
      </c>
      <c r="D33" s="29">
        <v>160</v>
      </c>
      <c r="E33" s="29">
        <v>11</v>
      </c>
      <c r="F33" s="29">
        <v>9</v>
      </c>
      <c r="G33" s="29" t="s">
        <v>46</v>
      </c>
      <c r="H33" s="29" t="s">
        <v>49</v>
      </c>
      <c r="I33" s="29">
        <v>70</v>
      </c>
      <c r="J33" s="32">
        <f t="shared" si="0"/>
        <v>0.28000000000000003</v>
      </c>
      <c r="K33" s="29">
        <v>0</v>
      </c>
      <c r="L33" s="29">
        <v>0</v>
      </c>
      <c r="M33" s="29">
        <v>70</v>
      </c>
    </row>
    <row r="34" spans="1:13" x14ac:dyDescent="0.25">
      <c r="A34" s="28">
        <v>45717</v>
      </c>
      <c r="B34" s="29" t="s">
        <v>54</v>
      </c>
      <c r="C34" s="29">
        <v>121</v>
      </c>
      <c r="D34" s="29">
        <v>142</v>
      </c>
      <c r="E34" s="29">
        <v>7</v>
      </c>
      <c r="F34" s="29">
        <v>17</v>
      </c>
      <c r="G34" s="29" t="s">
        <v>46</v>
      </c>
      <c r="H34" s="29" t="s">
        <v>47</v>
      </c>
      <c r="I34" s="29">
        <v>-45</v>
      </c>
      <c r="J34" s="32">
        <f t="shared" si="0"/>
        <v>-0.37190082644628097</v>
      </c>
      <c r="K34" s="29">
        <v>5</v>
      </c>
      <c r="L34" s="29">
        <v>6.0500000000000007</v>
      </c>
      <c r="M34" s="29">
        <v>-51.05</v>
      </c>
    </row>
    <row r="35" spans="1:13" x14ac:dyDescent="0.25">
      <c r="A35" s="28">
        <v>45718</v>
      </c>
      <c r="B35" s="29" t="s">
        <v>50</v>
      </c>
      <c r="C35" s="29">
        <v>61</v>
      </c>
      <c r="D35" s="29">
        <v>130</v>
      </c>
      <c r="E35" s="29">
        <v>21</v>
      </c>
      <c r="F35" s="29">
        <v>14</v>
      </c>
      <c r="G35" s="29" t="s">
        <v>46</v>
      </c>
      <c r="H35" s="29" t="s">
        <v>49</v>
      </c>
      <c r="I35" s="29">
        <v>-104</v>
      </c>
      <c r="J35" s="32">
        <f t="shared" si="0"/>
        <v>-1.7049180327868851</v>
      </c>
      <c r="K35" s="29">
        <v>5</v>
      </c>
      <c r="L35" s="29">
        <v>3.05</v>
      </c>
      <c r="M35" s="29">
        <v>-107.05</v>
      </c>
    </row>
    <row r="36" spans="1:13" x14ac:dyDescent="0.25">
      <c r="A36" s="28">
        <v>45719</v>
      </c>
      <c r="B36" s="29" t="s">
        <v>50</v>
      </c>
      <c r="C36" s="29">
        <v>211</v>
      </c>
      <c r="D36" s="29">
        <v>142</v>
      </c>
      <c r="E36" s="29">
        <v>37</v>
      </c>
      <c r="F36" s="29">
        <v>19</v>
      </c>
      <c r="G36" s="29" t="s">
        <v>46</v>
      </c>
      <c r="H36" s="29" t="s">
        <v>49</v>
      </c>
      <c r="I36" s="29">
        <v>13</v>
      </c>
      <c r="J36" s="32">
        <f t="shared" si="0"/>
        <v>6.1611374407582936E-2</v>
      </c>
      <c r="K36" s="29">
        <v>0</v>
      </c>
      <c r="L36" s="29">
        <v>0</v>
      </c>
      <c r="M36" s="29">
        <v>13</v>
      </c>
    </row>
    <row r="37" spans="1:13" x14ac:dyDescent="0.25">
      <c r="A37" s="28">
        <v>45720</v>
      </c>
      <c r="B37" s="29" t="s">
        <v>51</v>
      </c>
      <c r="C37" s="29">
        <v>82</v>
      </c>
      <c r="D37" s="29">
        <v>110</v>
      </c>
      <c r="E37" s="29">
        <v>16</v>
      </c>
      <c r="F37" s="29">
        <v>11</v>
      </c>
      <c r="G37" s="29" t="s">
        <v>46</v>
      </c>
      <c r="H37" s="29" t="s">
        <v>49</v>
      </c>
      <c r="I37" s="29">
        <v>-55</v>
      </c>
      <c r="J37" s="32">
        <f t="shared" si="0"/>
        <v>-0.67073170731707321</v>
      </c>
      <c r="K37" s="29">
        <v>15</v>
      </c>
      <c r="L37" s="29">
        <v>12.3</v>
      </c>
      <c r="M37" s="29">
        <v>-67.3</v>
      </c>
    </row>
    <row r="38" spans="1:13" x14ac:dyDescent="0.25">
      <c r="A38" s="28">
        <v>45721</v>
      </c>
      <c r="B38" s="29" t="s">
        <v>45</v>
      </c>
      <c r="C38" s="29">
        <v>97</v>
      </c>
      <c r="D38" s="29">
        <v>142</v>
      </c>
      <c r="E38" s="29">
        <v>26</v>
      </c>
      <c r="F38" s="29">
        <v>18</v>
      </c>
      <c r="G38" s="29" t="s">
        <v>52</v>
      </c>
      <c r="H38" s="29" t="s">
        <v>47</v>
      </c>
      <c r="I38" s="29">
        <v>-89</v>
      </c>
      <c r="J38" s="32">
        <f t="shared" ref="J38:J69" si="1">I38/C38</f>
        <v>-0.91752577319587625</v>
      </c>
      <c r="K38" s="29">
        <v>0</v>
      </c>
      <c r="L38" s="29">
        <v>0</v>
      </c>
      <c r="M38" s="29">
        <v>-89</v>
      </c>
    </row>
    <row r="39" spans="1:13" x14ac:dyDescent="0.25">
      <c r="A39" s="28">
        <v>45722</v>
      </c>
      <c r="B39" s="29" t="s">
        <v>45</v>
      </c>
      <c r="C39" s="29">
        <v>296</v>
      </c>
      <c r="D39" s="29">
        <v>31</v>
      </c>
      <c r="E39" s="29">
        <v>26</v>
      </c>
      <c r="F39" s="29">
        <v>6</v>
      </c>
      <c r="G39" s="29" t="s">
        <v>52</v>
      </c>
      <c r="H39" s="29" t="s">
        <v>49</v>
      </c>
      <c r="I39" s="29">
        <v>233</v>
      </c>
      <c r="J39" s="32">
        <f t="shared" si="1"/>
        <v>0.78716216216216217</v>
      </c>
      <c r="K39" s="29">
        <v>0</v>
      </c>
      <c r="L39" s="29">
        <v>0</v>
      </c>
      <c r="M39" s="29">
        <v>233</v>
      </c>
    </row>
    <row r="40" spans="1:13" x14ac:dyDescent="0.25">
      <c r="A40" s="28">
        <v>45723</v>
      </c>
      <c r="B40" s="29" t="s">
        <v>53</v>
      </c>
      <c r="C40" s="29">
        <v>200</v>
      </c>
      <c r="D40" s="29">
        <v>159</v>
      </c>
      <c r="E40" s="29">
        <v>34</v>
      </c>
      <c r="F40" s="29">
        <v>10</v>
      </c>
      <c r="G40" s="29" t="s">
        <v>46</v>
      </c>
      <c r="H40" s="29" t="s">
        <v>49</v>
      </c>
      <c r="I40" s="29">
        <v>-3</v>
      </c>
      <c r="J40" s="32">
        <f t="shared" si="1"/>
        <v>-1.4999999999999999E-2</v>
      </c>
      <c r="K40" s="29">
        <v>0</v>
      </c>
      <c r="L40" s="29">
        <v>0</v>
      </c>
      <c r="M40" s="29">
        <v>-3</v>
      </c>
    </row>
    <row r="41" spans="1:13" x14ac:dyDescent="0.25">
      <c r="A41" s="28">
        <v>45724</v>
      </c>
      <c r="B41" s="29" t="s">
        <v>53</v>
      </c>
      <c r="C41" s="29">
        <v>111</v>
      </c>
      <c r="D41" s="29">
        <v>83</v>
      </c>
      <c r="E41" s="29">
        <v>42</v>
      </c>
      <c r="F41" s="29">
        <v>13</v>
      </c>
      <c r="G41" s="29" t="s">
        <v>52</v>
      </c>
      <c r="H41" s="29" t="s">
        <v>47</v>
      </c>
      <c r="I41" s="29">
        <v>-27</v>
      </c>
      <c r="J41" s="32">
        <f t="shared" si="1"/>
        <v>-0.24324324324324326</v>
      </c>
      <c r="K41" s="29">
        <v>0</v>
      </c>
      <c r="L41" s="29">
        <v>0</v>
      </c>
      <c r="M41" s="29">
        <v>-27</v>
      </c>
    </row>
    <row r="42" spans="1:13" x14ac:dyDescent="0.25">
      <c r="A42" s="28">
        <v>45725</v>
      </c>
      <c r="B42" s="29" t="s">
        <v>53</v>
      </c>
      <c r="C42" s="29">
        <v>265</v>
      </c>
      <c r="D42" s="29">
        <v>116</v>
      </c>
      <c r="E42" s="29">
        <v>42</v>
      </c>
      <c r="F42" s="29">
        <v>2</v>
      </c>
      <c r="G42" s="29" t="s">
        <v>46</v>
      </c>
      <c r="H42" s="29" t="s">
        <v>49</v>
      </c>
      <c r="I42" s="29">
        <v>105</v>
      </c>
      <c r="J42" s="32">
        <f t="shared" si="1"/>
        <v>0.39622641509433965</v>
      </c>
      <c r="K42" s="29">
        <v>5</v>
      </c>
      <c r="L42" s="29">
        <v>13.25</v>
      </c>
      <c r="M42" s="29">
        <v>91.75</v>
      </c>
    </row>
    <row r="43" spans="1:13" x14ac:dyDescent="0.25">
      <c r="A43" s="28">
        <v>45726</v>
      </c>
      <c r="B43" s="29" t="s">
        <v>50</v>
      </c>
      <c r="C43" s="29">
        <v>86</v>
      </c>
      <c r="D43" s="29">
        <v>158</v>
      </c>
      <c r="E43" s="29">
        <v>49</v>
      </c>
      <c r="F43" s="29">
        <v>2</v>
      </c>
      <c r="G43" s="29" t="s">
        <v>46</v>
      </c>
      <c r="H43" s="29" t="s">
        <v>47</v>
      </c>
      <c r="I43" s="29">
        <v>-123</v>
      </c>
      <c r="J43" s="32">
        <f t="shared" si="1"/>
        <v>-1.430232558139535</v>
      </c>
      <c r="K43" s="29">
        <v>10</v>
      </c>
      <c r="L43" s="29">
        <v>8.6</v>
      </c>
      <c r="M43" s="29">
        <v>-131.6</v>
      </c>
    </row>
    <row r="44" spans="1:13" x14ac:dyDescent="0.25">
      <c r="A44" s="28">
        <v>45727</v>
      </c>
      <c r="B44" s="29" t="s">
        <v>45</v>
      </c>
      <c r="C44" s="29">
        <v>148</v>
      </c>
      <c r="D44" s="29">
        <v>176</v>
      </c>
      <c r="E44" s="29">
        <v>12</v>
      </c>
      <c r="F44" s="29">
        <v>16</v>
      </c>
      <c r="G44" s="29" t="s">
        <v>46</v>
      </c>
      <c r="H44" s="29" t="s">
        <v>49</v>
      </c>
      <c r="I44" s="29">
        <v>-56</v>
      </c>
      <c r="J44" s="32">
        <f t="shared" si="1"/>
        <v>-0.3783783783783784</v>
      </c>
      <c r="K44" s="29">
        <v>5</v>
      </c>
      <c r="L44" s="29">
        <v>7.4</v>
      </c>
      <c r="M44" s="29">
        <v>-63.4</v>
      </c>
    </row>
    <row r="45" spans="1:13" x14ac:dyDescent="0.25">
      <c r="A45" s="28">
        <v>45728</v>
      </c>
      <c r="B45" s="29" t="s">
        <v>45</v>
      </c>
      <c r="C45" s="29">
        <v>221</v>
      </c>
      <c r="D45" s="29">
        <v>155</v>
      </c>
      <c r="E45" s="29">
        <v>31</v>
      </c>
      <c r="F45" s="29">
        <v>3</v>
      </c>
      <c r="G45" s="29" t="s">
        <v>46</v>
      </c>
      <c r="H45" s="29" t="s">
        <v>49</v>
      </c>
      <c r="I45" s="29">
        <v>32</v>
      </c>
      <c r="J45" s="32">
        <f t="shared" si="1"/>
        <v>0.14479638009049775</v>
      </c>
      <c r="K45" s="29">
        <v>0</v>
      </c>
      <c r="L45" s="29">
        <v>0</v>
      </c>
      <c r="M45" s="29">
        <v>32</v>
      </c>
    </row>
    <row r="46" spans="1:13" x14ac:dyDescent="0.25">
      <c r="A46" s="28">
        <v>45729</v>
      </c>
      <c r="B46" s="29" t="s">
        <v>54</v>
      </c>
      <c r="C46" s="29">
        <v>153</v>
      </c>
      <c r="D46" s="29">
        <v>159</v>
      </c>
      <c r="E46" s="29">
        <v>31</v>
      </c>
      <c r="F46" s="29">
        <v>17</v>
      </c>
      <c r="G46" s="29" t="s">
        <v>46</v>
      </c>
      <c r="H46" s="29" t="s">
        <v>49</v>
      </c>
      <c r="I46" s="29">
        <v>-54</v>
      </c>
      <c r="J46" s="32">
        <f t="shared" si="1"/>
        <v>-0.35294117647058826</v>
      </c>
      <c r="K46" s="29">
        <v>0</v>
      </c>
      <c r="L46" s="29">
        <v>0</v>
      </c>
      <c r="M46" s="29">
        <v>-54</v>
      </c>
    </row>
    <row r="47" spans="1:13" x14ac:dyDescent="0.25">
      <c r="A47" s="28">
        <v>45730</v>
      </c>
      <c r="B47" s="29" t="s">
        <v>50</v>
      </c>
      <c r="C47" s="29">
        <v>263</v>
      </c>
      <c r="D47" s="29">
        <v>82</v>
      </c>
      <c r="E47" s="29">
        <v>38</v>
      </c>
      <c r="F47" s="29">
        <v>9</v>
      </c>
      <c r="G47" s="29" t="s">
        <v>46</v>
      </c>
      <c r="H47" s="29" t="s">
        <v>47</v>
      </c>
      <c r="I47" s="29">
        <v>134</v>
      </c>
      <c r="J47" s="32">
        <f t="shared" si="1"/>
        <v>0.50950570342205326</v>
      </c>
      <c r="K47" s="29">
        <v>0</v>
      </c>
      <c r="L47" s="29">
        <v>0</v>
      </c>
      <c r="M47" s="29">
        <v>134</v>
      </c>
    </row>
    <row r="48" spans="1:13" x14ac:dyDescent="0.25">
      <c r="A48" s="28">
        <v>45731</v>
      </c>
      <c r="B48" s="29" t="s">
        <v>48</v>
      </c>
      <c r="C48" s="29">
        <v>268</v>
      </c>
      <c r="D48" s="29">
        <v>189</v>
      </c>
      <c r="E48" s="29">
        <v>25</v>
      </c>
      <c r="F48" s="29">
        <v>14</v>
      </c>
      <c r="G48" s="29" t="s">
        <v>46</v>
      </c>
      <c r="H48" s="29" t="s">
        <v>49</v>
      </c>
      <c r="I48" s="29">
        <v>40</v>
      </c>
      <c r="J48" s="32">
        <f t="shared" si="1"/>
        <v>0.14925373134328357</v>
      </c>
      <c r="K48" s="29">
        <v>15</v>
      </c>
      <c r="L48" s="29">
        <v>40.200000000000003</v>
      </c>
      <c r="M48" s="29">
        <v>-0.19999999999999571</v>
      </c>
    </row>
    <row r="49" spans="1:13" x14ac:dyDescent="0.25">
      <c r="A49" s="28">
        <v>45732</v>
      </c>
      <c r="B49" s="29" t="s">
        <v>50</v>
      </c>
      <c r="C49" s="29">
        <v>84</v>
      </c>
      <c r="D49" s="29">
        <v>189</v>
      </c>
      <c r="E49" s="29">
        <v>34</v>
      </c>
      <c r="F49" s="29">
        <v>2</v>
      </c>
      <c r="G49" s="29" t="s">
        <v>46</v>
      </c>
      <c r="H49" s="29" t="s">
        <v>47</v>
      </c>
      <c r="I49" s="29">
        <v>-141</v>
      </c>
      <c r="J49" s="32">
        <f t="shared" si="1"/>
        <v>-1.6785714285714286</v>
      </c>
      <c r="K49" s="29">
        <v>0</v>
      </c>
      <c r="L49" s="29">
        <v>0</v>
      </c>
      <c r="M49" s="29">
        <v>-141</v>
      </c>
    </row>
    <row r="50" spans="1:13" x14ac:dyDescent="0.25">
      <c r="A50" s="28">
        <v>45733</v>
      </c>
      <c r="B50" s="29" t="s">
        <v>48</v>
      </c>
      <c r="C50" s="29">
        <v>242</v>
      </c>
      <c r="D50" s="29">
        <v>97</v>
      </c>
      <c r="E50" s="29">
        <v>37</v>
      </c>
      <c r="F50" s="29">
        <v>17</v>
      </c>
      <c r="G50" s="29" t="s">
        <v>52</v>
      </c>
      <c r="H50" s="29" t="s">
        <v>49</v>
      </c>
      <c r="I50" s="29">
        <v>91</v>
      </c>
      <c r="J50" s="32">
        <f t="shared" si="1"/>
        <v>0.37603305785123969</v>
      </c>
      <c r="K50" s="29">
        <v>5</v>
      </c>
      <c r="L50" s="29">
        <v>12.1</v>
      </c>
      <c r="M50" s="29">
        <v>78.900000000000006</v>
      </c>
    </row>
    <row r="51" spans="1:13" x14ac:dyDescent="0.25">
      <c r="A51" s="28">
        <v>45734</v>
      </c>
      <c r="B51" s="29" t="s">
        <v>54</v>
      </c>
      <c r="C51" s="29">
        <v>276</v>
      </c>
      <c r="D51" s="29">
        <v>152</v>
      </c>
      <c r="E51" s="29">
        <v>32</v>
      </c>
      <c r="F51" s="29">
        <v>8</v>
      </c>
      <c r="G51" s="29" t="s">
        <v>52</v>
      </c>
      <c r="H51" s="29" t="s">
        <v>47</v>
      </c>
      <c r="I51" s="29">
        <v>84</v>
      </c>
      <c r="J51" s="32">
        <f t="shared" si="1"/>
        <v>0.30434782608695654</v>
      </c>
      <c r="K51" s="29">
        <v>20</v>
      </c>
      <c r="L51" s="29">
        <v>55.2</v>
      </c>
      <c r="M51" s="29">
        <v>28.8</v>
      </c>
    </row>
    <row r="52" spans="1:13" x14ac:dyDescent="0.25">
      <c r="A52" s="28">
        <v>45735</v>
      </c>
      <c r="B52" s="29" t="s">
        <v>51</v>
      </c>
      <c r="C52" s="29">
        <v>150</v>
      </c>
      <c r="D52" s="29">
        <v>174</v>
      </c>
      <c r="E52" s="29">
        <v>37</v>
      </c>
      <c r="F52" s="29">
        <v>6</v>
      </c>
      <c r="G52" s="29" t="s">
        <v>46</v>
      </c>
      <c r="H52" s="29" t="s">
        <v>49</v>
      </c>
      <c r="I52" s="29">
        <v>-67</v>
      </c>
      <c r="J52" s="32">
        <f t="shared" si="1"/>
        <v>-0.44666666666666666</v>
      </c>
      <c r="K52" s="29">
        <v>5</v>
      </c>
      <c r="L52" s="29">
        <v>7.5</v>
      </c>
      <c r="M52" s="29">
        <v>-74.5</v>
      </c>
    </row>
    <row r="53" spans="1:13" x14ac:dyDescent="0.25">
      <c r="A53" s="28">
        <v>45736</v>
      </c>
      <c r="B53" s="29" t="s">
        <v>45</v>
      </c>
      <c r="C53" s="29">
        <v>224</v>
      </c>
      <c r="D53" s="29">
        <v>67</v>
      </c>
      <c r="E53" s="29">
        <v>9</v>
      </c>
      <c r="F53" s="29">
        <v>4</v>
      </c>
      <c r="G53" s="29" t="s">
        <v>52</v>
      </c>
      <c r="H53" s="29" t="s">
        <v>47</v>
      </c>
      <c r="I53" s="29">
        <v>144</v>
      </c>
      <c r="J53" s="32">
        <f t="shared" si="1"/>
        <v>0.6428571428571429</v>
      </c>
      <c r="K53" s="29">
        <v>20</v>
      </c>
      <c r="L53" s="29">
        <v>44.8</v>
      </c>
      <c r="M53" s="29">
        <v>99.199999999999989</v>
      </c>
    </row>
    <row r="54" spans="1:13" x14ac:dyDescent="0.25">
      <c r="A54" s="28">
        <v>45737</v>
      </c>
      <c r="B54" s="29" t="s">
        <v>54</v>
      </c>
      <c r="C54" s="29">
        <v>255</v>
      </c>
      <c r="D54" s="29">
        <v>53</v>
      </c>
      <c r="E54" s="29">
        <v>23</v>
      </c>
      <c r="F54" s="29">
        <v>13</v>
      </c>
      <c r="G54" s="29" t="s">
        <v>52</v>
      </c>
      <c r="H54" s="29" t="s">
        <v>49</v>
      </c>
      <c r="I54" s="29">
        <v>166</v>
      </c>
      <c r="J54" s="32">
        <f t="shared" si="1"/>
        <v>0.65098039215686276</v>
      </c>
      <c r="K54" s="29">
        <v>0</v>
      </c>
      <c r="L54" s="29">
        <v>0</v>
      </c>
      <c r="M54" s="29">
        <v>166</v>
      </c>
    </row>
    <row r="55" spans="1:13" x14ac:dyDescent="0.25">
      <c r="A55" s="28">
        <v>45738</v>
      </c>
      <c r="B55" s="29" t="s">
        <v>45</v>
      </c>
      <c r="C55" s="29">
        <v>180</v>
      </c>
      <c r="D55" s="29">
        <v>98</v>
      </c>
      <c r="E55" s="29">
        <v>8</v>
      </c>
      <c r="F55" s="29">
        <v>17</v>
      </c>
      <c r="G55" s="29" t="s">
        <v>52</v>
      </c>
      <c r="H55" s="29" t="s">
        <v>49</v>
      </c>
      <c r="I55" s="29">
        <v>57</v>
      </c>
      <c r="J55" s="32">
        <f t="shared" si="1"/>
        <v>0.31666666666666665</v>
      </c>
      <c r="K55" s="29">
        <v>10</v>
      </c>
      <c r="L55" s="29">
        <v>18</v>
      </c>
      <c r="M55" s="29">
        <v>39</v>
      </c>
    </row>
    <row r="56" spans="1:13" x14ac:dyDescent="0.25">
      <c r="A56" s="28">
        <v>45739</v>
      </c>
      <c r="B56" s="29" t="s">
        <v>53</v>
      </c>
      <c r="C56" s="29">
        <v>50</v>
      </c>
      <c r="D56" s="29">
        <v>145</v>
      </c>
      <c r="E56" s="29">
        <v>39</v>
      </c>
      <c r="F56" s="29">
        <v>6</v>
      </c>
      <c r="G56" s="29" t="s">
        <v>46</v>
      </c>
      <c r="H56" s="29" t="s">
        <v>49</v>
      </c>
      <c r="I56" s="29">
        <v>-140</v>
      </c>
      <c r="J56" s="32">
        <f t="shared" si="1"/>
        <v>-2.8</v>
      </c>
      <c r="K56" s="29">
        <v>5</v>
      </c>
      <c r="L56" s="29">
        <v>2.5</v>
      </c>
      <c r="M56" s="29">
        <v>-142.5</v>
      </c>
    </row>
    <row r="57" spans="1:13" x14ac:dyDescent="0.25">
      <c r="A57" s="28">
        <v>45740</v>
      </c>
      <c r="B57" s="29" t="s">
        <v>51</v>
      </c>
      <c r="C57" s="29">
        <v>54</v>
      </c>
      <c r="D57" s="29">
        <v>127</v>
      </c>
      <c r="E57" s="29">
        <v>21</v>
      </c>
      <c r="F57" s="29">
        <v>15</v>
      </c>
      <c r="G57" s="29" t="s">
        <v>52</v>
      </c>
      <c r="H57" s="29" t="s">
        <v>49</v>
      </c>
      <c r="I57" s="29">
        <v>-109</v>
      </c>
      <c r="J57" s="32">
        <f t="shared" si="1"/>
        <v>-2.0185185185185186</v>
      </c>
      <c r="K57" s="29">
        <v>10</v>
      </c>
      <c r="L57" s="29">
        <v>5.4</v>
      </c>
      <c r="M57" s="29">
        <v>-114.4</v>
      </c>
    </row>
    <row r="58" spans="1:13" x14ac:dyDescent="0.25">
      <c r="A58" s="28">
        <v>45741</v>
      </c>
      <c r="B58" s="29" t="s">
        <v>51</v>
      </c>
      <c r="C58" s="29">
        <v>267</v>
      </c>
      <c r="D58" s="29">
        <v>168</v>
      </c>
      <c r="E58" s="29">
        <v>48</v>
      </c>
      <c r="F58" s="29">
        <v>6</v>
      </c>
      <c r="G58" s="29" t="s">
        <v>46</v>
      </c>
      <c r="H58" s="29" t="s">
        <v>49</v>
      </c>
      <c r="I58" s="29">
        <v>45</v>
      </c>
      <c r="J58" s="32">
        <f t="shared" si="1"/>
        <v>0.16853932584269662</v>
      </c>
      <c r="K58" s="29">
        <v>0</v>
      </c>
      <c r="L58" s="29">
        <v>0</v>
      </c>
      <c r="M58" s="29">
        <v>45</v>
      </c>
    </row>
    <row r="59" spans="1:13" x14ac:dyDescent="0.25">
      <c r="A59" s="28">
        <v>45742</v>
      </c>
      <c r="B59" s="29" t="s">
        <v>54</v>
      </c>
      <c r="C59" s="29">
        <v>296</v>
      </c>
      <c r="D59" s="29">
        <v>173</v>
      </c>
      <c r="E59" s="29">
        <v>32</v>
      </c>
      <c r="F59" s="29">
        <v>16</v>
      </c>
      <c r="G59" s="29" t="s">
        <v>52</v>
      </c>
      <c r="H59" s="29" t="s">
        <v>49</v>
      </c>
      <c r="I59" s="29">
        <v>75</v>
      </c>
      <c r="J59" s="32">
        <f t="shared" si="1"/>
        <v>0.2533783783783784</v>
      </c>
      <c r="K59" s="29">
        <v>0</v>
      </c>
      <c r="L59" s="29">
        <v>0</v>
      </c>
      <c r="M59" s="29">
        <v>75</v>
      </c>
    </row>
    <row r="60" spans="1:13" x14ac:dyDescent="0.25">
      <c r="A60" s="28">
        <v>45743</v>
      </c>
      <c r="B60" s="29" t="s">
        <v>51</v>
      </c>
      <c r="C60" s="29">
        <v>191</v>
      </c>
      <c r="D60" s="29">
        <v>126</v>
      </c>
      <c r="E60" s="29">
        <v>34</v>
      </c>
      <c r="F60" s="29">
        <v>18</v>
      </c>
      <c r="G60" s="29" t="s">
        <v>52</v>
      </c>
      <c r="H60" s="29" t="s">
        <v>47</v>
      </c>
      <c r="I60" s="29">
        <v>13</v>
      </c>
      <c r="J60" s="32">
        <f t="shared" si="1"/>
        <v>6.8062827225130892E-2</v>
      </c>
      <c r="K60" s="29">
        <v>0</v>
      </c>
      <c r="L60" s="29">
        <v>0</v>
      </c>
      <c r="M60" s="29">
        <v>13</v>
      </c>
    </row>
    <row r="61" spans="1:13" x14ac:dyDescent="0.25">
      <c r="A61" s="28">
        <v>45744</v>
      </c>
      <c r="B61" s="29" t="s">
        <v>48</v>
      </c>
      <c r="C61" s="29">
        <v>152</v>
      </c>
      <c r="D61" s="29">
        <v>153</v>
      </c>
      <c r="E61" s="29">
        <v>33</v>
      </c>
      <c r="F61" s="29">
        <v>15</v>
      </c>
      <c r="G61" s="29" t="s">
        <v>46</v>
      </c>
      <c r="H61" s="29" t="s">
        <v>49</v>
      </c>
      <c r="I61" s="29">
        <v>-49</v>
      </c>
      <c r="J61" s="32">
        <f t="shared" si="1"/>
        <v>-0.32236842105263158</v>
      </c>
      <c r="K61" s="29">
        <v>10</v>
      </c>
      <c r="L61" s="29">
        <v>15.2</v>
      </c>
      <c r="M61" s="29">
        <v>-64.2</v>
      </c>
    </row>
    <row r="62" spans="1:13" x14ac:dyDescent="0.25">
      <c r="A62" s="28">
        <v>45745</v>
      </c>
      <c r="B62" s="29" t="s">
        <v>51</v>
      </c>
      <c r="C62" s="29">
        <v>76</v>
      </c>
      <c r="D62" s="29">
        <v>99</v>
      </c>
      <c r="E62" s="29">
        <v>10</v>
      </c>
      <c r="F62" s="29">
        <v>6</v>
      </c>
      <c r="G62" s="29" t="s">
        <v>52</v>
      </c>
      <c r="H62" s="29" t="s">
        <v>47</v>
      </c>
      <c r="I62" s="29">
        <v>-39</v>
      </c>
      <c r="J62" s="32">
        <f t="shared" si="1"/>
        <v>-0.51315789473684215</v>
      </c>
      <c r="K62" s="29">
        <v>15</v>
      </c>
      <c r="L62" s="29">
        <v>11.4</v>
      </c>
      <c r="M62" s="29">
        <v>-50.4</v>
      </c>
    </row>
    <row r="63" spans="1:13" x14ac:dyDescent="0.25">
      <c r="A63" s="28">
        <v>45746</v>
      </c>
      <c r="B63" s="29" t="s">
        <v>45</v>
      </c>
      <c r="C63" s="29">
        <v>186</v>
      </c>
      <c r="D63" s="29">
        <v>122</v>
      </c>
      <c r="E63" s="29">
        <v>39</v>
      </c>
      <c r="F63" s="29">
        <v>13</v>
      </c>
      <c r="G63" s="29" t="s">
        <v>52</v>
      </c>
      <c r="H63" s="29" t="s">
        <v>47</v>
      </c>
      <c r="I63" s="29">
        <v>12</v>
      </c>
      <c r="J63" s="32">
        <f t="shared" si="1"/>
        <v>6.4516129032258063E-2</v>
      </c>
      <c r="K63" s="29">
        <v>10</v>
      </c>
      <c r="L63" s="29">
        <v>18.600000000000001</v>
      </c>
      <c r="M63" s="29">
        <v>-6.6000000000000014</v>
      </c>
    </row>
    <row r="64" spans="1:13" x14ac:dyDescent="0.25">
      <c r="A64" s="28">
        <v>45747</v>
      </c>
      <c r="B64" s="29" t="s">
        <v>45</v>
      </c>
      <c r="C64" s="29">
        <v>256</v>
      </c>
      <c r="D64" s="29">
        <v>32</v>
      </c>
      <c r="E64" s="29">
        <v>45</v>
      </c>
      <c r="F64" s="29">
        <v>17</v>
      </c>
      <c r="G64" s="29" t="s">
        <v>52</v>
      </c>
      <c r="H64" s="29" t="s">
        <v>49</v>
      </c>
      <c r="I64" s="29">
        <v>162</v>
      </c>
      <c r="J64" s="32">
        <f t="shared" si="1"/>
        <v>0.6328125</v>
      </c>
      <c r="K64" s="29">
        <v>0</v>
      </c>
      <c r="L64" s="29">
        <v>0</v>
      </c>
      <c r="M64" s="29">
        <v>162</v>
      </c>
    </row>
    <row r="65" spans="1:13" x14ac:dyDescent="0.25">
      <c r="A65" s="28">
        <v>45748</v>
      </c>
      <c r="B65" s="29" t="s">
        <v>45</v>
      </c>
      <c r="C65" s="29">
        <v>64</v>
      </c>
      <c r="D65" s="29">
        <v>177</v>
      </c>
      <c r="E65" s="29">
        <v>41</v>
      </c>
      <c r="F65" s="29">
        <v>17</v>
      </c>
      <c r="G65" s="29" t="s">
        <v>46</v>
      </c>
      <c r="H65" s="29" t="s">
        <v>47</v>
      </c>
      <c r="I65" s="29">
        <v>-171</v>
      </c>
      <c r="J65" s="32">
        <f t="shared" si="1"/>
        <v>-2.671875</v>
      </c>
      <c r="K65" s="29">
        <v>15</v>
      </c>
      <c r="L65" s="29">
        <v>9.6</v>
      </c>
      <c r="M65" s="29">
        <v>-180.6</v>
      </c>
    </row>
    <row r="66" spans="1:13" x14ac:dyDescent="0.25">
      <c r="A66" s="28">
        <v>45749</v>
      </c>
      <c r="B66" s="29" t="s">
        <v>45</v>
      </c>
      <c r="C66" s="29">
        <v>139</v>
      </c>
      <c r="D66" s="29">
        <v>193</v>
      </c>
      <c r="E66" s="29">
        <v>28</v>
      </c>
      <c r="F66" s="29">
        <v>8</v>
      </c>
      <c r="G66" s="29" t="s">
        <v>46</v>
      </c>
      <c r="H66" s="29" t="s">
        <v>47</v>
      </c>
      <c r="I66" s="29">
        <v>-90</v>
      </c>
      <c r="J66" s="32">
        <f t="shared" si="1"/>
        <v>-0.64748201438848918</v>
      </c>
      <c r="K66" s="29">
        <v>0</v>
      </c>
      <c r="L66" s="29">
        <v>0</v>
      </c>
      <c r="M66" s="29">
        <v>-90</v>
      </c>
    </row>
    <row r="67" spans="1:13" x14ac:dyDescent="0.25">
      <c r="A67" s="28">
        <v>45750</v>
      </c>
      <c r="B67" s="29" t="s">
        <v>48</v>
      </c>
      <c r="C67" s="29">
        <v>91</v>
      </c>
      <c r="D67" s="29">
        <v>176</v>
      </c>
      <c r="E67" s="29">
        <v>33</v>
      </c>
      <c r="F67" s="29">
        <v>5</v>
      </c>
      <c r="G67" s="29" t="s">
        <v>46</v>
      </c>
      <c r="H67" s="29" t="s">
        <v>49</v>
      </c>
      <c r="I67" s="29">
        <v>-123</v>
      </c>
      <c r="J67" s="32">
        <f t="shared" si="1"/>
        <v>-1.3516483516483517</v>
      </c>
      <c r="K67" s="29">
        <v>0</v>
      </c>
      <c r="L67" s="29">
        <v>0</v>
      </c>
      <c r="M67" s="29">
        <v>-123</v>
      </c>
    </row>
    <row r="68" spans="1:13" x14ac:dyDescent="0.25">
      <c r="A68" s="28">
        <v>45751</v>
      </c>
      <c r="B68" s="29" t="s">
        <v>50</v>
      </c>
      <c r="C68" s="29">
        <v>173</v>
      </c>
      <c r="D68" s="29">
        <v>119</v>
      </c>
      <c r="E68" s="29">
        <v>35</v>
      </c>
      <c r="F68" s="29">
        <v>2</v>
      </c>
      <c r="G68" s="29" t="s">
        <v>52</v>
      </c>
      <c r="H68" s="29" t="s">
        <v>49</v>
      </c>
      <c r="I68" s="29">
        <v>17</v>
      </c>
      <c r="J68" s="32">
        <f t="shared" si="1"/>
        <v>9.8265895953757232E-2</v>
      </c>
      <c r="K68" s="29">
        <v>0</v>
      </c>
      <c r="L68" s="29">
        <v>0</v>
      </c>
      <c r="M68" s="29">
        <v>17</v>
      </c>
    </row>
    <row r="69" spans="1:13" x14ac:dyDescent="0.25">
      <c r="A69" s="28">
        <v>45752</v>
      </c>
      <c r="B69" s="29" t="s">
        <v>53</v>
      </c>
      <c r="C69" s="29">
        <v>254</v>
      </c>
      <c r="D69" s="29">
        <v>176</v>
      </c>
      <c r="E69" s="29">
        <v>39</v>
      </c>
      <c r="F69" s="29">
        <v>6</v>
      </c>
      <c r="G69" s="29" t="s">
        <v>46</v>
      </c>
      <c r="H69" s="29" t="s">
        <v>49</v>
      </c>
      <c r="I69" s="29">
        <v>33</v>
      </c>
      <c r="J69" s="32">
        <f t="shared" si="1"/>
        <v>0.12992125984251968</v>
      </c>
      <c r="K69" s="29">
        <v>10</v>
      </c>
      <c r="L69" s="29">
        <v>25.4</v>
      </c>
      <c r="M69" s="29">
        <v>7.5999999999999979</v>
      </c>
    </row>
    <row r="70" spans="1:13" x14ac:dyDescent="0.25">
      <c r="A70" s="28">
        <v>45753</v>
      </c>
      <c r="B70" s="29" t="s">
        <v>54</v>
      </c>
      <c r="C70" s="29">
        <v>228</v>
      </c>
      <c r="D70" s="29">
        <v>177</v>
      </c>
      <c r="E70" s="29">
        <v>37</v>
      </c>
      <c r="F70" s="29">
        <v>11</v>
      </c>
      <c r="G70" s="29" t="s">
        <v>46</v>
      </c>
      <c r="H70" s="29" t="s">
        <v>49</v>
      </c>
      <c r="I70" s="29">
        <v>3</v>
      </c>
      <c r="J70" s="32">
        <f t="shared" ref="J70:J101" si="2">I70/C70</f>
        <v>1.3157894736842105E-2</v>
      </c>
      <c r="K70" s="29">
        <v>0</v>
      </c>
      <c r="L70" s="29">
        <v>0</v>
      </c>
      <c r="M70" s="29">
        <v>3</v>
      </c>
    </row>
    <row r="71" spans="1:13" x14ac:dyDescent="0.25">
      <c r="A71" s="28">
        <v>45754</v>
      </c>
      <c r="B71" s="29" t="s">
        <v>45</v>
      </c>
      <c r="C71" s="29">
        <v>112</v>
      </c>
      <c r="D71" s="29">
        <v>125</v>
      </c>
      <c r="E71" s="29">
        <v>25</v>
      </c>
      <c r="F71" s="29">
        <v>6</v>
      </c>
      <c r="G71" s="29" t="s">
        <v>46</v>
      </c>
      <c r="H71" s="29" t="s">
        <v>49</v>
      </c>
      <c r="I71" s="29">
        <v>-44</v>
      </c>
      <c r="J71" s="32">
        <f t="shared" si="2"/>
        <v>-0.39285714285714285</v>
      </c>
      <c r="K71" s="29">
        <v>5</v>
      </c>
      <c r="L71" s="29">
        <v>5.6000000000000014</v>
      </c>
      <c r="M71" s="29">
        <v>-49.6</v>
      </c>
    </row>
    <row r="72" spans="1:13" x14ac:dyDescent="0.25">
      <c r="A72" s="28">
        <v>45755</v>
      </c>
      <c r="B72" s="29" t="s">
        <v>51</v>
      </c>
      <c r="C72" s="29">
        <v>145</v>
      </c>
      <c r="D72" s="29">
        <v>81</v>
      </c>
      <c r="E72" s="29">
        <v>36</v>
      </c>
      <c r="F72" s="29">
        <v>5</v>
      </c>
      <c r="G72" s="29" t="s">
        <v>46</v>
      </c>
      <c r="H72" s="29" t="s">
        <v>49</v>
      </c>
      <c r="I72" s="29">
        <v>23</v>
      </c>
      <c r="J72" s="32">
        <f t="shared" si="2"/>
        <v>0.15862068965517243</v>
      </c>
      <c r="K72" s="29">
        <v>15</v>
      </c>
      <c r="L72" s="29">
        <v>21.75</v>
      </c>
      <c r="M72" s="29">
        <v>1.25</v>
      </c>
    </row>
    <row r="73" spans="1:13" x14ac:dyDescent="0.25">
      <c r="A73" s="28">
        <v>45756</v>
      </c>
      <c r="B73" s="29" t="s">
        <v>45</v>
      </c>
      <c r="C73" s="29">
        <v>280</v>
      </c>
      <c r="D73" s="29">
        <v>190</v>
      </c>
      <c r="E73" s="29">
        <v>27</v>
      </c>
      <c r="F73" s="29">
        <v>3</v>
      </c>
      <c r="G73" s="29" t="s">
        <v>52</v>
      </c>
      <c r="H73" s="29" t="s">
        <v>47</v>
      </c>
      <c r="I73" s="29">
        <v>60</v>
      </c>
      <c r="J73" s="32">
        <f t="shared" si="2"/>
        <v>0.21428571428571427</v>
      </c>
      <c r="K73" s="29">
        <v>0</v>
      </c>
      <c r="L73" s="29">
        <v>0</v>
      </c>
      <c r="M73" s="29">
        <v>60</v>
      </c>
    </row>
    <row r="74" spans="1:13" x14ac:dyDescent="0.25">
      <c r="A74" s="28">
        <v>45757</v>
      </c>
      <c r="B74" s="29" t="s">
        <v>51</v>
      </c>
      <c r="C74" s="29">
        <v>290</v>
      </c>
      <c r="D74" s="29">
        <v>197</v>
      </c>
      <c r="E74" s="29">
        <v>37</v>
      </c>
      <c r="F74" s="29">
        <v>11</v>
      </c>
      <c r="G74" s="29" t="s">
        <v>52</v>
      </c>
      <c r="H74" s="29" t="s">
        <v>47</v>
      </c>
      <c r="I74" s="29">
        <v>45</v>
      </c>
      <c r="J74" s="32">
        <f t="shared" si="2"/>
        <v>0.15517241379310345</v>
      </c>
      <c r="K74" s="29">
        <v>5</v>
      </c>
      <c r="L74" s="29">
        <v>14.5</v>
      </c>
      <c r="M74" s="29">
        <v>30.5</v>
      </c>
    </row>
    <row r="75" spans="1:13" x14ac:dyDescent="0.25">
      <c r="A75" s="28">
        <v>45758</v>
      </c>
      <c r="B75" s="29" t="s">
        <v>53</v>
      </c>
      <c r="C75" s="29">
        <v>101</v>
      </c>
      <c r="D75" s="29">
        <v>157</v>
      </c>
      <c r="E75" s="29">
        <v>7</v>
      </c>
      <c r="F75" s="29">
        <v>2</v>
      </c>
      <c r="G75" s="29" t="s">
        <v>46</v>
      </c>
      <c r="H75" s="29" t="s">
        <v>49</v>
      </c>
      <c r="I75" s="29">
        <v>-65</v>
      </c>
      <c r="J75" s="32">
        <f t="shared" si="2"/>
        <v>-0.64356435643564358</v>
      </c>
      <c r="K75" s="29">
        <v>0</v>
      </c>
      <c r="L75" s="29">
        <v>0</v>
      </c>
      <c r="M75" s="29">
        <v>-65</v>
      </c>
    </row>
    <row r="76" spans="1:13" x14ac:dyDescent="0.25">
      <c r="A76" s="28">
        <v>45759</v>
      </c>
      <c r="B76" s="29" t="s">
        <v>53</v>
      </c>
      <c r="C76" s="29">
        <v>145</v>
      </c>
      <c r="D76" s="29">
        <v>68</v>
      </c>
      <c r="E76" s="29">
        <v>22</v>
      </c>
      <c r="F76" s="29">
        <v>6</v>
      </c>
      <c r="G76" s="29" t="s">
        <v>52</v>
      </c>
      <c r="H76" s="29" t="s">
        <v>49</v>
      </c>
      <c r="I76" s="29">
        <v>49</v>
      </c>
      <c r="J76" s="32">
        <f t="shared" si="2"/>
        <v>0.33793103448275863</v>
      </c>
      <c r="K76" s="29">
        <v>0</v>
      </c>
      <c r="L76" s="29">
        <v>0</v>
      </c>
      <c r="M76" s="29">
        <v>49</v>
      </c>
    </row>
    <row r="77" spans="1:13" x14ac:dyDescent="0.25">
      <c r="A77" s="28">
        <v>45760</v>
      </c>
      <c r="B77" s="29" t="s">
        <v>53</v>
      </c>
      <c r="C77" s="29">
        <v>181</v>
      </c>
      <c r="D77" s="29">
        <v>111</v>
      </c>
      <c r="E77" s="29">
        <v>29</v>
      </c>
      <c r="F77" s="29">
        <v>14</v>
      </c>
      <c r="G77" s="29" t="s">
        <v>46</v>
      </c>
      <c r="H77" s="29" t="s">
        <v>49</v>
      </c>
      <c r="I77" s="29">
        <v>27</v>
      </c>
      <c r="J77" s="32">
        <f t="shared" si="2"/>
        <v>0.14917127071823205</v>
      </c>
      <c r="K77" s="29">
        <v>5</v>
      </c>
      <c r="L77" s="29">
        <v>9.0500000000000007</v>
      </c>
      <c r="M77" s="29">
        <v>17.95</v>
      </c>
    </row>
    <row r="78" spans="1:13" x14ac:dyDescent="0.25">
      <c r="A78" s="28">
        <v>45761</v>
      </c>
      <c r="B78" s="29" t="s">
        <v>51</v>
      </c>
      <c r="C78" s="29">
        <v>271</v>
      </c>
      <c r="D78" s="29">
        <v>133</v>
      </c>
      <c r="E78" s="29">
        <v>46</v>
      </c>
      <c r="F78" s="29">
        <v>5</v>
      </c>
      <c r="G78" s="29" t="s">
        <v>46</v>
      </c>
      <c r="H78" s="29" t="s">
        <v>49</v>
      </c>
      <c r="I78" s="29">
        <v>87</v>
      </c>
      <c r="J78" s="32">
        <f t="shared" si="2"/>
        <v>0.3210332103321033</v>
      </c>
      <c r="K78" s="29">
        <v>0</v>
      </c>
      <c r="L78" s="29">
        <v>0</v>
      </c>
      <c r="M78" s="29">
        <v>87</v>
      </c>
    </row>
    <row r="79" spans="1:13" x14ac:dyDescent="0.25">
      <c r="A79" s="28">
        <v>45762</v>
      </c>
      <c r="B79" s="29" t="s">
        <v>45</v>
      </c>
      <c r="C79" s="29">
        <v>278</v>
      </c>
      <c r="D79" s="29">
        <v>158</v>
      </c>
      <c r="E79" s="29">
        <v>35</v>
      </c>
      <c r="F79" s="29">
        <v>17</v>
      </c>
      <c r="G79" s="29" t="s">
        <v>52</v>
      </c>
      <c r="H79" s="29" t="s">
        <v>49</v>
      </c>
      <c r="I79" s="29">
        <v>68</v>
      </c>
      <c r="J79" s="32">
        <f t="shared" si="2"/>
        <v>0.2446043165467626</v>
      </c>
      <c r="K79" s="29">
        <v>10</v>
      </c>
      <c r="L79" s="29">
        <v>27.8</v>
      </c>
      <c r="M79" s="29">
        <v>40.200000000000003</v>
      </c>
    </row>
    <row r="80" spans="1:13" x14ac:dyDescent="0.25">
      <c r="A80" s="28">
        <v>45763</v>
      </c>
      <c r="B80" s="29" t="s">
        <v>53</v>
      </c>
      <c r="C80" s="29">
        <v>200</v>
      </c>
      <c r="D80" s="29">
        <v>40</v>
      </c>
      <c r="E80" s="29">
        <v>7</v>
      </c>
      <c r="F80" s="29">
        <v>17</v>
      </c>
      <c r="G80" s="29" t="s">
        <v>46</v>
      </c>
      <c r="H80" s="29" t="s">
        <v>47</v>
      </c>
      <c r="I80" s="29">
        <v>136</v>
      </c>
      <c r="J80" s="32">
        <f t="shared" si="2"/>
        <v>0.68</v>
      </c>
      <c r="K80" s="29">
        <v>5</v>
      </c>
      <c r="L80" s="29">
        <v>10</v>
      </c>
      <c r="M80" s="29">
        <v>126</v>
      </c>
    </row>
    <row r="81" spans="1:13" x14ac:dyDescent="0.25">
      <c r="A81" s="28">
        <v>45764</v>
      </c>
      <c r="B81" s="29" t="s">
        <v>48</v>
      </c>
      <c r="C81" s="29">
        <v>280</v>
      </c>
      <c r="D81" s="29">
        <v>180</v>
      </c>
      <c r="E81" s="29">
        <v>44</v>
      </c>
      <c r="F81" s="29">
        <v>3</v>
      </c>
      <c r="G81" s="29" t="s">
        <v>46</v>
      </c>
      <c r="H81" s="29" t="s">
        <v>49</v>
      </c>
      <c r="I81" s="29">
        <v>53</v>
      </c>
      <c r="J81" s="32">
        <f t="shared" si="2"/>
        <v>0.18928571428571428</v>
      </c>
      <c r="K81" s="29">
        <v>5</v>
      </c>
      <c r="L81" s="29">
        <v>14</v>
      </c>
      <c r="M81" s="29">
        <v>39</v>
      </c>
    </row>
    <row r="82" spans="1:13" x14ac:dyDescent="0.25">
      <c r="A82" s="28">
        <v>45765</v>
      </c>
      <c r="B82" s="29" t="s">
        <v>51</v>
      </c>
      <c r="C82" s="29">
        <v>286</v>
      </c>
      <c r="D82" s="29">
        <v>188</v>
      </c>
      <c r="E82" s="29">
        <v>28</v>
      </c>
      <c r="F82" s="29">
        <v>18</v>
      </c>
      <c r="G82" s="29" t="s">
        <v>52</v>
      </c>
      <c r="H82" s="29" t="s">
        <v>47</v>
      </c>
      <c r="I82" s="29">
        <v>52</v>
      </c>
      <c r="J82" s="32">
        <f t="shared" si="2"/>
        <v>0.18181818181818182</v>
      </c>
      <c r="K82" s="29">
        <v>10</v>
      </c>
      <c r="L82" s="29">
        <v>28.6</v>
      </c>
      <c r="M82" s="29">
        <v>23.4</v>
      </c>
    </row>
    <row r="83" spans="1:13" x14ac:dyDescent="0.25">
      <c r="A83" s="28">
        <v>45766</v>
      </c>
      <c r="B83" s="29" t="s">
        <v>51</v>
      </c>
      <c r="C83" s="29">
        <v>192</v>
      </c>
      <c r="D83" s="29">
        <v>71</v>
      </c>
      <c r="E83" s="29">
        <v>36</v>
      </c>
      <c r="F83" s="29">
        <v>13</v>
      </c>
      <c r="G83" s="29" t="s">
        <v>46</v>
      </c>
      <c r="H83" s="29" t="s">
        <v>47</v>
      </c>
      <c r="I83" s="29">
        <v>72</v>
      </c>
      <c r="J83" s="32">
        <f t="shared" si="2"/>
        <v>0.375</v>
      </c>
      <c r="K83" s="29">
        <v>5</v>
      </c>
      <c r="L83" s="29">
        <v>9.6000000000000014</v>
      </c>
      <c r="M83" s="29">
        <v>62.4</v>
      </c>
    </row>
    <row r="84" spans="1:13" x14ac:dyDescent="0.25">
      <c r="A84" s="28">
        <v>45767</v>
      </c>
      <c r="B84" s="29" t="s">
        <v>45</v>
      </c>
      <c r="C84" s="29">
        <v>220</v>
      </c>
      <c r="D84" s="29">
        <v>128</v>
      </c>
      <c r="E84" s="29">
        <v>26</v>
      </c>
      <c r="F84" s="29">
        <v>19</v>
      </c>
      <c r="G84" s="29" t="s">
        <v>46</v>
      </c>
      <c r="H84" s="29" t="s">
        <v>49</v>
      </c>
      <c r="I84" s="29">
        <v>47</v>
      </c>
      <c r="J84" s="32">
        <f t="shared" si="2"/>
        <v>0.21363636363636362</v>
      </c>
      <c r="K84" s="29">
        <v>5</v>
      </c>
      <c r="L84" s="29">
        <v>11</v>
      </c>
      <c r="M84" s="29">
        <v>36</v>
      </c>
    </row>
    <row r="85" spans="1:13" x14ac:dyDescent="0.25">
      <c r="A85" s="28">
        <v>45768</v>
      </c>
      <c r="B85" s="29" t="s">
        <v>51</v>
      </c>
      <c r="C85" s="29">
        <v>78</v>
      </c>
      <c r="D85" s="29">
        <v>36</v>
      </c>
      <c r="E85" s="29">
        <v>27</v>
      </c>
      <c r="F85" s="29">
        <v>4</v>
      </c>
      <c r="G85" s="29" t="s">
        <v>46</v>
      </c>
      <c r="H85" s="29" t="s">
        <v>47</v>
      </c>
      <c r="I85" s="29">
        <v>11</v>
      </c>
      <c r="J85" s="32">
        <f t="shared" si="2"/>
        <v>0.14102564102564102</v>
      </c>
      <c r="K85" s="29">
        <v>5</v>
      </c>
      <c r="L85" s="29">
        <v>3.9</v>
      </c>
      <c r="M85" s="29">
        <v>7.1</v>
      </c>
    </row>
    <row r="86" spans="1:13" x14ac:dyDescent="0.25">
      <c r="A86" s="28">
        <v>45769</v>
      </c>
      <c r="B86" s="29" t="s">
        <v>51</v>
      </c>
      <c r="C86" s="29">
        <v>85</v>
      </c>
      <c r="D86" s="29">
        <v>173</v>
      </c>
      <c r="E86" s="29">
        <v>6</v>
      </c>
      <c r="F86" s="29">
        <v>2</v>
      </c>
      <c r="G86" s="29" t="s">
        <v>46</v>
      </c>
      <c r="H86" s="29" t="s">
        <v>49</v>
      </c>
      <c r="I86" s="29">
        <v>-96</v>
      </c>
      <c r="J86" s="32">
        <f t="shared" si="2"/>
        <v>-1.1294117647058823</v>
      </c>
      <c r="K86" s="29">
        <v>0</v>
      </c>
      <c r="L86" s="29">
        <v>0</v>
      </c>
      <c r="M86" s="29">
        <v>-96</v>
      </c>
    </row>
    <row r="87" spans="1:13" x14ac:dyDescent="0.25">
      <c r="A87" s="28">
        <v>45770</v>
      </c>
      <c r="B87" s="29" t="s">
        <v>53</v>
      </c>
      <c r="C87" s="29">
        <v>62</v>
      </c>
      <c r="D87" s="29">
        <v>119</v>
      </c>
      <c r="E87" s="29">
        <v>31</v>
      </c>
      <c r="F87" s="29">
        <v>2</v>
      </c>
      <c r="G87" s="29" t="s">
        <v>46</v>
      </c>
      <c r="H87" s="29" t="s">
        <v>49</v>
      </c>
      <c r="I87" s="29">
        <v>-90</v>
      </c>
      <c r="J87" s="32">
        <f t="shared" si="2"/>
        <v>-1.4516129032258065</v>
      </c>
      <c r="K87" s="29">
        <v>0</v>
      </c>
      <c r="L87" s="29">
        <v>0</v>
      </c>
      <c r="M87" s="29">
        <v>-90</v>
      </c>
    </row>
    <row r="88" spans="1:13" x14ac:dyDescent="0.25">
      <c r="A88" s="28">
        <v>45771</v>
      </c>
      <c r="B88" s="29" t="s">
        <v>45</v>
      </c>
      <c r="C88" s="29">
        <v>209</v>
      </c>
      <c r="D88" s="29">
        <v>141</v>
      </c>
      <c r="E88" s="29">
        <v>46</v>
      </c>
      <c r="F88" s="29">
        <v>12</v>
      </c>
      <c r="G88" s="29" t="s">
        <v>46</v>
      </c>
      <c r="H88" s="29" t="s">
        <v>49</v>
      </c>
      <c r="I88" s="29">
        <v>10</v>
      </c>
      <c r="J88" s="32">
        <f t="shared" si="2"/>
        <v>4.784688995215311E-2</v>
      </c>
      <c r="K88" s="29">
        <v>15</v>
      </c>
      <c r="L88" s="29">
        <v>31.35</v>
      </c>
      <c r="M88" s="29">
        <v>-21.35</v>
      </c>
    </row>
    <row r="89" spans="1:13" x14ac:dyDescent="0.25">
      <c r="A89" s="28">
        <v>45772</v>
      </c>
      <c r="B89" s="29" t="s">
        <v>53</v>
      </c>
      <c r="C89" s="29">
        <v>120</v>
      </c>
      <c r="D89" s="29">
        <v>89</v>
      </c>
      <c r="E89" s="29">
        <v>6</v>
      </c>
      <c r="F89" s="29">
        <v>6</v>
      </c>
      <c r="G89" s="29" t="s">
        <v>52</v>
      </c>
      <c r="H89" s="29" t="s">
        <v>47</v>
      </c>
      <c r="I89" s="29">
        <v>19</v>
      </c>
      <c r="J89" s="32">
        <f t="shared" si="2"/>
        <v>0.15833333333333333</v>
      </c>
      <c r="K89" s="29">
        <v>10</v>
      </c>
      <c r="L89" s="29">
        <v>12</v>
      </c>
      <c r="M89" s="29">
        <v>7</v>
      </c>
    </row>
    <row r="90" spans="1:13" x14ac:dyDescent="0.25">
      <c r="A90" s="28">
        <v>45773</v>
      </c>
      <c r="B90" s="29" t="s">
        <v>53</v>
      </c>
      <c r="C90" s="29">
        <v>236</v>
      </c>
      <c r="D90" s="29">
        <v>142</v>
      </c>
      <c r="E90" s="29">
        <v>30</v>
      </c>
      <c r="F90" s="29">
        <v>13</v>
      </c>
      <c r="G90" s="29" t="s">
        <v>52</v>
      </c>
      <c r="H90" s="29" t="s">
        <v>47</v>
      </c>
      <c r="I90" s="29">
        <v>51</v>
      </c>
      <c r="J90" s="32">
        <f t="shared" si="2"/>
        <v>0.21610169491525424</v>
      </c>
      <c r="K90" s="29">
        <v>0</v>
      </c>
      <c r="L90" s="29">
        <v>0</v>
      </c>
      <c r="M90" s="29">
        <v>51</v>
      </c>
    </row>
    <row r="91" spans="1:13" x14ac:dyDescent="0.25">
      <c r="A91" s="28">
        <v>45774</v>
      </c>
      <c r="B91" s="29" t="s">
        <v>45</v>
      </c>
      <c r="C91" s="29">
        <v>292</v>
      </c>
      <c r="D91" s="29">
        <v>31</v>
      </c>
      <c r="E91" s="29">
        <v>21</v>
      </c>
      <c r="F91" s="29">
        <v>4</v>
      </c>
      <c r="G91" s="29" t="s">
        <v>52</v>
      </c>
      <c r="H91" s="29" t="s">
        <v>47</v>
      </c>
      <c r="I91" s="29">
        <v>236</v>
      </c>
      <c r="J91" s="32">
        <f t="shared" si="2"/>
        <v>0.80821917808219179</v>
      </c>
      <c r="K91" s="29">
        <v>5</v>
      </c>
      <c r="L91" s="29">
        <v>14.6</v>
      </c>
      <c r="M91" s="29">
        <v>221.4</v>
      </c>
    </row>
    <row r="92" spans="1:13" x14ac:dyDescent="0.25">
      <c r="A92" s="28">
        <v>45775</v>
      </c>
      <c r="B92" s="29" t="s">
        <v>54</v>
      </c>
      <c r="C92" s="29">
        <v>135</v>
      </c>
      <c r="D92" s="29">
        <v>158</v>
      </c>
      <c r="E92" s="29">
        <v>44</v>
      </c>
      <c r="F92" s="29">
        <v>2</v>
      </c>
      <c r="G92" s="29" t="s">
        <v>52</v>
      </c>
      <c r="H92" s="29" t="s">
        <v>47</v>
      </c>
      <c r="I92" s="29">
        <v>-69</v>
      </c>
      <c r="J92" s="32">
        <f t="shared" si="2"/>
        <v>-0.51111111111111107</v>
      </c>
      <c r="K92" s="29">
        <v>0</v>
      </c>
      <c r="L92" s="29">
        <v>0</v>
      </c>
      <c r="M92" s="29">
        <v>-69</v>
      </c>
    </row>
    <row r="93" spans="1:13" x14ac:dyDescent="0.25">
      <c r="A93" s="28">
        <v>45776</v>
      </c>
      <c r="B93" s="29" t="s">
        <v>53</v>
      </c>
      <c r="C93" s="29">
        <v>77</v>
      </c>
      <c r="D93" s="29">
        <v>77</v>
      </c>
      <c r="E93" s="29">
        <v>37</v>
      </c>
      <c r="F93" s="29">
        <v>2</v>
      </c>
      <c r="G93" s="29" t="s">
        <v>46</v>
      </c>
      <c r="H93" s="29" t="s">
        <v>47</v>
      </c>
      <c r="I93" s="29">
        <v>-39</v>
      </c>
      <c r="J93" s="32">
        <f t="shared" si="2"/>
        <v>-0.50649350649350644</v>
      </c>
      <c r="K93" s="29">
        <v>20</v>
      </c>
      <c r="L93" s="29">
        <v>15.4</v>
      </c>
      <c r="M93" s="29">
        <v>-54.4</v>
      </c>
    </row>
    <row r="94" spans="1:13" x14ac:dyDescent="0.25">
      <c r="A94" s="28">
        <v>45777</v>
      </c>
      <c r="B94" s="29" t="s">
        <v>48</v>
      </c>
      <c r="C94" s="29">
        <v>115</v>
      </c>
      <c r="D94" s="29">
        <v>169</v>
      </c>
      <c r="E94" s="29">
        <v>13</v>
      </c>
      <c r="F94" s="29">
        <v>9</v>
      </c>
      <c r="G94" s="29" t="s">
        <v>46</v>
      </c>
      <c r="H94" s="29" t="s">
        <v>47</v>
      </c>
      <c r="I94" s="29">
        <v>-76</v>
      </c>
      <c r="J94" s="32">
        <f t="shared" si="2"/>
        <v>-0.66086956521739126</v>
      </c>
      <c r="K94" s="29">
        <v>0</v>
      </c>
      <c r="L94" s="29">
        <v>0</v>
      </c>
      <c r="M94" s="29">
        <v>-76</v>
      </c>
    </row>
    <row r="95" spans="1:13" x14ac:dyDescent="0.25">
      <c r="A95" s="28">
        <v>45778</v>
      </c>
      <c r="B95" s="29" t="s">
        <v>48</v>
      </c>
      <c r="C95" s="29">
        <v>219</v>
      </c>
      <c r="D95" s="29">
        <v>66</v>
      </c>
      <c r="E95" s="29">
        <v>47</v>
      </c>
      <c r="F95" s="29">
        <v>11</v>
      </c>
      <c r="G95" s="29" t="s">
        <v>46</v>
      </c>
      <c r="H95" s="29" t="s">
        <v>47</v>
      </c>
      <c r="I95" s="29">
        <v>95</v>
      </c>
      <c r="J95" s="32">
        <f t="shared" si="2"/>
        <v>0.43378995433789952</v>
      </c>
      <c r="K95" s="29">
        <v>0</v>
      </c>
      <c r="L95" s="29">
        <v>0</v>
      </c>
      <c r="M95" s="29">
        <v>95</v>
      </c>
    </row>
    <row r="96" spans="1:13" x14ac:dyDescent="0.25">
      <c r="A96" s="28">
        <v>45779</v>
      </c>
      <c r="B96" s="29" t="s">
        <v>51</v>
      </c>
      <c r="C96" s="29">
        <v>94</v>
      </c>
      <c r="D96" s="29">
        <v>189</v>
      </c>
      <c r="E96" s="29">
        <v>43</v>
      </c>
      <c r="F96" s="29">
        <v>12</v>
      </c>
      <c r="G96" s="29" t="s">
        <v>46</v>
      </c>
      <c r="H96" s="29" t="s">
        <v>47</v>
      </c>
      <c r="I96" s="29">
        <v>-150</v>
      </c>
      <c r="J96" s="32">
        <f t="shared" si="2"/>
        <v>-1.5957446808510638</v>
      </c>
      <c r="K96" s="29">
        <v>0</v>
      </c>
      <c r="L96" s="29">
        <v>0</v>
      </c>
      <c r="M96" s="29">
        <v>-150</v>
      </c>
    </row>
    <row r="97" spans="1:13" x14ac:dyDescent="0.25">
      <c r="A97" s="28">
        <v>45780</v>
      </c>
      <c r="B97" s="29" t="s">
        <v>48</v>
      </c>
      <c r="C97" s="29">
        <v>111</v>
      </c>
      <c r="D97" s="29">
        <v>38</v>
      </c>
      <c r="E97" s="29">
        <v>33</v>
      </c>
      <c r="F97" s="29">
        <v>13</v>
      </c>
      <c r="G97" s="29" t="s">
        <v>46</v>
      </c>
      <c r="H97" s="29" t="s">
        <v>49</v>
      </c>
      <c r="I97" s="29">
        <v>27</v>
      </c>
      <c r="J97" s="32">
        <f t="shared" si="2"/>
        <v>0.24324324324324326</v>
      </c>
      <c r="K97" s="29">
        <v>5</v>
      </c>
      <c r="L97" s="29">
        <v>5.5500000000000007</v>
      </c>
      <c r="M97" s="29">
        <v>21.45</v>
      </c>
    </row>
    <row r="98" spans="1:13" x14ac:dyDescent="0.25">
      <c r="A98" s="28">
        <v>45781</v>
      </c>
      <c r="B98" s="29" t="s">
        <v>51</v>
      </c>
      <c r="C98" s="29">
        <v>234</v>
      </c>
      <c r="D98" s="29">
        <v>128</v>
      </c>
      <c r="E98" s="29">
        <v>46</v>
      </c>
      <c r="F98" s="29">
        <v>14</v>
      </c>
      <c r="G98" s="29" t="s">
        <v>46</v>
      </c>
      <c r="H98" s="29" t="s">
        <v>49</v>
      </c>
      <c r="I98" s="29">
        <v>46</v>
      </c>
      <c r="J98" s="32">
        <f t="shared" si="2"/>
        <v>0.19658119658119658</v>
      </c>
      <c r="K98" s="29">
        <v>15</v>
      </c>
      <c r="L98" s="29">
        <v>35.1</v>
      </c>
      <c r="M98" s="29">
        <v>10.9</v>
      </c>
    </row>
    <row r="99" spans="1:13" x14ac:dyDescent="0.25">
      <c r="A99" s="28">
        <v>45782</v>
      </c>
      <c r="B99" s="29" t="s">
        <v>54</v>
      </c>
      <c r="C99" s="29">
        <v>294</v>
      </c>
      <c r="D99" s="29">
        <v>176</v>
      </c>
      <c r="E99" s="29">
        <v>30</v>
      </c>
      <c r="F99" s="29">
        <v>13</v>
      </c>
      <c r="G99" s="29" t="s">
        <v>46</v>
      </c>
      <c r="H99" s="29" t="s">
        <v>47</v>
      </c>
      <c r="I99" s="29">
        <v>75</v>
      </c>
      <c r="J99" s="32">
        <f t="shared" si="2"/>
        <v>0.25510204081632654</v>
      </c>
      <c r="K99" s="29">
        <v>0</v>
      </c>
      <c r="L99" s="29">
        <v>0</v>
      </c>
      <c r="M99" s="29">
        <v>75</v>
      </c>
    </row>
    <row r="100" spans="1:13" x14ac:dyDescent="0.25">
      <c r="A100" s="28">
        <v>45783</v>
      </c>
      <c r="B100" s="29" t="s">
        <v>45</v>
      </c>
      <c r="C100" s="29">
        <v>183</v>
      </c>
      <c r="D100" s="29">
        <v>77</v>
      </c>
      <c r="E100" s="29">
        <v>39</v>
      </c>
      <c r="F100" s="29">
        <v>15</v>
      </c>
      <c r="G100" s="29" t="s">
        <v>52</v>
      </c>
      <c r="H100" s="29" t="s">
        <v>49</v>
      </c>
      <c r="I100" s="29">
        <v>52</v>
      </c>
      <c r="J100" s="32">
        <f t="shared" si="2"/>
        <v>0.28415300546448086</v>
      </c>
      <c r="K100" s="29">
        <v>15</v>
      </c>
      <c r="L100" s="29">
        <v>27.45</v>
      </c>
      <c r="M100" s="29">
        <v>24.55</v>
      </c>
    </row>
    <row r="101" spans="1:13" x14ac:dyDescent="0.25">
      <c r="A101" s="28">
        <v>45784</v>
      </c>
      <c r="B101" s="29" t="s">
        <v>45</v>
      </c>
      <c r="C101" s="29">
        <v>77</v>
      </c>
      <c r="D101" s="29">
        <v>160</v>
      </c>
      <c r="E101" s="29">
        <v>29</v>
      </c>
      <c r="F101" s="29">
        <v>3</v>
      </c>
      <c r="G101" s="29" t="s">
        <v>52</v>
      </c>
      <c r="H101" s="29" t="s">
        <v>49</v>
      </c>
      <c r="I101" s="29">
        <v>-115</v>
      </c>
      <c r="J101" s="32">
        <f t="shared" si="2"/>
        <v>-1.4935064935064934</v>
      </c>
      <c r="K101" s="29">
        <v>0</v>
      </c>
      <c r="L101" s="29">
        <v>0</v>
      </c>
      <c r="M101" s="29">
        <v>-115</v>
      </c>
    </row>
    <row r="102" spans="1:13" x14ac:dyDescent="0.25">
      <c r="A102" s="28">
        <v>45785</v>
      </c>
      <c r="B102" s="29" t="s">
        <v>45</v>
      </c>
      <c r="C102" s="29">
        <v>77</v>
      </c>
      <c r="D102" s="29">
        <v>177</v>
      </c>
      <c r="E102" s="29">
        <v>28</v>
      </c>
      <c r="F102" s="29">
        <v>19</v>
      </c>
      <c r="G102" s="29" t="s">
        <v>46</v>
      </c>
      <c r="H102" s="29" t="s">
        <v>47</v>
      </c>
      <c r="I102" s="29">
        <v>-147</v>
      </c>
      <c r="J102" s="32">
        <f t="shared" ref="J102:J105" si="3">I102/C102</f>
        <v>-1.9090909090909092</v>
      </c>
      <c r="K102" s="29">
        <v>15</v>
      </c>
      <c r="L102" s="29">
        <v>11.55</v>
      </c>
      <c r="M102" s="29">
        <v>-158.55000000000001</v>
      </c>
    </row>
    <row r="103" spans="1:13" x14ac:dyDescent="0.25">
      <c r="A103" s="28">
        <v>45786</v>
      </c>
      <c r="B103" s="29" t="s">
        <v>48</v>
      </c>
      <c r="C103" s="29">
        <v>157</v>
      </c>
      <c r="D103" s="29">
        <v>181</v>
      </c>
      <c r="E103" s="29">
        <v>17</v>
      </c>
      <c r="F103" s="29">
        <v>4</v>
      </c>
      <c r="G103" s="29" t="s">
        <v>46</v>
      </c>
      <c r="H103" s="29" t="s">
        <v>49</v>
      </c>
      <c r="I103" s="29">
        <v>-45</v>
      </c>
      <c r="J103" s="32">
        <f t="shared" si="3"/>
        <v>-0.28662420382165604</v>
      </c>
      <c r="K103" s="29">
        <v>0</v>
      </c>
      <c r="L103" s="29">
        <v>0</v>
      </c>
      <c r="M103" s="29">
        <v>-45</v>
      </c>
    </row>
    <row r="104" spans="1:13" x14ac:dyDescent="0.25">
      <c r="A104" s="28">
        <v>45787</v>
      </c>
      <c r="B104" s="29" t="s">
        <v>54</v>
      </c>
      <c r="C104" s="29">
        <v>93</v>
      </c>
      <c r="D104" s="29">
        <v>83</v>
      </c>
      <c r="E104" s="29">
        <v>11</v>
      </c>
      <c r="F104" s="29">
        <v>18</v>
      </c>
      <c r="G104" s="29" t="s">
        <v>46</v>
      </c>
      <c r="H104" s="29" t="s">
        <v>49</v>
      </c>
      <c r="I104" s="29">
        <v>-19</v>
      </c>
      <c r="J104" s="32">
        <f t="shared" si="3"/>
        <v>-0.20430107526881722</v>
      </c>
      <c r="K104" s="29">
        <v>0</v>
      </c>
      <c r="L104" s="29">
        <v>0</v>
      </c>
      <c r="M104" s="29">
        <v>-19</v>
      </c>
    </row>
    <row r="105" spans="1:13" x14ac:dyDescent="0.25">
      <c r="A105" s="28">
        <v>45788</v>
      </c>
      <c r="B105" s="29" t="s">
        <v>48</v>
      </c>
      <c r="C105" s="29">
        <v>133</v>
      </c>
      <c r="D105" s="29">
        <v>149</v>
      </c>
      <c r="E105" s="29">
        <v>40</v>
      </c>
      <c r="F105" s="29">
        <v>9</v>
      </c>
      <c r="G105" s="29" t="s">
        <v>52</v>
      </c>
      <c r="H105" s="29" t="s">
        <v>47</v>
      </c>
      <c r="I105" s="29">
        <v>-65</v>
      </c>
      <c r="J105" s="32">
        <f t="shared" si="3"/>
        <v>-0.48872180451127817</v>
      </c>
      <c r="K105" s="29">
        <v>10</v>
      </c>
      <c r="L105" s="29">
        <v>13.3</v>
      </c>
      <c r="M105" s="29">
        <v>-78.3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3B99-5911-4FCB-9E12-2F70952F915D}">
  <dimension ref="B1:U202"/>
  <sheetViews>
    <sheetView showGridLines="0" topLeftCell="D1" zoomScaleNormal="100" workbookViewId="0">
      <selection activeCell="J1" sqref="J1"/>
    </sheetView>
  </sheetViews>
  <sheetFormatPr defaultRowHeight="15.75" x14ac:dyDescent="0.25"/>
  <cols>
    <col min="1" max="2" width="9.140625" style="1"/>
    <col min="3" max="3" width="2.5703125" style="1" customWidth="1"/>
    <col min="4" max="4" width="3.140625" style="1" customWidth="1"/>
    <col min="5" max="5" width="45" style="1" customWidth="1"/>
    <col min="6" max="6" width="20.28515625" style="1" customWidth="1"/>
    <col min="7" max="7" width="17.42578125" style="1" customWidth="1"/>
    <col min="8" max="8" width="12.85546875" style="1" customWidth="1"/>
    <col min="9" max="9" width="17" style="1" customWidth="1"/>
    <col min="10" max="10" width="19.7109375" style="1" customWidth="1"/>
    <col min="11" max="11" width="22.7109375" style="1" customWidth="1"/>
    <col min="12" max="14" width="9.140625" style="1"/>
    <col min="15" max="15" width="9.7109375" style="1" bestFit="1" customWidth="1"/>
    <col min="16" max="16384" width="9.140625" style="1"/>
  </cols>
  <sheetData>
    <row r="1" spans="2:21" x14ac:dyDescent="0.25">
      <c r="F1" s="36"/>
    </row>
    <row r="3" spans="2:21" ht="29.25" customHeight="1" x14ac:dyDescent="0.3">
      <c r="B3" s="34" t="s">
        <v>55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5" spans="2:21" ht="22.5" customHeight="1" x14ac:dyDescent="0.25">
      <c r="C5" s="4"/>
      <c r="D5" s="4" t="s">
        <v>56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7" spans="2:21" x14ac:dyDescent="0.25">
      <c r="E7" s="35" t="s">
        <v>57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2:21" x14ac:dyDescent="0.25">
      <c r="E8" s="36" t="s">
        <v>59</v>
      </c>
      <c r="F8" s="36"/>
      <c r="K8" s="36">
        <f>SUM('HISTORICAL DATA'!C6:C105)</f>
        <v>17273</v>
      </c>
    </row>
    <row r="9" spans="2:21" x14ac:dyDescent="0.25">
      <c r="E9" s="36" t="s">
        <v>65</v>
      </c>
      <c r="F9" s="36"/>
      <c r="K9" s="36">
        <f>SUM('HISTORICAL DATA'!I:I)</f>
        <v>524.01645812402955</v>
      </c>
    </row>
    <row r="10" spans="2:21" x14ac:dyDescent="0.25">
      <c r="E10" s="36" t="s">
        <v>60</v>
      </c>
      <c r="F10" s="36"/>
      <c r="K10" s="36">
        <f>SUM('HISTORICAL DATA'!M:M)</f>
        <v>-386.09999999999997</v>
      </c>
    </row>
    <row r="11" spans="2:21" x14ac:dyDescent="0.25">
      <c r="E11" s="36" t="s">
        <v>61</v>
      </c>
      <c r="F11" s="36"/>
      <c r="K11" s="36">
        <f>SUM('HISTORICAL DATA'!D:D)</f>
        <v>12804</v>
      </c>
    </row>
    <row r="12" spans="2:21" x14ac:dyDescent="0.25">
      <c r="E12" s="36" t="s">
        <v>64</v>
      </c>
      <c r="F12" s="36"/>
      <c r="K12" s="36">
        <f>SUM('HISTORICAL DATA'!E:E)</f>
        <v>2937</v>
      </c>
    </row>
    <row r="13" spans="2:21" x14ac:dyDescent="0.25">
      <c r="E13" s="36" t="s">
        <v>62</v>
      </c>
      <c r="F13" s="36"/>
      <c r="K13" s="36">
        <f>SUM('HISTORICAL DATA'!F:F)</f>
        <v>1008</v>
      </c>
    </row>
    <row r="14" spans="2:21" x14ac:dyDescent="0.25">
      <c r="E14" s="36" t="s">
        <v>63</v>
      </c>
      <c r="F14" s="36"/>
      <c r="K14" s="36">
        <f>SUM('HISTORICAL DATA'!L:L)</f>
        <v>910.09999999999991</v>
      </c>
    </row>
    <row r="15" spans="2:21" x14ac:dyDescent="0.25">
      <c r="E15" s="36" t="s">
        <v>58</v>
      </c>
      <c r="F15" s="36"/>
      <c r="K15" s="36">
        <f>SUM('HISTORICAL DATA'!K:K)/COUNT('HISTORICAL DATA'!K6:K105)</f>
        <v>5.45</v>
      </c>
    </row>
    <row r="17" spans="5:19" x14ac:dyDescent="0.25">
      <c r="E17" s="35" t="s">
        <v>66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5:19" x14ac:dyDescent="0.25">
      <c r="E18" s="36" t="s">
        <v>45</v>
      </c>
      <c r="K18" s="36">
        <v>4689</v>
      </c>
    </row>
    <row r="19" spans="5:19" x14ac:dyDescent="0.25">
      <c r="E19" s="36" t="s">
        <v>54</v>
      </c>
      <c r="K19" s="36">
        <v>2384</v>
      </c>
    </row>
    <row r="20" spans="5:19" x14ac:dyDescent="0.25">
      <c r="E20" s="36" t="s">
        <v>51</v>
      </c>
      <c r="K20" s="36">
        <v>3064</v>
      </c>
    </row>
    <row r="21" spans="5:19" x14ac:dyDescent="0.25">
      <c r="E21" s="36" t="s">
        <v>50</v>
      </c>
      <c r="K21" s="36">
        <v>1704</v>
      </c>
    </row>
    <row r="22" spans="5:19" x14ac:dyDescent="0.25">
      <c r="E22" s="36" t="s">
        <v>53</v>
      </c>
      <c r="K22" s="36">
        <v>2704</v>
      </c>
    </row>
    <row r="23" spans="5:19" x14ac:dyDescent="0.25">
      <c r="E23" s="36" t="s">
        <v>48</v>
      </c>
      <c r="K23" s="36">
        <v>2728</v>
      </c>
    </row>
    <row r="25" spans="5:19" x14ac:dyDescent="0.25">
      <c r="E25" s="35" t="s">
        <v>67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5:19" x14ac:dyDescent="0.25">
      <c r="E26" s="36" t="s">
        <v>52</v>
      </c>
      <c r="F26" s="36"/>
      <c r="K26" s="36">
        <v>6467</v>
      </c>
    </row>
    <row r="27" spans="5:19" x14ac:dyDescent="0.25">
      <c r="E27" s="36" t="s">
        <v>46</v>
      </c>
      <c r="F27" s="36"/>
      <c r="K27" s="36">
        <v>10806</v>
      </c>
    </row>
    <row r="29" spans="5:19" x14ac:dyDescent="0.25">
      <c r="E29" s="35" t="s">
        <v>83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5:19" x14ac:dyDescent="0.25">
      <c r="E30" s="36" t="s">
        <v>49</v>
      </c>
      <c r="K30" s="1">
        <f>SUMIF('HISTORICAL DATA'!H6:H105,"New",'HISTORICAL DATA'!C6:C105)</f>
        <v>10949</v>
      </c>
    </row>
    <row r="31" spans="5:19" x14ac:dyDescent="0.25">
      <c r="E31" s="36" t="s">
        <v>47</v>
      </c>
      <c r="K31" s="1">
        <f>SUMIF('HISTORICAL DATA'!H6:H105,"Returning",'HISTORICAL DATA'!C6:C105)</f>
        <v>6324</v>
      </c>
    </row>
    <row r="33" spans="4:20" x14ac:dyDescent="0.25">
      <c r="D33" s="4" t="s">
        <v>68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5" spans="4:20" x14ac:dyDescent="0.25">
      <c r="E35" s="35" t="s">
        <v>69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4:20" x14ac:dyDescent="0.25">
      <c r="E36" s="1" t="s">
        <v>70</v>
      </c>
      <c r="G36" s="37" t="s">
        <v>75</v>
      </c>
      <c r="K36" s="39">
        <f>K9/K8</f>
        <v>3.0337315933771179E-2</v>
      </c>
    </row>
    <row r="37" spans="4:20" x14ac:dyDescent="0.25">
      <c r="E37" s="1" t="s">
        <v>71</v>
      </c>
      <c r="G37" s="37" t="s">
        <v>76</v>
      </c>
      <c r="K37" s="39">
        <f>K10/K8</f>
        <v>-2.2352804955711222E-2</v>
      </c>
    </row>
    <row r="38" spans="4:20" x14ac:dyDescent="0.25">
      <c r="E38" s="1" t="s">
        <v>72</v>
      </c>
      <c r="G38" s="37" t="s">
        <v>77</v>
      </c>
      <c r="K38" s="39">
        <f>K14/K8</f>
        <v>5.2689168065767379E-2</v>
      </c>
    </row>
    <row r="39" spans="4:20" x14ac:dyDescent="0.25">
      <c r="K39" s="39"/>
    </row>
    <row r="40" spans="4:20" x14ac:dyDescent="0.25">
      <c r="E40" s="18" t="s">
        <v>73</v>
      </c>
      <c r="F40" s="18"/>
      <c r="G40" s="18"/>
      <c r="H40" s="18"/>
      <c r="I40" s="18"/>
      <c r="J40" s="18"/>
      <c r="K40" s="40"/>
      <c r="L40" s="18"/>
      <c r="M40" s="18"/>
      <c r="N40" s="18"/>
      <c r="O40" s="18"/>
      <c r="P40" s="18"/>
      <c r="Q40" s="18"/>
      <c r="R40" s="18"/>
      <c r="S40" s="18"/>
    </row>
    <row r="41" spans="4:20" x14ac:dyDescent="0.25">
      <c r="E41" s="1" t="s">
        <v>86</v>
      </c>
      <c r="G41" s="37" t="s">
        <v>74</v>
      </c>
      <c r="H41" s="38"/>
      <c r="K41" s="39">
        <f>K11/K8</f>
        <v>0.74127250622358598</v>
      </c>
    </row>
    <row r="42" spans="4:20" x14ac:dyDescent="0.25">
      <c r="E42" s="1" t="s">
        <v>87</v>
      </c>
      <c r="G42" s="37" t="s">
        <v>78</v>
      </c>
      <c r="H42" s="38"/>
      <c r="K42" s="39">
        <f>K12/K8</f>
        <v>0.17003415735541016</v>
      </c>
    </row>
    <row r="43" spans="4:20" x14ac:dyDescent="0.25">
      <c r="E43" s="1" t="s">
        <v>88</v>
      </c>
      <c r="G43" s="37" t="s">
        <v>79</v>
      </c>
      <c r="K43" s="39">
        <f>K13/K8</f>
        <v>5.8356973310947718E-2</v>
      </c>
    </row>
    <row r="44" spans="4:20" x14ac:dyDescent="0.25">
      <c r="E44" s="1" t="s">
        <v>89</v>
      </c>
      <c r="G44" s="37" t="s">
        <v>90</v>
      </c>
      <c r="K44" s="41">
        <f>K14/K8</f>
        <v>5.2689168065767379E-2</v>
      </c>
    </row>
    <row r="46" spans="4:20" x14ac:dyDescent="0.25">
      <c r="E46" s="18" t="s">
        <v>108</v>
      </c>
      <c r="F46" s="18"/>
      <c r="G46" s="18"/>
      <c r="H46" s="18"/>
      <c r="I46" s="18"/>
      <c r="J46" s="18"/>
      <c r="K46" s="40"/>
      <c r="L46" s="18"/>
      <c r="M46" s="18"/>
      <c r="N46" s="18"/>
      <c r="O46" s="18"/>
      <c r="P46" s="18"/>
      <c r="Q46" s="18"/>
      <c r="R46" s="18"/>
      <c r="S46" s="18"/>
    </row>
    <row r="47" spans="4:20" x14ac:dyDescent="0.25">
      <c r="E47" s="1" t="s">
        <v>86</v>
      </c>
      <c r="G47" s="37" t="s">
        <v>74</v>
      </c>
      <c r="H47" s="38"/>
      <c r="K47" s="39">
        <f>K41</f>
        <v>0.74127250622358598</v>
      </c>
    </row>
    <row r="48" spans="4:20" x14ac:dyDescent="0.25">
      <c r="E48" s="1" t="s">
        <v>87</v>
      </c>
      <c r="G48" s="37" t="s">
        <v>78</v>
      </c>
      <c r="H48" s="38"/>
      <c r="K48" s="39">
        <f>K42</f>
        <v>0.17003415735541016</v>
      </c>
    </row>
    <row r="49" spans="5:19" x14ac:dyDescent="0.25">
      <c r="E49" s="1" t="s">
        <v>88</v>
      </c>
      <c r="G49" s="37" t="s">
        <v>79</v>
      </c>
      <c r="K49" s="39">
        <f>K43</f>
        <v>5.8356973310947718E-2</v>
      </c>
    </row>
    <row r="50" spans="5:19" x14ac:dyDescent="0.25">
      <c r="E50" s="1" t="s">
        <v>89</v>
      </c>
      <c r="G50" s="37" t="s">
        <v>90</v>
      </c>
      <c r="K50" s="41">
        <f>K44</f>
        <v>5.2689168065767379E-2</v>
      </c>
    </row>
    <row r="51" spans="5:19" x14ac:dyDescent="0.25">
      <c r="E51" s="1" t="s">
        <v>91</v>
      </c>
      <c r="G51" s="37" t="s">
        <v>92</v>
      </c>
      <c r="K51" s="41">
        <f>K10/K8</f>
        <v>-2.2352804955711222E-2</v>
      </c>
    </row>
    <row r="54" spans="5:19" x14ac:dyDescent="0.25">
      <c r="E54" s="18" t="s">
        <v>93</v>
      </c>
      <c r="F54" s="18"/>
      <c r="G54" s="18"/>
      <c r="H54" s="18"/>
      <c r="I54" s="18"/>
      <c r="J54" s="18"/>
      <c r="K54" s="40"/>
      <c r="L54" s="18"/>
      <c r="M54" s="18"/>
      <c r="N54" s="18"/>
      <c r="O54" s="18"/>
      <c r="P54" s="18"/>
      <c r="Q54" s="18"/>
      <c r="R54" s="18"/>
      <c r="S54" s="18"/>
    </row>
    <row r="55" spans="5:19" x14ac:dyDescent="0.25">
      <c r="E55" s="45" t="s">
        <v>101</v>
      </c>
      <c r="F55" s="36" t="s">
        <v>52</v>
      </c>
      <c r="G55" s="37" t="s">
        <v>84</v>
      </c>
      <c r="K55" s="41">
        <f>0.170859</f>
        <v>0.17085900000000001</v>
      </c>
    </row>
    <row r="56" spans="5:19" x14ac:dyDescent="0.25">
      <c r="E56" s="36"/>
      <c r="F56" s="36" t="s">
        <v>46</v>
      </c>
      <c r="G56" s="37" t="s">
        <v>85</v>
      </c>
      <c r="K56" s="41">
        <f>-0.132798</f>
        <v>-0.132798</v>
      </c>
    </row>
    <row r="57" spans="5:19" x14ac:dyDescent="0.25">
      <c r="E57" s="36"/>
      <c r="F57" s="36"/>
      <c r="G57" s="37"/>
      <c r="K57" s="41"/>
    </row>
    <row r="58" spans="5:19" x14ac:dyDescent="0.25">
      <c r="E58" s="44" t="s">
        <v>94</v>
      </c>
      <c r="F58" s="36" t="s">
        <v>52</v>
      </c>
      <c r="G58" s="37" t="s">
        <v>95</v>
      </c>
      <c r="J58" s="1">
        <f>SUMIF('HISTORICAL DATA'!G6:G105,"In-store",'HISTORICAL DATA'!D6:D105)</f>
        <v>3760</v>
      </c>
      <c r="K58" s="41">
        <f>J58/K26</f>
        <v>0.58141332920983457</v>
      </c>
    </row>
    <row r="59" spans="5:19" x14ac:dyDescent="0.25">
      <c r="F59" s="36" t="s">
        <v>46</v>
      </c>
      <c r="G59" s="37" t="s">
        <v>96</v>
      </c>
      <c r="J59" s="1">
        <f>SUMIF('HISTORICAL DATA'!G6:G105,"Online",'HISTORICAL DATA'!D6:D105)</f>
        <v>9044</v>
      </c>
      <c r="K59" s="41">
        <f>J59/K27</f>
        <v>0.83694243938552659</v>
      </c>
    </row>
    <row r="61" spans="5:19" x14ac:dyDescent="0.25">
      <c r="E61" s="44" t="s">
        <v>97</v>
      </c>
      <c r="F61" s="36" t="s">
        <v>52</v>
      </c>
      <c r="J61" s="1">
        <f>SUMIF('HISTORICAL DATA'!G6:G105,"In-store",'HISTORICAL DATA'!E6:E105)</f>
        <v>904</v>
      </c>
      <c r="K61" s="41">
        <f>J61/K26</f>
        <v>0.13978660893768363</v>
      </c>
    </row>
    <row r="62" spans="5:19" x14ac:dyDescent="0.25">
      <c r="F62" s="36" t="s">
        <v>46</v>
      </c>
      <c r="J62" s="1">
        <f>SUMIF('HISTORICAL DATA'!G6:G105,"Online",'HISTORICAL DATA'!E6:E105)</f>
        <v>2033</v>
      </c>
      <c r="K62" s="41">
        <f>J62/K27</f>
        <v>0.18813622061817509</v>
      </c>
    </row>
    <row r="63" spans="5:19" x14ac:dyDescent="0.25">
      <c r="K63" s="41"/>
    </row>
    <row r="64" spans="5:19" x14ac:dyDescent="0.25">
      <c r="E64" s="44" t="s">
        <v>98</v>
      </c>
      <c r="F64" s="36" t="s">
        <v>52</v>
      </c>
      <c r="J64" s="1">
        <f>SUMIF('HISTORICAL DATA'!G6:G105,"In-store",'HISTORICAL DATA'!F6:F105)</f>
        <v>350</v>
      </c>
      <c r="K64" s="41">
        <f>J64/K26</f>
        <v>5.4120921601979281E-2</v>
      </c>
    </row>
    <row r="65" spans="5:19" x14ac:dyDescent="0.25">
      <c r="F65" s="36" t="s">
        <v>46</v>
      </c>
      <c r="J65" s="1">
        <f>SUMIF('HISTORICAL DATA'!G6:G105,"Online",'HISTORICAL DATA'!F6:F105)</f>
        <v>658</v>
      </c>
      <c r="K65" s="41">
        <f>J65/K27</f>
        <v>6.0892096983157507E-2</v>
      </c>
    </row>
    <row r="66" spans="5:19" x14ac:dyDescent="0.25">
      <c r="K66" s="41"/>
    </row>
    <row r="67" spans="5:19" x14ac:dyDescent="0.25">
      <c r="E67" s="44" t="s">
        <v>99</v>
      </c>
      <c r="F67" s="36" t="s">
        <v>52</v>
      </c>
      <c r="J67" s="1">
        <f>SUMIF('HISTORICAL DATA'!G6:G105,"In-store",'HISTORICAL DATA'!L6:L105)</f>
        <v>348.05</v>
      </c>
      <c r="K67" s="41">
        <f>J67/K26</f>
        <v>5.3819390753053968E-2</v>
      </c>
    </row>
    <row r="68" spans="5:19" x14ac:dyDescent="0.25">
      <c r="F68" s="36" t="s">
        <v>46</v>
      </c>
      <c r="J68" s="1">
        <f>SUMIF('HISTORICAL DATA'!G6:G105,"Online",'HISTORICAL DATA'!L6:L105)</f>
        <v>562.05000000000007</v>
      </c>
      <c r="K68" s="41">
        <f>J68/K27</f>
        <v>5.2012770682953922E-2</v>
      </c>
    </row>
    <row r="69" spans="5:19" x14ac:dyDescent="0.25">
      <c r="K69" s="41"/>
    </row>
    <row r="70" spans="5:19" x14ac:dyDescent="0.25">
      <c r="E70" s="44" t="s">
        <v>100</v>
      </c>
      <c r="F70" s="36" t="s">
        <v>52</v>
      </c>
      <c r="J70" s="1">
        <f>SUMIF('HISTORICAL DATA'!G6:G105,"In-store",'HISTORICAL DATA'!M6:M105)</f>
        <v>1104.9500000000003</v>
      </c>
      <c r="K70" s="41">
        <f>J70/K26</f>
        <v>0.17085974949744862</v>
      </c>
    </row>
    <row r="71" spans="5:19" x14ac:dyDescent="0.25">
      <c r="F71" s="36" t="s">
        <v>46</v>
      </c>
      <c r="J71" s="1">
        <f>SUMIF('HISTORICAL DATA'!G7:G106,"Online",'HISTORICAL DATA'!M7:M106)</f>
        <v>-1438.6499999999999</v>
      </c>
      <c r="K71" s="41">
        <f>J71/K27</f>
        <v>-0.13313436979455856</v>
      </c>
    </row>
    <row r="73" spans="5:19" x14ac:dyDescent="0.25">
      <c r="E73" s="18" t="s">
        <v>80</v>
      </c>
      <c r="F73" s="18"/>
      <c r="G73" s="18"/>
      <c r="H73" s="18"/>
      <c r="I73" s="18"/>
      <c r="J73" s="18"/>
      <c r="K73" s="40"/>
      <c r="L73" s="18"/>
      <c r="M73" s="18"/>
      <c r="N73" s="18"/>
      <c r="O73" s="18"/>
      <c r="P73" s="18"/>
      <c r="Q73" s="18"/>
      <c r="R73" s="18"/>
      <c r="S73" s="18"/>
    </row>
    <row r="74" spans="5:19" x14ac:dyDescent="0.25">
      <c r="E74" s="44" t="s">
        <v>102</v>
      </c>
      <c r="F74" s="1" t="s">
        <v>49</v>
      </c>
      <c r="G74" s="37" t="s">
        <v>81</v>
      </c>
      <c r="K74" s="43">
        <f>K89</f>
        <v>1.6458124029591743E-2</v>
      </c>
    </row>
    <row r="75" spans="5:19" x14ac:dyDescent="0.25">
      <c r="E75" s="36"/>
      <c r="F75" s="36" t="s">
        <v>47</v>
      </c>
      <c r="G75" s="37" t="s">
        <v>81</v>
      </c>
      <c r="K75" s="43">
        <f>K90</f>
        <v>-8.9547754585705255E-2</v>
      </c>
    </row>
    <row r="77" spans="5:19" x14ac:dyDescent="0.25">
      <c r="E77" s="44" t="s">
        <v>94</v>
      </c>
      <c r="F77" s="1" t="s">
        <v>49</v>
      </c>
      <c r="J77" s="1">
        <f>SUMIF('HISTORICAL DATA'!H6:H105,"New",'HISTORICAL DATA'!D6:D105)</f>
        <v>7787</v>
      </c>
      <c r="K77" s="41">
        <f>J77/K30</f>
        <v>0.71120650287697507</v>
      </c>
    </row>
    <row r="78" spans="5:19" x14ac:dyDescent="0.25">
      <c r="F78" s="36" t="s">
        <v>47</v>
      </c>
      <c r="J78" s="1">
        <f>SUMIF('HISTORICAL DATA'!H6:H105,"Returning",'HISTORICAL DATA'!D6:D105)</f>
        <v>5017</v>
      </c>
      <c r="K78" s="41">
        <f>J78/K31</f>
        <v>0.7933270082226439</v>
      </c>
    </row>
    <row r="79" spans="5:19" x14ac:dyDescent="0.25">
      <c r="K79" s="41"/>
    </row>
    <row r="80" spans="5:19" x14ac:dyDescent="0.25">
      <c r="E80" s="44" t="s">
        <v>97</v>
      </c>
      <c r="F80" s="1" t="s">
        <v>49</v>
      </c>
      <c r="J80" s="1">
        <f ca="1">SUMIF('HISTORICAL DATA'!H5:H105,"New",'HISTORICAL DATA'!E6:E105)</f>
        <v>1787</v>
      </c>
      <c r="K80" s="41">
        <f ca="1">J80/K30</f>
        <v>0.16321125216914786</v>
      </c>
    </row>
    <row r="81" spans="5:19" x14ac:dyDescent="0.25">
      <c r="F81" s="36" t="s">
        <v>47</v>
      </c>
      <c r="J81" s="1">
        <f>SUMIF('HISTORICAL DATA'!H6:H105,"Returning",'HISTORICAL DATA'!E6:E105)</f>
        <v>1151</v>
      </c>
      <c r="K81" s="41">
        <f>J81/K31</f>
        <v>0.18200506008855155</v>
      </c>
    </row>
    <row r="82" spans="5:19" x14ac:dyDescent="0.25">
      <c r="K82" s="41"/>
    </row>
    <row r="83" spans="5:19" x14ac:dyDescent="0.25">
      <c r="E83" s="44" t="s">
        <v>98</v>
      </c>
      <c r="F83" s="1" t="s">
        <v>49</v>
      </c>
      <c r="J83" s="1">
        <f>SUMIF('HISTORICAL DATA'!H6:H105,"New",'HISTORICAL DATA'!F6:F105)</f>
        <v>616</v>
      </c>
      <c r="K83" s="41">
        <f>J83/K30</f>
        <v>5.6260845739336929E-2</v>
      </c>
    </row>
    <row r="84" spans="5:19" x14ac:dyDescent="0.25">
      <c r="F84" s="36" t="s">
        <v>47</v>
      </c>
      <c r="J84" s="1">
        <f>SUMIF('HISTORICAL DATA'!H25:H124,"Returning",'HISTORICAL DATA'!F25:F124)</f>
        <v>301</v>
      </c>
      <c r="K84" s="41">
        <f>J84/K31</f>
        <v>4.7596457938013918E-2</v>
      </c>
    </row>
    <row r="85" spans="5:19" x14ac:dyDescent="0.25">
      <c r="K85" s="41"/>
    </row>
    <row r="86" spans="5:19" x14ac:dyDescent="0.25">
      <c r="E86" s="44" t="s">
        <v>99</v>
      </c>
      <c r="F86" s="1" t="s">
        <v>49</v>
      </c>
      <c r="J86" s="1">
        <f>SUMIF('HISTORICAL DATA'!H6:H105,"New",'HISTORICAL DATA'!L6:L105)</f>
        <v>579.80000000000007</v>
      </c>
      <c r="K86" s="41">
        <f>J86/K30</f>
        <v>5.2954607726733043E-2</v>
      </c>
    </row>
    <row r="87" spans="5:19" x14ac:dyDescent="0.25">
      <c r="F87" s="36" t="s">
        <v>47</v>
      </c>
      <c r="J87" s="1">
        <f>SUMIF('HISTORICAL DATA'!H6:H105,"Returning",'HISTORICAL DATA'!L6:L105)</f>
        <v>330.3</v>
      </c>
      <c r="K87" s="41">
        <f>J87/K31</f>
        <v>5.2229601518026567E-2</v>
      </c>
    </row>
    <row r="88" spans="5:19" x14ac:dyDescent="0.25">
      <c r="K88" s="41"/>
    </row>
    <row r="89" spans="5:19" x14ac:dyDescent="0.25">
      <c r="E89" s="44" t="s">
        <v>100</v>
      </c>
      <c r="F89" s="1" t="s">
        <v>49</v>
      </c>
      <c r="J89" s="1">
        <f>SUMIF('HISTORICAL DATA'!H6:H105,"New",'HISTORICAL DATA'!M6:M105)</f>
        <v>180.2</v>
      </c>
      <c r="K89" s="41">
        <f>J89/K30</f>
        <v>1.6458124029591743E-2</v>
      </c>
    </row>
    <row r="90" spans="5:19" x14ac:dyDescent="0.25">
      <c r="F90" s="36" t="s">
        <v>47</v>
      </c>
      <c r="J90" s="1">
        <f>SUMIF('HISTORICAL DATA'!H6:H105,"Returning",'HISTORICAL DATA'!M6:M105)</f>
        <v>-566.30000000000007</v>
      </c>
      <c r="K90" s="41">
        <f>J90/K31</f>
        <v>-8.9547754585705255E-2</v>
      </c>
    </row>
    <row r="91" spans="5:19" x14ac:dyDescent="0.25">
      <c r="F91" s="36"/>
    </row>
    <row r="92" spans="5:19" x14ac:dyDescent="0.25">
      <c r="F92" s="36"/>
    </row>
    <row r="93" spans="5:19" x14ac:dyDescent="0.25">
      <c r="E93" s="18" t="s">
        <v>82</v>
      </c>
      <c r="F93" s="18"/>
      <c r="G93" s="18"/>
      <c r="H93" s="18"/>
      <c r="I93" s="18"/>
      <c r="J93" s="18"/>
      <c r="K93" s="40"/>
      <c r="L93" s="18"/>
      <c r="M93" s="18"/>
      <c r="N93" s="18"/>
      <c r="O93" s="18"/>
      <c r="P93" s="18"/>
      <c r="Q93" s="18"/>
      <c r="R93" s="18"/>
      <c r="S93" s="18"/>
    </row>
    <row r="94" spans="5:19" x14ac:dyDescent="0.25">
      <c r="E94" s="36" t="s">
        <v>51</v>
      </c>
      <c r="K94" s="42">
        <v>-459.65</v>
      </c>
    </row>
    <row r="95" spans="5:19" x14ac:dyDescent="0.25">
      <c r="E95" s="36" t="s">
        <v>50</v>
      </c>
      <c r="K95" s="42">
        <v>-321.05</v>
      </c>
    </row>
    <row r="96" spans="5:19" x14ac:dyDescent="0.25">
      <c r="E96" s="36" t="s">
        <v>48</v>
      </c>
      <c r="K96" s="42">
        <v>-203.4</v>
      </c>
    </row>
    <row r="97" spans="5:19" x14ac:dyDescent="0.25">
      <c r="E97" s="36" t="s">
        <v>53</v>
      </c>
      <c r="K97" s="42">
        <v>1.300000000000004</v>
      </c>
    </row>
    <row r="98" spans="5:19" x14ac:dyDescent="0.25">
      <c r="E98" s="36" t="s">
        <v>54</v>
      </c>
      <c r="K98" s="42">
        <v>293.14999999999998</v>
      </c>
    </row>
    <row r="99" spans="5:19" x14ac:dyDescent="0.25">
      <c r="E99" s="36"/>
      <c r="K99" s="42"/>
    </row>
    <row r="100" spans="5:19" x14ac:dyDescent="0.25">
      <c r="E100" s="36"/>
      <c r="K100" s="42"/>
    </row>
    <row r="101" spans="5:19" x14ac:dyDescent="0.25">
      <c r="E101" s="36"/>
      <c r="K101" s="42"/>
    </row>
    <row r="103" spans="5:19" x14ac:dyDescent="0.25">
      <c r="E103" s="46" t="s">
        <v>103</v>
      </c>
      <c r="F103" s="49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</row>
    <row r="105" spans="5:19" x14ac:dyDescent="0.25">
      <c r="E105" s="48" t="s">
        <v>51</v>
      </c>
    </row>
    <row r="106" spans="5:19" x14ac:dyDescent="0.25">
      <c r="E106" s="44" t="s">
        <v>94</v>
      </c>
      <c r="F106" s="1" t="s">
        <v>49</v>
      </c>
      <c r="G106" s="1">
        <f>SUMIFS('HISTORICAL DATA'!$D$6:$D$105,'HISTORICAL DATA'!$H$6:$H$105,"New",'HISTORICAL DATA'!$B$6:$B$105,"GlowSkin Serum")</f>
        <v>1519</v>
      </c>
      <c r="I106" s="36" t="s">
        <v>52</v>
      </c>
      <c r="J106" s="1">
        <f>SUMIFS('HISTORICAL DATA'!$D$6:$D$105,'HISTORICAL DATA'!$G$6:$G$105,"In-store",'HISTORICAL DATA'!$B$6:$B$105,"GlowSkin Serum")</f>
        <v>818</v>
      </c>
    </row>
    <row r="107" spans="5:19" x14ac:dyDescent="0.25">
      <c r="F107" s="36" t="s">
        <v>47</v>
      </c>
      <c r="G107" s="1">
        <f>SUMIFS('HISTORICAL DATA'!$D$6:$D$105,'HISTORICAL DATA'!$H$6:$H$105,"Returning",'HISTORICAL DATA'!$B$6:$B$105,"GlowSkin Serum")</f>
        <v>1053</v>
      </c>
      <c r="I107" s="36" t="s">
        <v>46</v>
      </c>
      <c r="J107" s="1">
        <f>SUMIFS('HISTORICAL DATA'!$D$6:$D$105,'HISTORICAL DATA'!$G$6:$G$105,"Online",'HISTORICAL DATA'!$B$6:$B$105,"GlowSkin Serum")</f>
        <v>1754</v>
      </c>
    </row>
    <row r="109" spans="5:19" x14ac:dyDescent="0.25">
      <c r="E109" s="44" t="s">
        <v>97</v>
      </c>
      <c r="F109" s="1" t="s">
        <v>49</v>
      </c>
      <c r="G109" s="1">
        <f>SUMIFS('HISTORICAL DATA'!$E$6:$E$105,'HISTORICAL DATA'!$H$6:$H$105,"New",'HISTORICAL DATA'!$B$6:$B$105,"GlowSkin Serum")</f>
        <v>338</v>
      </c>
      <c r="I109" s="36" t="s">
        <v>52</v>
      </c>
      <c r="J109" s="1">
        <f>SUMIFS('HISTORICAL DATA'!$E$6:$E$105,'HISTORICAL DATA'!$G$6:$G$105,"In-store",'HISTORICAL DATA'!$B$6:$B$105,"GlowSkin Serum")</f>
        <v>148</v>
      </c>
    </row>
    <row r="110" spans="5:19" x14ac:dyDescent="0.25">
      <c r="F110" s="36" t="s">
        <v>47</v>
      </c>
      <c r="G110" s="1">
        <f>SUMIFS('HISTORICAL DATA'!$E$6:$E$105,'HISTORICAL DATA'!$H$6:$H$105,"Returning",'HISTORICAL DATA'!$B$6:$B$105,"GlowSkin Serum")</f>
        <v>260</v>
      </c>
      <c r="I110" s="36" t="s">
        <v>46</v>
      </c>
      <c r="J110" s="1">
        <f>SUMIFS('HISTORICAL DATA'!$E$6:$E$105,'HISTORICAL DATA'!$G$6:$G$105,"Online",'HISTORICAL DATA'!$B$6:$B$105,"GlowSkin Serum")</f>
        <v>450</v>
      </c>
    </row>
    <row r="112" spans="5:19" x14ac:dyDescent="0.25">
      <c r="E112" s="44" t="s">
        <v>98</v>
      </c>
      <c r="F112" s="1" t="s">
        <v>49</v>
      </c>
      <c r="G112" s="1">
        <f>SUMIFS('HISTORICAL DATA'!$F$6:$F$105,'HISTORICAL DATA'!$H$6:$H$105,"New",'HISTORICAL DATA'!$B$6:$B$105,"GlowSkin Serum")</f>
        <v>98</v>
      </c>
      <c r="I112" s="36" t="s">
        <v>52</v>
      </c>
      <c r="J112" s="1">
        <f>SUMIFS('HISTORICAL DATA'!$F$6:$F$105,'HISTORICAL DATA'!$G$6:$G$105,"In-store",'HISTORICAL DATA'!$B$6:$B$105,"GlowSkin Serum")</f>
        <v>75</v>
      </c>
    </row>
    <row r="113" spans="5:11" x14ac:dyDescent="0.25">
      <c r="F113" s="36" t="s">
        <v>47</v>
      </c>
      <c r="G113" s="1">
        <f>SUMIFS('HISTORICAL DATA'!$F$6:$F$105,'HISTORICAL DATA'!$H$6:$H$105,"Returning",'HISTORICAL DATA'!$B$6:$B$105,"GlowSkin Serum")</f>
        <v>95</v>
      </c>
      <c r="I113" s="36" t="s">
        <v>46</v>
      </c>
      <c r="J113" s="1">
        <f>SUMIFS('HISTORICAL DATA'!$F$6:$F$105,'HISTORICAL DATA'!$G$6:$G$105,"Online",'HISTORICAL DATA'!$B$6:$B$105,"GlowSkin Serum")</f>
        <v>118</v>
      </c>
    </row>
    <row r="115" spans="5:11" x14ac:dyDescent="0.25">
      <c r="E115" s="44" t="s">
        <v>99</v>
      </c>
      <c r="F115" s="1" t="s">
        <v>49</v>
      </c>
      <c r="G115" s="1">
        <f>SUMIFS('HISTORICAL DATA'!$L$6:$L$105,'HISTORICAL DATA'!$H$6:$H$105,"New",'HISTORICAL DATA'!$B$6:$B$105,"GlowSkin Serum")</f>
        <v>88.550000000000011</v>
      </c>
      <c r="I115" s="36" t="s">
        <v>52</v>
      </c>
      <c r="J115" s="1">
        <f>SUMIFS('HISTORICAL DATA'!$L$6:$L$105,'HISTORICAL DATA'!$G$6:$G$105,"In-store",'HISTORICAL DATA'!$B$6:$B$105,"GlowSkin Serum")</f>
        <v>59.900000000000006</v>
      </c>
    </row>
    <row r="116" spans="5:11" x14ac:dyDescent="0.25">
      <c r="F116" s="36" t="s">
        <v>47</v>
      </c>
      <c r="G116" s="1">
        <f>SUMIFS('HISTORICAL DATA'!$L$6:$L$105,'HISTORICAL DATA'!$H$6:$H$105,"Returning",'HISTORICAL DATA'!$B$6:$B$105,"GlowSkin Serum")</f>
        <v>72.100000000000009</v>
      </c>
      <c r="I116" s="36" t="s">
        <v>46</v>
      </c>
      <c r="J116" s="1">
        <f>SUMIFS('HISTORICAL DATA'!$L$6:$L$105,'HISTORICAL DATA'!$G$6:$G$105,"Online",'HISTORICAL DATA'!$B$6:$B$105,"GlowSkin Serum")</f>
        <v>100.75</v>
      </c>
    </row>
    <row r="117" spans="5:11" x14ac:dyDescent="0.25">
      <c r="F117" s="36"/>
      <c r="I117" s="36"/>
    </row>
    <row r="118" spans="5:11" x14ac:dyDescent="0.25">
      <c r="F118" s="50" t="s">
        <v>104</v>
      </c>
      <c r="G118" s="46">
        <f>G106+G109+G112+G115</f>
        <v>2043.55</v>
      </c>
      <c r="H118" s="46"/>
      <c r="I118" s="50" t="s">
        <v>107</v>
      </c>
      <c r="J118" s="46">
        <f>J106+J109+J112+J115</f>
        <v>1100.9000000000001</v>
      </c>
    </row>
    <row r="119" spans="5:11" x14ac:dyDescent="0.25">
      <c r="F119" s="50" t="s">
        <v>105</v>
      </c>
      <c r="G119" s="46">
        <f>G116+G113+G110+G107</f>
        <v>1480.1</v>
      </c>
      <c r="H119" s="46"/>
      <c r="I119" s="50" t="s">
        <v>106</v>
      </c>
      <c r="J119" s="46">
        <f>J116+J113+J110+J107</f>
        <v>2422.75</v>
      </c>
    </row>
    <row r="121" spans="5:11" x14ac:dyDescent="0.25">
      <c r="E121" s="44" t="s">
        <v>100</v>
      </c>
      <c r="F121" s="1" t="s">
        <v>49</v>
      </c>
      <c r="G121" s="1">
        <f>SUMIFS('HISTORICAL DATA'!$M$6:$M$105,'HISTORICAL DATA'!$H$6:$H$105,"New",'HISTORICAL DATA'!$B$6:$B$105,"GlowSkin Serum")</f>
        <v>-268.55000000000007</v>
      </c>
      <c r="I121" s="36" t="s">
        <v>52</v>
      </c>
      <c r="J121" s="1">
        <f>SUMIFS('HISTORICAL DATA'!$M$6:$M$105,'HISTORICAL DATA'!$G$6:$G$105,"In-store",'HISTORICAL DATA'!$B$6:$B$105,"GlowSkin Serum")</f>
        <v>95.1</v>
      </c>
    </row>
    <row r="122" spans="5:11" x14ac:dyDescent="0.25">
      <c r="F122" s="36" t="s">
        <v>47</v>
      </c>
      <c r="G122" s="1">
        <f>SUMIFS('HISTORICAL DATA'!$M$6:$M$105,'HISTORICAL DATA'!$H$6:$H$105,"Returning",'HISTORICAL DATA'!$B$6:$B$105,"GlowSkin Serum")</f>
        <v>-191.1</v>
      </c>
      <c r="I122" s="36" t="s">
        <v>46</v>
      </c>
      <c r="J122" s="1">
        <f>SUMIFS('HISTORICAL DATA'!$M$6:$M$105,'HISTORICAL DATA'!$G$6:$G$105,"Online",'HISTORICAL DATA'!$B$6:$B$105,"GlowSkin Serum")</f>
        <v>-554.75000000000011</v>
      </c>
    </row>
    <row r="123" spans="5:11" x14ac:dyDescent="0.25">
      <c r="F123" s="36"/>
      <c r="I123" s="36"/>
    </row>
    <row r="125" spans="5:11" x14ac:dyDescent="0.25">
      <c r="E125" s="48" t="s">
        <v>50</v>
      </c>
    </row>
    <row r="126" spans="5:11" x14ac:dyDescent="0.25">
      <c r="E126" s="44" t="s">
        <v>94</v>
      </c>
      <c r="F126" s="1" t="s">
        <v>49</v>
      </c>
      <c r="G126" s="1">
        <f>SUMIFS('HISTORICAL DATA'!$D$6:$D$105,'HISTORICAL DATA'!$H$6:$H$105,"New",'HISTORICAL DATA'!$B$6:$B$105,"HomeHaven Scented Candle")</f>
        <v>447</v>
      </c>
      <c r="I126" s="36" t="s">
        <v>52</v>
      </c>
      <c r="J126" s="1">
        <f>SUMIFS('HISTORICAL DATA'!$D$6:$D$105,'HISTORICAL DATA'!$G$6:$G$105,"In-store",'HISTORICAL DATA'!$B$6:$B$105,"HomeHaven Scented Candle")</f>
        <v>269</v>
      </c>
      <c r="K126" s="36"/>
    </row>
    <row r="127" spans="5:11" x14ac:dyDescent="0.25">
      <c r="F127" s="36" t="s">
        <v>47</v>
      </c>
      <c r="G127" s="1">
        <f>SUMIFS('HISTORICAL DATA'!$D$6:$D$105,'HISTORICAL DATA'!$H$6:$H$105,"Returning",'HISTORICAL DATA'!$B$6:$B$105,"HomeHaven Scented Candle")</f>
        <v>1065</v>
      </c>
      <c r="I127" s="36" t="s">
        <v>46</v>
      </c>
      <c r="J127" s="1">
        <f>SUMIFS('HISTORICAL DATA'!$D$6:$D$105,'HISTORICAL DATA'!$G$6:$G$105,"Online",'HISTORICAL DATA'!$B$6:$B$105,"HomeHaven Scented Candle")</f>
        <v>1243</v>
      </c>
      <c r="K127" s="36"/>
    </row>
    <row r="129" spans="5:10" x14ac:dyDescent="0.25">
      <c r="E129" s="44" t="s">
        <v>97</v>
      </c>
      <c r="F129" s="1" t="s">
        <v>49</v>
      </c>
      <c r="G129" s="1">
        <f>SUMIFS('HISTORICAL DATA'!$E$6:$E$105,'HISTORICAL DATA'!$H$6:$H$105,"New",'HISTORICAL DATA'!$B$6:$B$105,"HomeHaven Scented Candle")</f>
        <v>137</v>
      </c>
      <c r="I129" s="36" t="s">
        <v>52</v>
      </c>
      <c r="J129" s="1">
        <f>SUMIFS('HISTORICAL DATA'!$E$6:$E$105,'HISTORICAL DATA'!$G$6:$G$105,"In-store",'HISTORICAL DATA'!$B$6:$B$105,"HomeHaven Scented Candle")</f>
        <v>59</v>
      </c>
    </row>
    <row r="130" spans="5:10" x14ac:dyDescent="0.25">
      <c r="F130" s="36" t="s">
        <v>47</v>
      </c>
      <c r="G130" s="1">
        <f>SUMIFS('HISTORICAL DATA'!$E$6:$E$105,'HISTORICAL DATA'!$H$6:$H$105,"Returning",'HISTORICAL DATA'!$B$6:$B$105,"HomeHaven Scented Candle")</f>
        <v>228</v>
      </c>
      <c r="I130" s="36" t="s">
        <v>46</v>
      </c>
      <c r="J130" s="1">
        <f>SUMIFS('HISTORICAL DATA'!$E$6:$E$105,'HISTORICAL DATA'!$G$6:$G$105,"Online",'HISTORICAL DATA'!$B$6:$B$105,"HomeHaven Scented Candle")</f>
        <v>306</v>
      </c>
    </row>
    <row r="132" spans="5:10" x14ac:dyDescent="0.25">
      <c r="E132" s="44" t="s">
        <v>98</v>
      </c>
      <c r="F132" s="1" t="s">
        <v>49</v>
      </c>
      <c r="G132" s="1">
        <f>SUMIFS('HISTORICAL DATA'!$F$6:$F$105,'HISTORICAL DATA'!$H$6:$H$105,"New",'HISTORICAL DATA'!$B$6:$B$105,"HomeHaven Scented Candle")</f>
        <v>48</v>
      </c>
      <c r="I132" s="36" t="s">
        <v>52</v>
      </c>
      <c r="J132" s="1">
        <f>SUMIFS('HISTORICAL DATA'!$F$6:$F$105,'HISTORICAL DATA'!$G$6:$G$105,"In-store",'HISTORICAL DATA'!$B$6:$B$105,"HomeHaven Scented Candle")</f>
        <v>18</v>
      </c>
    </row>
    <row r="133" spans="5:10" x14ac:dyDescent="0.25">
      <c r="F133" s="36" t="s">
        <v>47</v>
      </c>
      <c r="G133" s="1">
        <f>SUMIFS('HISTORICAL DATA'!$F$6:$F$105,'HISTORICAL DATA'!$H$6:$H$105,"Returning",'HISTORICAL DATA'!$B$6:$B$105,"HomeHaven Scented Candle")</f>
        <v>52</v>
      </c>
      <c r="I133" s="36" t="s">
        <v>46</v>
      </c>
      <c r="J133" s="1">
        <f>SUMIFS('HISTORICAL DATA'!$F$6:$F$105,'HISTORICAL DATA'!$G$6:$G$105,"Online",'HISTORICAL DATA'!$B$6:$B$105,"HomeHaven Scented Candle")</f>
        <v>82</v>
      </c>
    </row>
    <row r="135" spans="5:10" x14ac:dyDescent="0.25">
      <c r="E135" s="44" t="s">
        <v>99</v>
      </c>
      <c r="F135" s="1" t="s">
        <v>49</v>
      </c>
      <c r="G135" s="1">
        <f>SUMIFS('HISTORICAL DATA'!$L$6:$L$105,'HISTORICAL DATA'!$H$6:$H$105,"New",'HISTORICAL DATA'!$B$6:$B$105,"HomeHaven Scented Candle")</f>
        <v>16.75</v>
      </c>
      <c r="I135" s="36" t="s">
        <v>52</v>
      </c>
      <c r="J135" s="1">
        <f>SUMIFS('HISTORICAL DATA'!$L$6:$L$105,'HISTORICAL DATA'!$G$6:$G$105,"In-store",'HISTORICAL DATA'!$B$6:$B$105,"HomeHaven Scented Candle")</f>
        <v>0</v>
      </c>
    </row>
    <row r="136" spans="5:10" x14ac:dyDescent="0.25">
      <c r="F136" s="36" t="s">
        <v>47</v>
      </c>
      <c r="G136" s="1">
        <f>SUMIFS('HISTORICAL DATA'!$L$6:$L$105,'HISTORICAL DATA'!$H$6:$H$105,"Returning",'HISTORICAL DATA'!$B$6:$B$105,"HomeHaven Scented Candle")</f>
        <v>31.300000000000004</v>
      </c>
      <c r="I136" s="36" t="s">
        <v>46</v>
      </c>
      <c r="J136" s="1">
        <f>SUMIFS('HISTORICAL DATA'!$L$6:$L$105,'HISTORICAL DATA'!$G$6:$G$105,"Online",'HISTORICAL DATA'!$B$6:$B$105,"HomeHaven Scented Candle")</f>
        <v>48.050000000000004</v>
      </c>
    </row>
    <row r="138" spans="5:10" x14ac:dyDescent="0.25">
      <c r="F138" s="50" t="s">
        <v>104</v>
      </c>
      <c r="G138" s="46">
        <f>G126+G129+G132+G135</f>
        <v>648.75</v>
      </c>
      <c r="H138" s="46"/>
      <c r="I138" s="50" t="s">
        <v>107</v>
      </c>
      <c r="J138" s="46">
        <f>J126+J129+J132+J135</f>
        <v>346</v>
      </c>
    </row>
    <row r="139" spans="5:10" x14ac:dyDescent="0.25">
      <c r="F139" s="50" t="s">
        <v>105</v>
      </c>
      <c r="G139" s="46">
        <f>G136+G133+G130+G127</f>
        <v>1376.3</v>
      </c>
      <c r="H139" s="46"/>
      <c r="I139" s="50" t="s">
        <v>106</v>
      </c>
      <c r="J139" s="46">
        <f>J136+J133+J130+J127</f>
        <v>1679.05</v>
      </c>
    </row>
    <row r="141" spans="5:10" x14ac:dyDescent="0.25">
      <c r="E141" s="44" t="s">
        <v>100</v>
      </c>
      <c r="F141" s="1" t="s">
        <v>49</v>
      </c>
      <c r="G141" s="1">
        <f>SUMIFS('HISTORICAL DATA'!$M$6:$M$105,'HISTORICAL DATA'!$H$6:$H$105,"New",'HISTORICAL DATA'!$B$6:$B$105,"HomeHaven Scented Candle")</f>
        <v>-66.75</v>
      </c>
      <c r="I141" s="36" t="s">
        <v>52</v>
      </c>
      <c r="J141" s="1">
        <f>SUMIFS('HISTORICAL DATA'!$M$6:$M$105,'HISTORICAL DATA'!$G$6:$G$105,"In-store",'HISTORICAL DATA'!$B$6:$B$105,"HomeHaven Scented Candle")</f>
        <v>5</v>
      </c>
    </row>
    <row r="142" spans="5:10" x14ac:dyDescent="0.25">
      <c r="F142" s="36" t="s">
        <v>47</v>
      </c>
      <c r="G142" s="1">
        <f>SUMIFS('HISTORICAL DATA'!$M$6:$M$105,'HISTORICAL DATA'!$H$6:$H$105,"Returning",'HISTORICAL DATA'!$B$6:$B$105,"GlowSkin Serum")</f>
        <v>-191.1</v>
      </c>
      <c r="I142" s="36" t="s">
        <v>46</v>
      </c>
      <c r="J142" s="1">
        <f>SUMIFS('HISTORICAL DATA'!$M$6:$M$105,'HISTORICAL DATA'!$G$6:$G$105,"Online",'HISTORICAL DATA'!$B$6:$B$105,"GlowSkin Serum")</f>
        <v>-554.75000000000011</v>
      </c>
    </row>
    <row r="145" spans="5:10" x14ac:dyDescent="0.25">
      <c r="E145" s="48" t="s">
        <v>48</v>
      </c>
    </row>
    <row r="146" spans="5:10" x14ac:dyDescent="0.25">
      <c r="E146" s="44" t="s">
        <v>94</v>
      </c>
      <c r="F146" s="1" t="s">
        <v>49</v>
      </c>
      <c r="G146" s="1">
        <f>SUMIFS('HISTORICAL DATA'!$D$6:$D$105,'HISTORICAL DATA'!$H$6:$H$105,"New",'HISTORICAL DATA'!$B$6:$B$105,"StyleEase Sneakers")</f>
        <v>1713</v>
      </c>
      <c r="I146" s="36" t="s">
        <v>52</v>
      </c>
      <c r="J146" s="1">
        <f>SUMIFS('HISTORICAL DATA'!$D$6:$D$105,'HISTORICAL DATA'!$G$6:$G$105,"In-store",'HISTORICAL DATA'!$B$6:$B$105,"StyleEase Sneakers")</f>
        <v>246</v>
      </c>
    </row>
    <row r="147" spans="5:10" x14ac:dyDescent="0.25">
      <c r="F147" s="36" t="s">
        <v>47</v>
      </c>
      <c r="G147" s="1">
        <f>SUMIFS('HISTORICAL DATA'!$D$6:$D$105,'HISTORICAL DATA'!$H$6:$H$105,"Returning",'HISTORICAL DATA'!$B$6:$B$105,"StyleEase Sneakers")</f>
        <v>384</v>
      </c>
      <c r="I147" s="36" t="s">
        <v>46</v>
      </c>
      <c r="J147" s="1">
        <f>SUMIFS('HISTORICAL DATA'!$D$6:$D$105,'HISTORICAL DATA'!$G$6:$G$105,"Online",'HISTORICAL DATA'!$B$6:$B$105,"StyleEase Sneakers")</f>
        <v>1851</v>
      </c>
    </row>
    <row r="149" spans="5:10" x14ac:dyDescent="0.25">
      <c r="E149" s="44" t="s">
        <v>97</v>
      </c>
      <c r="F149" s="1" t="s">
        <v>49</v>
      </c>
      <c r="G149" s="1">
        <f>SUMIFS('HISTORICAL DATA'!$E$6:$E$105,'HISTORICAL DATA'!$H$6:$H$105,"New",'HISTORICAL DATA'!$B$6:$B$105,"StyleEase Sneakers")</f>
        <v>414</v>
      </c>
      <c r="I149" s="36" t="s">
        <v>52</v>
      </c>
      <c r="J149" s="1">
        <f>SUMIFS('HISTORICAL DATA'!$E$6:$E$105,'HISTORICAL DATA'!$G$6:$G$105,"In-store",'HISTORICAL DATA'!$B$6:$B$105,"StyleEase Sneakers")</f>
        <v>77</v>
      </c>
    </row>
    <row r="150" spans="5:10" x14ac:dyDescent="0.25">
      <c r="F150" s="36" t="s">
        <v>47</v>
      </c>
      <c r="G150" s="1">
        <f>SUMIFS('HISTORICAL DATA'!$E$6:$E$105,'HISTORICAL DATA'!$H$6:$H$105,"Returning",'HISTORICAL DATA'!$B$6:$B$105,"StyleEase Sneakers")</f>
        <v>100</v>
      </c>
      <c r="I150" s="36" t="s">
        <v>46</v>
      </c>
      <c r="J150" s="1">
        <f>SUMIFS('HISTORICAL DATA'!$E$6:$E$105,'HISTORICAL DATA'!$G$6:$G$105,"Online",'HISTORICAL DATA'!$B$6:$B$105,"StyleEase Sneakers")</f>
        <v>437</v>
      </c>
    </row>
    <row r="152" spans="5:10" x14ac:dyDescent="0.25">
      <c r="E152" s="44" t="s">
        <v>98</v>
      </c>
      <c r="F152" s="1" t="s">
        <v>49</v>
      </c>
      <c r="G152" s="1">
        <f>SUMIFS('HISTORICAL DATA'!$F$6:$F$105,'HISTORICAL DATA'!$H$6:$H$105,"New",'HISTORICAL DATA'!$B$6:$B$105,"StyleEase Sneakers")</f>
        <v>146</v>
      </c>
      <c r="I152" s="36" t="s">
        <v>52</v>
      </c>
      <c r="J152" s="1">
        <f>SUMIFS('HISTORICAL DATA'!$F$6:$F$105,'HISTORICAL DATA'!$G$6:$G$105,"In-store",'HISTORICAL DATA'!$B$6:$B$105,"StyleEase Sneakers")</f>
        <v>26</v>
      </c>
    </row>
    <row r="153" spans="5:10" x14ac:dyDescent="0.25">
      <c r="F153" s="36" t="s">
        <v>47</v>
      </c>
      <c r="G153" s="1">
        <f>SUMIFS('HISTORICAL DATA'!$F$6:$F$105,'HISTORICAL DATA'!$H$6:$H$105,"Returning",'HISTORICAL DATA'!$B$6:$B$105,"StyleEase Sneakers")</f>
        <v>29</v>
      </c>
      <c r="I153" s="36" t="s">
        <v>46</v>
      </c>
      <c r="J153" s="1">
        <f>SUMIFS('HISTORICAL DATA'!$F$6:$F$105,'HISTORICAL DATA'!$G$6:$G$105,"Online",'HISTORICAL DATA'!$B$6:$B$105,"StyleEase Sneakers")</f>
        <v>149</v>
      </c>
    </row>
    <row r="155" spans="5:10" x14ac:dyDescent="0.25">
      <c r="E155" s="44" t="s">
        <v>99</v>
      </c>
      <c r="F155" s="1" t="s">
        <v>49</v>
      </c>
      <c r="G155" s="1">
        <f>SUMIFS('HISTORICAL DATA'!$L$6:$L$105,'HISTORICAL DATA'!$H$6:$H$105,"New",'HISTORICAL DATA'!$B$6:$B$105,"StyleEase Sneakers")</f>
        <v>132.1</v>
      </c>
      <c r="I155" s="36" t="s">
        <v>52</v>
      </c>
      <c r="J155" s="1">
        <f>SUMIFS('HISTORICAL DATA'!$L$6:$L$105,'HISTORICAL DATA'!$G$6:$G$105,"In-store",'HISTORICAL DATA'!$B$6:$B$105,"StyleEase Sneakers")</f>
        <v>25.4</v>
      </c>
    </row>
    <row r="156" spans="5:10" x14ac:dyDescent="0.25">
      <c r="F156" s="36" t="s">
        <v>47</v>
      </c>
      <c r="G156" s="1">
        <f>SUMIFS('HISTORICAL DATA'!$L$6:$L$105,'HISTORICAL DATA'!$H$6:$H$105,"Returning",'HISTORICAL DATA'!$B$6:$B$105,"StyleEase Sneakers")</f>
        <v>13.3</v>
      </c>
      <c r="I156" s="36" t="s">
        <v>46</v>
      </c>
      <c r="J156" s="1">
        <f>SUMIFS('HISTORICAL DATA'!$L$6:$L$105,'HISTORICAL DATA'!$G$6:$G$105,"Online",'HISTORICAL DATA'!$B$6:$B$105,"StyleEase Sneakers")</f>
        <v>120</v>
      </c>
    </row>
    <row r="158" spans="5:10" x14ac:dyDescent="0.25">
      <c r="F158" s="50" t="s">
        <v>104</v>
      </c>
      <c r="G158" s="46">
        <f>G146+G149+G152+G155</f>
        <v>2405.1</v>
      </c>
      <c r="H158" s="46"/>
      <c r="I158" s="50" t="s">
        <v>107</v>
      </c>
      <c r="J158" s="46">
        <f>J146+J149+J152+J155</f>
        <v>374.4</v>
      </c>
    </row>
    <row r="159" spans="5:10" x14ac:dyDescent="0.25">
      <c r="F159" s="50" t="s">
        <v>105</v>
      </c>
      <c r="G159" s="46">
        <f>G156+G153+G150+G147</f>
        <v>526.29999999999995</v>
      </c>
      <c r="H159" s="46"/>
      <c r="I159" s="50" t="s">
        <v>106</v>
      </c>
      <c r="J159" s="46">
        <f>J156+J153+J150+J147</f>
        <v>2557</v>
      </c>
    </row>
    <row r="161" spans="5:10" x14ac:dyDescent="0.25">
      <c r="E161" s="44" t="s">
        <v>100</v>
      </c>
      <c r="F161" s="1" t="s">
        <v>49</v>
      </c>
      <c r="G161" s="1">
        <f>SUMIFS('HISTORICAL DATA'!$M$6:$M$105,'HISTORICAL DATA'!$H$6:$H$105,"New",'HISTORICAL DATA'!$B$6:$B$105,"StyleEase Sneakers")</f>
        <v>-144.09999999999997</v>
      </c>
      <c r="I161" s="36" t="s">
        <v>52</v>
      </c>
      <c r="J161" s="1">
        <f>SUMIFS('HISTORICAL DATA'!$M$6:$M$105,'HISTORICAL DATA'!$G$6:$G$105,"In-store",'HISTORICAL DATA'!$B$6:$B$105,"StyleEase Sneakers")</f>
        <v>0.60000000000000853</v>
      </c>
    </row>
    <row r="162" spans="5:10" x14ac:dyDescent="0.25">
      <c r="F162" s="36" t="s">
        <v>47</v>
      </c>
      <c r="G162" s="1">
        <f>SUMIFS('HISTORICAL DATA'!$M$6:$M$105,'HISTORICAL DATA'!$H$6:$H$105,"Returning",'HISTORICAL DATA'!$B$6:$B$105,"StyleEase Sneakers")</f>
        <v>-59.3</v>
      </c>
      <c r="I162" s="36" t="s">
        <v>46</v>
      </c>
      <c r="J162" s="1">
        <f>SUMIFS('HISTORICAL DATA'!$M$6:$M$105,'HISTORICAL DATA'!$G$6:$G$105,"Online",'HISTORICAL DATA'!$B$6:$B$105,"StyleEase Sneakers")</f>
        <v>-204</v>
      </c>
    </row>
    <row r="163" spans="5:10" x14ac:dyDescent="0.25">
      <c r="F163" s="36"/>
      <c r="I163" s="36"/>
    </row>
    <row r="165" spans="5:10" x14ac:dyDescent="0.25">
      <c r="E165" s="48" t="s">
        <v>53</v>
      </c>
    </row>
    <row r="166" spans="5:10" x14ac:dyDescent="0.25">
      <c r="E166" s="44" t="s">
        <v>94</v>
      </c>
      <c r="F166" s="1" t="s">
        <v>49</v>
      </c>
      <c r="G166" s="1">
        <f>SUMIFS('HISTORICAL DATA'!$D$6:$D$105,'HISTORICAL DATA'!$H$6:$H$105,"New",'HISTORICAL DATA'!$B$6:$B$105,"PowerUp Protein Bar")</f>
        <v>1361</v>
      </c>
      <c r="I166" s="36" t="s">
        <v>52</v>
      </c>
      <c r="J166" s="1">
        <f>SUMIFS('HISTORICAL DATA'!$D$6:$D$105,'HISTORICAL DATA'!$G$6:$G$105,"In-store",'HISTORICAL DATA'!$B$6:$B$105,"PowerUp Protein Bar")</f>
        <v>382</v>
      </c>
    </row>
    <row r="167" spans="5:10" x14ac:dyDescent="0.25">
      <c r="F167" s="36" t="s">
        <v>47</v>
      </c>
      <c r="G167" s="1">
        <f>SUMIFS('HISTORICAL DATA'!$D$6:$D$105,'HISTORICAL DATA'!$H$6:$H$105,"Returning",'HISTORICAL DATA'!$B$6:$B$105,"PowerUp Protein Bar")</f>
        <v>597</v>
      </c>
      <c r="I167" s="36" t="s">
        <v>46</v>
      </c>
      <c r="J167" s="1">
        <f>SUMIFS('HISTORICAL DATA'!$D$6:$D$105,'HISTORICAL DATA'!$G$6:$G$105,"Online",'HISTORICAL DATA'!$B$6:$B$105,"PowerUp Protein Bar")</f>
        <v>1576</v>
      </c>
    </row>
    <row r="169" spans="5:10" x14ac:dyDescent="0.25">
      <c r="E169" s="44" t="s">
        <v>97</v>
      </c>
      <c r="F169" s="1" t="s">
        <v>49</v>
      </c>
      <c r="G169" s="1">
        <f>SUMIFS('HISTORICAL DATA'!$E$6:$E$105,'HISTORICAL DATA'!$H$6:$H$105,"New",'HISTORICAL DATA'!$B$6:$B$105,"PowerUp Protein Bar")</f>
        <v>327</v>
      </c>
      <c r="I169" s="36" t="s">
        <v>52</v>
      </c>
      <c r="J169" s="1">
        <f>SUMIFS('HISTORICAL DATA'!$E$6:$E$105,'HISTORICAL DATA'!$G$6:$G$105,"In-store",'HISTORICAL DATA'!$B$6:$B$105,"PowerUp Protein Bar")</f>
        <v>100</v>
      </c>
    </row>
    <row r="170" spans="5:10" x14ac:dyDescent="0.25">
      <c r="F170" s="36" t="s">
        <v>47</v>
      </c>
      <c r="G170" s="1">
        <f>SUMIFS('HISTORICAL DATA'!$E$6:$E$105,'HISTORICAL DATA'!$H$6:$H$105,"Returning",'HISTORICAL DATA'!$B$6:$B$105,"PowerUp Protein Bar")</f>
        <v>155</v>
      </c>
      <c r="I170" s="36" t="s">
        <v>46</v>
      </c>
      <c r="J170" s="1">
        <f>SUMIFS('HISTORICAL DATA'!$E$6:$E$105,'HISTORICAL DATA'!$G$6:$G$105,"Online",'HISTORICAL DATA'!$B$6:$B$105,"PowerUp Protein Bar")</f>
        <v>382</v>
      </c>
    </row>
    <row r="172" spans="5:10" x14ac:dyDescent="0.25">
      <c r="E172" s="44" t="s">
        <v>98</v>
      </c>
      <c r="F172" s="1" t="s">
        <v>49</v>
      </c>
      <c r="G172" s="1">
        <f>SUMIFS('HISTORICAL DATA'!$F$6:$F$105,'HISTORICAL DATA'!$H$6:$H$105,"New",'HISTORICAL DATA'!$B$6:$B$105,"PowerUp Protein Bar")</f>
        <v>73</v>
      </c>
      <c r="I172" s="36" t="s">
        <v>52</v>
      </c>
      <c r="J172" s="1">
        <f>SUMIFS('HISTORICAL DATA'!$F$6:$F$105,'HISTORICAL DATA'!$G$6:$G$105,"In-store",'HISTORICAL DATA'!$B$6:$B$105,"PowerUp Protein Bar")</f>
        <v>38</v>
      </c>
    </row>
    <row r="173" spans="5:10" x14ac:dyDescent="0.25">
      <c r="F173" s="36" t="s">
        <v>47</v>
      </c>
      <c r="G173" s="1">
        <f>SUMIFS('HISTORICAL DATA'!$F$6:$F$105,'HISTORICAL DATA'!$H$6:$H$105,"Returning",'HISTORICAL DATA'!$B$6:$B$105,"PowerUp Protein Bar")</f>
        <v>58</v>
      </c>
      <c r="I173" s="36" t="s">
        <v>46</v>
      </c>
      <c r="J173" s="1">
        <f>SUMIFS('HISTORICAL DATA'!$F$6:$F$105,'HISTORICAL DATA'!$G$6:$G$105,"Online",'HISTORICAL DATA'!$B$6:$B$105,"PowerUp Protein Bar")</f>
        <v>93</v>
      </c>
    </row>
    <row r="175" spans="5:10" x14ac:dyDescent="0.25">
      <c r="E175" s="44" t="s">
        <v>99</v>
      </c>
      <c r="F175" s="1" t="s">
        <v>49</v>
      </c>
      <c r="G175" s="1">
        <f>SUMIFS('HISTORICAL DATA'!$L$6:$L$105,'HISTORICAL DATA'!$H$6:$H$105,"New",'HISTORICAL DATA'!$B$6:$B$105,"PowerUp Protein Bar")</f>
        <v>84.899999999999991</v>
      </c>
      <c r="I175" s="36" t="s">
        <v>52</v>
      </c>
      <c r="J175" s="1">
        <f>SUMIFS('HISTORICAL DATA'!$L$6:$L$105,'HISTORICAL DATA'!$G$6:$G$105,"In-store",'HISTORICAL DATA'!$B$6:$B$105,"PowerUp Protein Bar")</f>
        <v>12</v>
      </c>
    </row>
    <row r="176" spans="5:10" x14ac:dyDescent="0.25">
      <c r="F176" s="36" t="s">
        <v>47</v>
      </c>
      <c r="G176" s="1">
        <f>SUMIFS('HISTORICAL DATA'!$L$6:$L$105,'HISTORICAL DATA'!$H$6:$H$105,"Returning",'HISTORICAL DATA'!$B$6:$B$105,"PowerUp Protein Bar")</f>
        <v>46.8</v>
      </c>
      <c r="I176" s="36" t="s">
        <v>46</v>
      </c>
      <c r="J176" s="1">
        <f>SUMIFS('HISTORICAL DATA'!$L$6:$L$105,'HISTORICAL DATA'!$G$6:$G$105,"Online",'HISTORICAL DATA'!$B$6:$B$105,"PowerUp Protein Bar")</f>
        <v>119.7</v>
      </c>
    </row>
    <row r="178" spans="5:10" x14ac:dyDescent="0.25">
      <c r="F178" s="50" t="s">
        <v>104</v>
      </c>
      <c r="G178" s="46">
        <f>G166+G169+G172+G175</f>
        <v>1845.9</v>
      </c>
      <c r="H178" s="46"/>
      <c r="I178" s="50" t="s">
        <v>107</v>
      </c>
      <c r="J178" s="46">
        <f>J166+J169+J172+J175</f>
        <v>532</v>
      </c>
    </row>
    <row r="179" spans="5:10" x14ac:dyDescent="0.25">
      <c r="F179" s="50" t="s">
        <v>105</v>
      </c>
      <c r="G179" s="46">
        <f>G176+G173+G170+G167</f>
        <v>856.8</v>
      </c>
      <c r="H179" s="46"/>
      <c r="I179" s="50" t="s">
        <v>106</v>
      </c>
      <c r="J179" s="46">
        <f>J176+J173+J170+J167</f>
        <v>2170.6999999999998</v>
      </c>
    </row>
    <row r="181" spans="5:10" x14ac:dyDescent="0.25">
      <c r="E181" s="44" t="s">
        <v>100</v>
      </c>
      <c r="F181" s="1" t="s">
        <v>49</v>
      </c>
      <c r="G181" s="1">
        <f>SUMIFS('HISTORICAL DATA'!$M$6:$M$105,'HISTORICAL DATA'!$H$6:$H$105,"New",'HISTORICAL DATA'!$B$6:$B$105,"PowerUp Protein Bar")</f>
        <v>-73.899999999999991</v>
      </c>
      <c r="I181" s="36" t="s">
        <v>52</v>
      </c>
      <c r="J181" s="1">
        <f>SUMIFS('HISTORICAL DATA'!$M$6:$M$105,'HISTORICAL DATA'!$G$6:$G$105,"In-store",'HISTORICAL DATA'!$B$6:$B$105,"PowerUp Protein Bar")</f>
        <v>80</v>
      </c>
    </row>
    <row r="182" spans="5:10" x14ac:dyDescent="0.25">
      <c r="F182" s="36" t="s">
        <v>47</v>
      </c>
      <c r="G182" s="1">
        <f>SUMIFS('HISTORICAL DATA'!$M$6:$M$105,'HISTORICAL DATA'!$H$6:$H$105,"Returning",'HISTORICAL DATA'!$B$6:$B$105,"PowerUp Protein Bar")</f>
        <v>75.199999999999989</v>
      </c>
      <c r="I182" s="36" t="s">
        <v>46</v>
      </c>
      <c r="J182" s="1">
        <f>SUMIFS('HISTORICAL DATA'!$M$6:$M$105,'HISTORICAL DATA'!$G$6:$G$105,"Online",'HISTORICAL DATA'!$B$6:$B$105,"PowerUp Protein Bar")</f>
        <v>-78.699999999999989</v>
      </c>
    </row>
    <row r="183" spans="5:10" x14ac:dyDescent="0.25">
      <c r="F183" s="36"/>
      <c r="I183" s="36"/>
    </row>
    <row r="185" spans="5:10" x14ac:dyDescent="0.25">
      <c r="E185" s="48" t="s">
        <v>54</v>
      </c>
    </row>
    <row r="186" spans="5:10" x14ac:dyDescent="0.25">
      <c r="E186" s="44" t="s">
        <v>94</v>
      </c>
      <c r="F186" s="1" t="s">
        <v>49</v>
      </c>
      <c r="G186" s="1">
        <f>SUMIFS('HISTORICAL DATA'!$D$6:$D$105,'HISTORICAL DATA'!$H$6:$H$105,"New",'HISTORICAL DATA'!$B$6:$B$105,"FitFuel Energy Drink")</f>
        <v>947</v>
      </c>
      <c r="I186" s="36" t="s">
        <v>52</v>
      </c>
      <c r="J186" s="1">
        <f>SUMIFS('HISTORICAL DATA'!$D$6:$D$105,'HISTORICAL DATA'!$G$6:$G$105,"In-store",'HISTORICAL DATA'!$B$6:$B$105,"FitFuel Energy Drink")</f>
        <v>536</v>
      </c>
    </row>
    <row r="187" spans="5:10" x14ac:dyDescent="0.25">
      <c r="F187" s="36" t="s">
        <v>47</v>
      </c>
      <c r="G187" s="1">
        <f>SUMIFS('HISTORICAL DATA'!$D$6:$D$105,'HISTORICAL DATA'!$H$6:$H$105,"Returning",'HISTORICAL DATA'!$B$6:$B$105,"FitFuel Energy Drink")</f>
        <v>628</v>
      </c>
      <c r="I187" s="36" t="s">
        <v>46</v>
      </c>
      <c r="J187" s="1">
        <f>SUMIFS('HISTORICAL DATA'!$D$6:$D$105,'HISTORICAL DATA'!$G$6:$G$105,"Online",'HISTORICAL DATA'!$B$6:$B$105,"FitFuel Energy Drink")</f>
        <v>1039</v>
      </c>
    </row>
    <row r="189" spans="5:10" x14ac:dyDescent="0.25">
      <c r="E189" s="44" t="s">
        <v>97</v>
      </c>
      <c r="F189" s="1" t="s">
        <v>49</v>
      </c>
      <c r="G189" s="1">
        <f>SUMIFS('HISTORICAL DATA'!$E$6:$E$105,'HISTORICAL DATA'!$H$6:$H$105,"New",'HISTORICAL DATA'!$B$6:$B$105,"FitFuel Energy Drink")</f>
        <v>153</v>
      </c>
      <c r="I189" s="36" t="s">
        <v>52</v>
      </c>
      <c r="J189" s="1">
        <f>SUMIFS('HISTORICAL DATA'!$E$6:$E$105,'HISTORICAL DATA'!$G$6:$G$105,"In-store",'HISTORICAL DATA'!$B$6:$B$105,"FitFuel Energy Drink")</f>
        <v>131</v>
      </c>
    </row>
    <row r="190" spans="5:10" x14ac:dyDescent="0.25">
      <c r="F190" s="36" t="s">
        <v>47</v>
      </c>
      <c r="G190" s="1">
        <f>SUMIFS('HISTORICAL DATA'!$E$6:$E$105,'HISTORICAL DATA'!$H$6:$H$105,"Returning",'HISTORICAL DATA'!$B$6:$B$105,"FitFuel Energy Drink")</f>
        <v>113</v>
      </c>
      <c r="I190" s="36" t="s">
        <v>46</v>
      </c>
      <c r="J190" s="1">
        <f>SUMIFS('HISTORICAL DATA'!$E$6:$E$105,'HISTORICAL DATA'!$G$6:$G$105,"Online",'HISTORICAL DATA'!$B$6:$B$105,"FitFuel Energy Drink")</f>
        <v>135</v>
      </c>
    </row>
    <row r="192" spans="5:10" x14ac:dyDescent="0.25">
      <c r="E192" s="44" t="s">
        <v>98</v>
      </c>
      <c r="F192" s="1" t="s">
        <v>49</v>
      </c>
      <c r="G192" s="1">
        <f>SUMIFS('HISTORICAL DATA'!$F$6:$F$105,'HISTORICAL DATA'!$H$6:$H$105,"New",'HISTORICAL DATA'!$B$6:$B$105,"FitFuel Energy Drink")</f>
        <v>92</v>
      </c>
      <c r="I192" s="36" t="s">
        <v>52</v>
      </c>
      <c r="J192" s="1">
        <f>SUMIFS('HISTORICAL DATA'!$F$6:$F$105,'HISTORICAL DATA'!$G$6:$G$105,"In-store",'HISTORICAL DATA'!$B$6:$B$105,"FitFuel Energy Drink")</f>
        <v>39</v>
      </c>
    </row>
    <row r="193" spans="5:10" x14ac:dyDescent="0.25">
      <c r="F193" s="36" t="s">
        <v>47</v>
      </c>
      <c r="G193" s="1">
        <f>SUMIFS('HISTORICAL DATA'!$F$6:$F$105,'HISTORICAL DATA'!$H$6:$H$105,"Returning",'HISTORICAL DATA'!$B$6:$B$105,"FitFuel Energy Drink")</f>
        <v>40</v>
      </c>
      <c r="I193" s="36" t="s">
        <v>46</v>
      </c>
      <c r="J193" s="1">
        <f>SUMIFS('HISTORICAL DATA'!$F$6:$F$105,'HISTORICAL DATA'!$G$6:$G$105,"Online",'HISTORICAL DATA'!$B$6:$B$105,"FitFuel Energy Drink")</f>
        <v>93</v>
      </c>
    </row>
    <row r="195" spans="5:10" x14ac:dyDescent="0.25">
      <c r="E195" s="44" t="s">
        <v>99</v>
      </c>
      <c r="F195" s="1" t="s">
        <v>49</v>
      </c>
      <c r="G195" s="1">
        <f>SUMIFS('HISTORICAL DATA'!$L$6:$L$105,'HISTORICAL DATA'!$H$6:$H$105,"New",'HISTORICAL DATA'!$B$6:$B$105,"FitFuel Energy Drink")</f>
        <v>56.6</v>
      </c>
      <c r="I195" s="36" t="s">
        <v>52</v>
      </c>
      <c r="J195" s="1">
        <f>SUMIFS('HISTORICAL DATA'!$L$6:$L$105,'HISTORICAL DATA'!$G$6:$G$105,"In-store",'HISTORICAL DATA'!$B$6:$B$105,"FitFuel Energy Drink")</f>
        <v>55.2</v>
      </c>
    </row>
    <row r="196" spans="5:10" x14ac:dyDescent="0.25">
      <c r="F196" s="36" t="s">
        <v>47</v>
      </c>
      <c r="G196" s="1">
        <f>SUMIFS('HISTORICAL DATA'!$L$6:$L$105,'HISTORICAL DATA'!$H$6:$H$105,"Returning",'HISTORICAL DATA'!$B$6:$B$105,"FitFuel Energy Drink")</f>
        <v>61.25</v>
      </c>
      <c r="I196" s="36" t="s">
        <v>46</v>
      </c>
      <c r="J196" s="1">
        <f>SUMIFS('HISTORICAL DATA'!$L$6:$L$105,'HISTORICAL DATA'!$G$6:$G$105,"Online",'HISTORICAL DATA'!$B$6:$B$105,"FitFuel Energy Drink")</f>
        <v>62.650000000000006</v>
      </c>
    </row>
    <row r="198" spans="5:10" x14ac:dyDescent="0.25">
      <c r="F198" s="50" t="s">
        <v>104</v>
      </c>
      <c r="G198" s="46">
        <f>G186+G189+G192+G195</f>
        <v>1248.5999999999999</v>
      </c>
      <c r="H198" s="46"/>
      <c r="I198" s="50" t="s">
        <v>107</v>
      </c>
      <c r="J198" s="46">
        <f>J186+J189+J192+J195</f>
        <v>761.2</v>
      </c>
    </row>
    <row r="199" spans="5:10" x14ac:dyDescent="0.25">
      <c r="F199" s="50" t="s">
        <v>105</v>
      </c>
      <c r="G199" s="46">
        <f>G196+G193+G190+G187</f>
        <v>842.25</v>
      </c>
      <c r="H199" s="46"/>
      <c r="I199" s="50" t="s">
        <v>106</v>
      </c>
      <c r="J199" s="46">
        <f>J196+J193+J190+J187</f>
        <v>1329.65</v>
      </c>
    </row>
    <row r="201" spans="5:10" x14ac:dyDescent="0.25">
      <c r="E201" s="44" t="s">
        <v>100</v>
      </c>
      <c r="F201" s="1" t="s">
        <v>49</v>
      </c>
      <c r="G201" s="1">
        <f>SUMIFS('HISTORICAL DATA'!$M$6:$M$105,'HISTORICAL DATA'!$H$6:$H$105,"New",'HISTORICAL DATA'!$B$6:$B$105,"FitFuel Energy Drink")</f>
        <v>309.39999999999998</v>
      </c>
      <c r="I201" s="36" t="s">
        <v>52</v>
      </c>
      <c r="J201" s="1">
        <f>SUMIFS('HISTORICAL DATA'!$M$6:$M$105,'HISTORICAL DATA'!$G$6:$G$105,"In-store",'HISTORICAL DATA'!$B$6:$B$105,"FitFuel Energy Drink")</f>
        <v>200.8</v>
      </c>
    </row>
    <row r="202" spans="5:10" x14ac:dyDescent="0.25">
      <c r="F202" s="36" t="s">
        <v>47</v>
      </c>
      <c r="G202" s="1">
        <f>SUMIFS('HISTORICAL DATA'!$M$6:$M$105,'HISTORICAL DATA'!$H$6:$H$105,"Returning",'HISTORICAL DATA'!$B$6:$B$105,"FitFuel Energy Drink")</f>
        <v>-16.25</v>
      </c>
      <c r="I202" s="36" t="s">
        <v>46</v>
      </c>
      <c r="J202" s="1">
        <f>SUMIFS('HISTORICAL DATA'!$M$6:$M$105,'HISTORICAL DATA'!$G$6:$G$105,"Online",'HISTORICAL DATA'!$B$6:$B$105,"FitFuel Energy Drink")</f>
        <v>92.350000000000009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93C1-75E2-42B7-A1B9-4770788EA9F8}">
  <dimension ref="A1"/>
  <sheetViews>
    <sheetView showGridLines="0" topLeftCell="B28" zoomScale="70" zoomScaleNormal="70" workbookViewId="0">
      <selection activeCell="Q54" sqref="Q54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07C1-D009-45EE-9E2C-4DBFA2D15E11}">
  <dimension ref="B2:N40"/>
  <sheetViews>
    <sheetView showGridLines="0" workbookViewId="0">
      <selection activeCell="M24" sqref="M24"/>
    </sheetView>
  </sheetViews>
  <sheetFormatPr defaultRowHeight="15.75" x14ac:dyDescent="0.25"/>
  <cols>
    <col min="1" max="13" width="9.140625" style="1"/>
    <col min="14" max="14" width="15.85546875" style="1" customWidth="1"/>
    <col min="15" max="16384" width="9.140625" style="1"/>
  </cols>
  <sheetData>
    <row r="2" spans="2:14" ht="20.25" x14ac:dyDescent="0.3">
      <c r="B2" s="55" t="s">
        <v>138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" t="s">
        <v>133</v>
      </c>
    </row>
    <row r="3" spans="2:14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" t="s">
        <v>134</v>
      </c>
    </row>
    <row r="4" spans="2:14" x14ac:dyDescent="0.25">
      <c r="N4" s="1" t="s">
        <v>135</v>
      </c>
    </row>
    <row r="5" spans="2:14" x14ac:dyDescent="0.25">
      <c r="N5" s="1" t="s">
        <v>136</v>
      </c>
    </row>
    <row r="6" spans="2:14" x14ac:dyDescent="0.25">
      <c r="B6" s="46"/>
      <c r="C6" s="46"/>
      <c r="D6" s="46"/>
      <c r="E6" s="46"/>
      <c r="F6" s="46"/>
      <c r="G6" s="46"/>
      <c r="H6" s="46"/>
      <c r="I6" s="46"/>
      <c r="J6" s="46" t="s">
        <v>125</v>
      </c>
      <c r="K6" s="46"/>
      <c r="L6" s="46"/>
      <c r="M6" s="46"/>
      <c r="N6" s="1" t="s">
        <v>137</v>
      </c>
    </row>
    <row r="7" spans="2:14" x14ac:dyDescent="0.25">
      <c r="B7" s="1" t="s">
        <v>109</v>
      </c>
      <c r="D7" s="54" t="s">
        <v>130</v>
      </c>
      <c r="E7" s="52" t="s">
        <v>131</v>
      </c>
      <c r="G7" s="54" t="s">
        <v>132</v>
      </c>
      <c r="H7" s="54" t="s">
        <v>131</v>
      </c>
      <c r="J7" s="1" t="s">
        <v>126</v>
      </c>
      <c r="K7" s="52" t="s">
        <v>127</v>
      </c>
      <c r="L7" s="1" t="s">
        <v>128</v>
      </c>
    </row>
    <row r="8" spans="2:14" x14ac:dyDescent="0.25">
      <c r="B8" s="1" t="s">
        <v>110</v>
      </c>
      <c r="D8" s="54" t="s">
        <v>123</v>
      </c>
      <c r="E8" s="54">
        <v>1519</v>
      </c>
      <c r="F8" s="52"/>
      <c r="G8" s="54" t="s">
        <v>119</v>
      </c>
      <c r="H8" s="54">
        <v>1754</v>
      </c>
      <c r="K8" s="52"/>
    </row>
    <row r="9" spans="2:14" x14ac:dyDescent="0.25">
      <c r="B9" s="1" t="s">
        <v>112</v>
      </c>
      <c r="D9" s="54" t="s">
        <v>129</v>
      </c>
      <c r="E9" s="54">
        <v>1065</v>
      </c>
      <c r="F9" s="52"/>
      <c r="G9" s="54" t="s">
        <v>119</v>
      </c>
      <c r="H9" s="54">
        <v>1243</v>
      </c>
      <c r="K9" s="52"/>
    </row>
    <row r="10" spans="2:14" x14ac:dyDescent="0.25">
      <c r="B10" s="1" t="s">
        <v>121</v>
      </c>
      <c r="D10" s="54" t="s">
        <v>123</v>
      </c>
      <c r="E10" s="54">
        <v>1713</v>
      </c>
      <c r="F10" s="52"/>
      <c r="G10" s="54" t="s">
        <v>119</v>
      </c>
      <c r="H10" s="54">
        <v>1851</v>
      </c>
      <c r="J10" s="46" t="s">
        <v>121</v>
      </c>
      <c r="K10" s="53" t="s">
        <v>122</v>
      </c>
      <c r="L10" s="46" t="s">
        <v>119</v>
      </c>
    </row>
    <row r="11" spans="2:14" x14ac:dyDescent="0.25">
      <c r="B11" s="1" t="s">
        <v>114</v>
      </c>
      <c r="D11" s="54" t="s">
        <v>123</v>
      </c>
      <c r="E11" s="54">
        <v>1361</v>
      </c>
      <c r="F11" s="52"/>
      <c r="G11" s="54" t="s">
        <v>119</v>
      </c>
      <c r="H11" s="54">
        <v>1576</v>
      </c>
      <c r="K11" s="52"/>
    </row>
    <row r="12" spans="2:14" x14ac:dyDescent="0.25">
      <c r="B12" s="1" t="s">
        <v>113</v>
      </c>
      <c r="D12" s="54" t="s">
        <v>123</v>
      </c>
      <c r="E12" s="54">
        <v>947</v>
      </c>
      <c r="F12" s="52"/>
      <c r="G12" s="54" t="s">
        <v>119</v>
      </c>
      <c r="H12" s="54">
        <v>1039</v>
      </c>
      <c r="K12" s="52"/>
    </row>
    <row r="13" spans="2:14" x14ac:dyDescent="0.25">
      <c r="D13" s="54"/>
      <c r="E13" s="54"/>
      <c r="F13" s="52"/>
      <c r="G13" s="54"/>
      <c r="H13" s="54"/>
      <c r="K13" s="52"/>
    </row>
    <row r="14" spans="2:14" x14ac:dyDescent="0.25">
      <c r="B14" s="1" t="s">
        <v>115</v>
      </c>
      <c r="D14" s="54"/>
      <c r="E14" s="54"/>
      <c r="F14" s="52"/>
      <c r="G14" s="54"/>
      <c r="H14" s="54"/>
      <c r="K14" s="52"/>
    </row>
    <row r="15" spans="2:14" x14ac:dyDescent="0.25">
      <c r="B15" s="1" t="s">
        <v>110</v>
      </c>
      <c r="D15" s="54" t="s">
        <v>123</v>
      </c>
      <c r="E15" s="54">
        <v>338</v>
      </c>
      <c r="F15" s="52"/>
      <c r="G15" s="54" t="s">
        <v>119</v>
      </c>
      <c r="H15" s="54">
        <v>450</v>
      </c>
      <c r="K15" s="52"/>
    </row>
    <row r="16" spans="2:14" x14ac:dyDescent="0.25">
      <c r="B16" s="1" t="s">
        <v>112</v>
      </c>
      <c r="D16" s="54" t="s">
        <v>129</v>
      </c>
      <c r="E16" s="54">
        <v>228</v>
      </c>
      <c r="F16" s="52"/>
      <c r="G16" s="54" t="s">
        <v>119</v>
      </c>
      <c r="H16" s="54">
        <v>306</v>
      </c>
      <c r="K16" s="52"/>
    </row>
    <row r="17" spans="2:12" x14ac:dyDescent="0.25">
      <c r="B17" s="1" t="s">
        <v>111</v>
      </c>
      <c r="D17" s="54" t="s">
        <v>123</v>
      </c>
      <c r="E17" s="54">
        <v>414</v>
      </c>
      <c r="F17" s="52"/>
      <c r="G17" s="54" t="s">
        <v>119</v>
      </c>
      <c r="H17" s="54">
        <v>437</v>
      </c>
      <c r="J17" s="46" t="s">
        <v>111</v>
      </c>
      <c r="K17" s="53" t="s">
        <v>123</v>
      </c>
      <c r="L17" s="46"/>
    </row>
    <row r="18" spans="2:12" x14ac:dyDescent="0.25">
      <c r="B18" s="1" t="s">
        <v>114</v>
      </c>
      <c r="D18" s="54" t="s">
        <v>123</v>
      </c>
      <c r="E18" s="54">
        <v>327</v>
      </c>
      <c r="F18" s="52"/>
      <c r="G18" s="54" t="s">
        <v>119</v>
      </c>
      <c r="H18" s="54">
        <v>382</v>
      </c>
      <c r="J18" s="46" t="s">
        <v>124</v>
      </c>
      <c r="K18" s="53"/>
      <c r="L18" s="46" t="s">
        <v>119</v>
      </c>
    </row>
    <row r="19" spans="2:12" x14ac:dyDescent="0.25">
      <c r="B19" s="1" t="s">
        <v>113</v>
      </c>
      <c r="D19" s="54" t="s">
        <v>123</v>
      </c>
      <c r="E19" s="54">
        <v>153</v>
      </c>
      <c r="F19" s="52"/>
      <c r="G19" s="54" t="s">
        <v>119</v>
      </c>
      <c r="H19" s="54">
        <v>135</v>
      </c>
      <c r="K19" s="52"/>
    </row>
    <row r="20" spans="2:12" x14ac:dyDescent="0.25">
      <c r="D20" s="54"/>
      <c r="E20" s="54"/>
      <c r="F20" s="52"/>
      <c r="G20" s="54"/>
      <c r="H20" s="54"/>
      <c r="K20" s="52"/>
    </row>
    <row r="21" spans="2:12" x14ac:dyDescent="0.25">
      <c r="B21" s="1" t="s">
        <v>116</v>
      </c>
      <c r="D21" s="54"/>
      <c r="E21" s="54"/>
      <c r="F21" s="52"/>
      <c r="G21" s="54"/>
      <c r="H21" s="54"/>
      <c r="K21" s="52"/>
    </row>
    <row r="22" spans="2:12" x14ac:dyDescent="0.25">
      <c r="B22" s="1" t="s">
        <v>110</v>
      </c>
      <c r="D22" s="54" t="s">
        <v>123</v>
      </c>
      <c r="E22" s="54">
        <v>98</v>
      </c>
      <c r="F22" s="52"/>
      <c r="G22" s="54" t="s">
        <v>119</v>
      </c>
      <c r="H22" s="54">
        <v>118</v>
      </c>
      <c r="K22" s="52"/>
    </row>
    <row r="23" spans="2:12" x14ac:dyDescent="0.25">
      <c r="B23" s="1" t="s">
        <v>112</v>
      </c>
      <c r="D23" s="54" t="s">
        <v>129</v>
      </c>
      <c r="E23" s="54">
        <v>52</v>
      </c>
      <c r="F23" s="52"/>
      <c r="G23" s="54" t="s">
        <v>119</v>
      </c>
      <c r="H23" s="54">
        <v>82</v>
      </c>
      <c r="K23" s="52"/>
    </row>
    <row r="24" spans="2:12" x14ac:dyDescent="0.25">
      <c r="B24" s="1" t="s">
        <v>111</v>
      </c>
      <c r="D24" s="54" t="s">
        <v>123</v>
      </c>
      <c r="E24" s="54">
        <v>146</v>
      </c>
      <c r="F24" s="52"/>
      <c r="G24" s="54" t="s">
        <v>119</v>
      </c>
      <c r="H24" s="54">
        <v>149</v>
      </c>
      <c r="J24" s="46" t="s">
        <v>121</v>
      </c>
      <c r="K24" s="53" t="s">
        <v>123</v>
      </c>
      <c r="L24" s="46" t="s">
        <v>119</v>
      </c>
    </row>
    <row r="25" spans="2:12" x14ac:dyDescent="0.25">
      <c r="B25" s="1" t="s">
        <v>114</v>
      </c>
      <c r="D25" s="54" t="s">
        <v>123</v>
      </c>
      <c r="E25" s="54">
        <v>73</v>
      </c>
      <c r="F25" s="52"/>
      <c r="G25" s="54" t="s">
        <v>119</v>
      </c>
      <c r="H25" s="54">
        <v>93</v>
      </c>
      <c r="K25" s="52"/>
    </row>
    <row r="26" spans="2:12" x14ac:dyDescent="0.25">
      <c r="B26" s="1" t="s">
        <v>113</v>
      </c>
      <c r="D26" s="54" t="s">
        <v>123</v>
      </c>
      <c r="E26" s="54">
        <v>92</v>
      </c>
      <c r="F26" s="52"/>
      <c r="G26" s="54" t="s">
        <v>119</v>
      </c>
      <c r="H26" s="54">
        <v>93</v>
      </c>
      <c r="K26" s="52"/>
    </row>
    <row r="27" spans="2:12" x14ac:dyDescent="0.25">
      <c r="D27" s="54"/>
      <c r="E27" s="54"/>
      <c r="F27" s="52"/>
      <c r="G27" s="54"/>
      <c r="H27" s="54"/>
      <c r="K27" s="52"/>
    </row>
    <row r="28" spans="2:12" x14ac:dyDescent="0.25">
      <c r="B28" s="1" t="s">
        <v>117</v>
      </c>
      <c r="D28" s="54"/>
      <c r="E28" s="54"/>
      <c r="F28" s="52"/>
      <c r="G28" s="54"/>
      <c r="H28" s="54"/>
      <c r="K28" s="52"/>
    </row>
    <row r="29" spans="2:12" x14ac:dyDescent="0.25">
      <c r="B29" s="1" t="s">
        <v>110</v>
      </c>
      <c r="D29" s="54" t="s">
        <v>123</v>
      </c>
      <c r="E29" s="54">
        <v>88.55</v>
      </c>
      <c r="F29" s="52"/>
      <c r="G29" s="54" t="s">
        <v>119</v>
      </c>
      <c r="H29" s="54">
        <v>100.75</v>
      </c>
      <c r="K29" s="52"/>
    </row>
    <row r="30" spans="2:12" x14ac:dyDescent="0.25">
      <c r="B30" s="1" t="s">
        <v>112</v>
      </c>
      <c r="D30" s="54" t="s">
        <v>129</v>
      </c>
      <c r="E30" s="54">
        <v>31.3</v>
      </c>
      <c r="F30" s="52"/>
      <c r="G30" s="54" t="s">
        <v>119</v>
      </c>
      <c r="H30" s="54">
        <v>48.05</v>
      </c>
      <c r="K30" s="52"/>
    </row>
    <row r="31" spans="2:12" x14ac:dyDescent="0.25">
      <c r="B31" s="1" t="s">
        <v>111</v>
      </c>
      <c r="D31" s="54" t="s">
        <v>123</v>
      </c>
      <c r="E31" s="54">
        <v>132.1</v>
      </c>
      <c r="F31" s="52"/>
      <c r="G31" s="54" t="s">
        <v>119</v>
      </c>
      <c r="H31" s="54">
        <v>120</v>
      </c>
      <c r="J31" s="46" t="s">
        <v>121</v>
      </c>
      <c r="K31" s="53" t="s">
        <v>123</v>
      </c>
      <c r="L31" s="46" t="s">
        <v>119</v>
      </c>
    </row>
    <row r="32" spans="2:12" x14ac:dyDescent="0.25">
      <c r="B32" s="1" t="s">
        <v>114</v>
      </c>
      <c r="D32" s="54" t="s">
        <v>123</v>
      </c>
      <c r="E32" s="54">
        <v>84.9</v>
      </c>
      <c r="F32" s="52"/>
      <c r="G32" s="54" t="s">
        <v>119</v>
      </c>
      <c r="H32" s="54">
        <v>119.7</v>
      </c>
      <c r="K32" s="52"/>
    </row>
    <row r="33" spans="2:12" x14ac:dyDescent="0.25">
      <c r="B33" s="1" t="s">
        <v>113</v>
      </c>
      <c r="D33" s="54" t="s">
        <v>129</v>
      </c>
      <c r="E33" s="54">
        <v>61.25</v>
      </c>
      <c r="F33" s="52"/>
      <c r="G33" s="54" t="s">
        <v>119</v>
      </c>
      <c r="H33" s="54">
        <v>62.25</v>
      </c>
      <c r="K33" s="52"/>
    </row>
    <row r="34" spans="2:12" x14ac:dyDescent="0.25">
      <c r="D34" s="54"/>
      <c r="E34" s="54"/>
      <c r="F34" s="52"/>
      <c r="G34" s="52"/>
      <c r="H34" s="52"/>
      <c r="K34" s="52"/>
    </row>
    <row r="35" spans="2:12" x14ac:dyDescent="0.25">
      <c r="B35" s="1" t="s">
        <v>118</v>
      </c>
      <c r="D35" s="54"/>
      <c r="E35" s="54"/>
      <c r="F35" s="52"/>
      <c r="G35" s="52"/>
      <c r="H35" s="52"/>
      <c r="K35" s="52"/>
    </row>
    <row r="36" spans="2:12" x14ac:dyDescent="0.25">
      <c r="B36" s="1" t="s">
        <v>110</v>
      </c>
      <c r="D36" s="54" t="s">
        <v>129</v>
      </c>
      <c r="E36" s="54">
        <v>-191.1</v>
      </c>
      <c r="F36" s="52"/>
      <c r="G36" s="52" t="s">
        <v>120</v>
      </c>
      <c r="H36" s="52">
        <v>-59.9</v>
      </c>
      <c r="K36" s="52"/>
    </row>
    <row r="37" spans="2:12" x14ac:dyDescent="0.25">
      <c r="B37" s="1" t="s">
        <v>112</v>
      </c>
      <c r="D37" s="54" t="s">
        <v>123</v>
      </c>
      <c r="E37" s="54">
        <v>-66.75</v>
      </c>
      <c r="F37" s="52"/>
      <c r="G37" s="52" t="s">
        <v>120</v>
      </c>
      <c r="H37" s="52">
        <v>5</v>
      </c>
      <c r="K37" s="52"/>
    </row>
    <row r="38" spans="2:12" x14ac:dyDescent="0.25">
      <c r="B38" s="1" t="s">
        <v>111</v>
      </c>
      <c r="D38" s="54" t="s">
        <v>129</v>
      </c>
      <c r="E38" s="54">
        <v>-59.3</v>
      </c>
      <c r="F38" s="52"/>
      <c r="G38" s="52" t="s">
        <v>120</v>
      </c>
      <c r="H38" s="52">
        <v>0.6</v>
      </c>
      <c r="K38" s="52"/>
    </row>
    <row r="39" spans="2:12" x14ac:dyDescent="0.25">
      <c r="B39" s="1" t="s">
        <v>114</v>
      </c>
      <c r="D39" s="54" t="s">
        <v>129</v>
      </c>
      <c r="E39" s="54">
        <v>75.2</v>
      </c>
      <c r="F39" s="52"/>
      <c r="G39" s="52" t="s">
        <v>120</v>
      </c>
      <c r="H39" s="52">
        <v>80</v>
      </c>
      <c r="K39" s="52"/>
    </row>
    <row r="40" spans="2:12" x14ac:dyDescent="0.25">
      <c r="B40" s="1" t="s">
        <v>113</v>
      </c>
      <c r="D40" s="54" t="s">
        <v>123</v>
      </c>
      <c r="E40" s="54">
        <v>309.39999999999998</v>
      </c>
      <c r="F40" s="52"/>
      <c r="G40" s="52" t="s">
        <v>120</v>
      </c>
      <c r="H40" s="52">
        <v>200.8</v>
      </c>
      <c r="J40" s="46" t="s">
        <v>113</v>
      </c>
      <c r="K40" s="53" t="s">
        <v>123</v>
      </c>
      <c r="L40" s="46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GUIDE</vt:lpstr>
      <vt:lpstr>HISTORICAL DATA</vt:lpstr>
      <vt:lpstr>ANALYTICS</vt:lpstr>
      <vt:lpstr>VISUALS</vt:lpstr>
      <vt:lpstr>CONT. ANALYSIS &amp;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Emem Samuel</dc:creator>
  <cp:lastModifiedBy>Emem Samuel</cp:lastModifiedBy>
  <dcterms:created xsi:type="dcterms:W3CDTF">2025-03-01T11:00:18Z</dcterms:created>
  <dcterms:modified xsi:type="dcterms:W3CDTF">2025-03-05T12:08:52Z</dcterms:modified>
</cp:coreProperties>
</file>