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Peru\Desktop\"/>
    </mc:Choice>
  </mc:AlternateContent>
  <bookViews>
    <workbookView xWindow="0" yWindow="0" windowWidth="23040" windowHeight="9192" tabRatio="777"/>
  </bookViews>
  <sheets>
    <sheet name="Pauta Digital" sheetId="35" r:id="rId1"/>
    <sheet name="Porcentaje" sheetId="21" state="hidden" r:id="rId2"/>
    <sheet name="PAUTA (HM 25-45)" sheetId="30" state="hidden" r:id="rId3"/>
    <sheet name="PAUTA (H 07-15)" sheetId="31" state="hidden" r:id="rId4"/>
    <sheet name="Hoja1" sheetId="27" state="hidden" r:id="rId5"/>
    <sheet name="Hoja3" sheetId="32" state="hidden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5" l="1"/>
  <c r="G26" i="35" l="1"/>
  <c r="I13" i="35" l="1"/>
  <c r="J13" i="35" s="1"/>
  <c r="K13" i="35" s="1"/>
  <c r="G12" i="35"/>
  <c r="H12" i="35" s="1"/>
  <c r="I9" i="35"/>
  <c r="G8" i="35"/>
  <c r="H8" i="35" s="1"/>
  <c r="I24" i="35"/>
  <c r="H23" i="35"/>
  <c r="I20" i="35"/>
  <c r="J20" i="35" s="1"/>
  <c r="G19" i="35"/>
  <c r="H19" i="35" s="1"/>
  <c r="I16" i="35"/>
  <c r="J16" i="35" s="1"/>
  <c r="K16" i="35" s="1"/>
  <c r="G15" i="35"/>
  <c r="H15" i="35" s="1"/>
  <c r="V8" i="31"/>
  <c r="V14" i="31" s="1"/>
  <c r="S13" i="31"/>
  <c r="X13" i="31"/>
  <c r="S14" i="31"/>
  <c r="U14" i="31" s="1"/>
  <c r="X14" i="31"/>
  <c r="S15" i="31"/>
  <c r="U15" i="31" s="1"/>
  <c r="X15" i="31"/>
  <c r="S16" i="31"/>
  <c r="U16" i="31" s="1"/>
  <c r="X16" i="31"/>
  <c r="S17" i="31"/>
  <c r="U17" i="31" s="1"/>
  <c r="Y17" i="31"/>
  <c r="X17" i="31"/>
  <c r="S18" i="31"/>
  <c r="U18" i="31" s="1"/>
  <c r="X18" i="31"/>
  <c r="S19" i="31"/>
  <c r="U19" i="31" s="1"/>
  <c r="X19" i="31"/>
  <c r="S20" i="31"/>
  <c r="U20" i="31"/>
  <c r="X20" i="31"/>
  <c r="S21" i="31"/>
  <c r="S22" i="31"/>
  <c r="U22" i="31"/>
  <c r="X22" i="31"/>
  <c r="Y22" i="31"/>
  <c r="S23" i="31"/>
  <c r="Y23" i="31"/>
  <c r="X23" i="31"/>
  <c r="S24" i="31"/>
  <c r="U24" i="31" s="1"/>
  <c r="S25" i="31"/>
  <c r="U25" i="31" s="1"/>
  <c r="S26" i="31"/>
  <c r="U26" i="31" s="1"/>
  <c r="X26" i="31"/>
  <c r="S27" i="31"/>
  <c r="U27" i="31" s="1"/>
  <c r="X27" i="31"/>
  <c r="Y27" i="31" s="1"/>
  <c r="S28" i="31"/>
  <c r="U28" i="31" s="1"/>
  <c r="X28" i="31"/>
  <c r="S29" i="31"/>
  <c r="U29" i="31" s="1"/>
  <c r="X29" i="31"/>
  <c r="S30" i="31"/>
  <c r="U30" i="31" s="1"/>
  <c r="X30" i="31"/>
  <c r="S31" i="31"/>
  <c r="U31" i="31" s="1"/>
  <c r="X31" i="31"/>
  <c r="S32" i="31"/>
  <c r="U32" i="31"/>
  <c r="X32" i="31"/>
  <c r="S33" i="31"/>
  <c r="Y33" i="31" s="1"/>
  <c r="X33" i="31"/>
  <c r="S34" i="31"/>
  <c r="X34" i="31"/>
  <c r="Y34" i="31"/>
  <c r="S35" i="31"/>
  <c r="X35" i="31"/>
  <c r="Y35" i="31" s="1"/>
  <c r="S36" i="31"/>
  <c r="U36" i="31" s="1"/>
  <c r="X36" i="31"/>
  <c r="S37" i="31"/>
  <c r="U37" i="31" s="1"/>
  <c r="X37" i="31"/>
  <c r="Y37" i="31" s="1"/>
  <c r="S38" i="31"/>
  <c r="U38" i="31" s="1"/>
  <c r="X38" i="31"/>
  <c r="S39" i="31"/>
  <c r="U39" i="31" s="1"/>
  <c r="X39" i="31"/>
  <c r="S40" i="31"/>
  <c r="U40" i="31" s="1"/>
  <c r="X40" i="31"/>
  <c r="S41" i="31"/>
  <c r="X41" i="31"/>
  <c r="S42" i="31"/>
  <c r="U42" i="31" s="1"/>
  <c r="X42" i="31"/>
  <c r="S43" i="31"/>
  <c r="Y43" i="31" s="1"/>
  <c r="X43" i="31"/>
  <c r="S44" i="31"/>
  <c r="Y44" i="31" s="1"/>
  <c r="U44" i="31"/>
  <c r="X44" i="31"/>
  <c r="S45" i="31"/>
  <c r="Y45" i="31" s="1"/>
  <c r="X45" i="31"/>
  <c r="S46" i="31"/>
  <c r="X46" i="31"/>
  <c r="S47" i="31"/>
  <c r="U47" i="31" s="1"/>
  <c r="X47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V8" i="30"/>
  <c r="V33" i="30" s="1"/>
  <c r="S13" i="30"/>
  <c r="U13" i="30" s="1"/>
  <c r="X13" i="30"/>
  <c r="S14" i="30"/>
  <c r="X14" i="30"/>
  <c r="S15" i="30"/>
  <c r="U15" i="30" s="1"/>
  <c r="Y15" i="30"/>
  <c r="X15" i="30"/>
  <c r="S16" i="30"/>
  <c r="X16" i="30"/>
  <c r="S17" i="30"/>
  <c r="U17" i="30"/>
  <c r="X17" i="30"/>
  <c r="Y17" i="30" s="1"/>
  <c r="S18" i="30"/>
  <c r="X18" i="30"/>
  <c r="S19" i="30"/>
  <c r="X19" i="30"/>
  <c r="S20" i="30"/>
  <c r="X20" i="30"/>
  <c r="S21" i="30"/>
  <c r="S22" i="30"/>
  <c r="X22" i="30"/>
  <c r="S23" i="30"/>
  <c r="X23" i="30"/>
  <c r="Y23" i="30" s="1"/>
  <c r="S24" i="30"/>
  <c r="U24" i="30" s="1"/>
  <c r="S25" i="30"/>
  <c r="Y25" i="30" s="1"/>
  <c r="S26" i="30"/>
  <c r="U26" i="30"/>
  <c r="X26" i="30"/>
  <c r="S27" i="30"/>
  <c r="X27" i="30"/>
  <c r="S28" i="30"/>
  <c r="Y28" i="30" s="1"/>
  <c r="X28" i="30"/>
  <c r="S29" i="30"/>
  <c r="U29" i="30" s="1"/>
  <c r="X29" i="30"/>
  <c r="Y29" i="30" s="1"/>
  <c r="S30" i="30"/>
  <c r="X30" i="30"/>
  <c r="S31" i="30"/>
  <c r="U31" i="30" s="1"/>
  <c r="X31" i="30"/>
  <c r="Y31" i="30" s="1"/>
  <c r="S32" i="30"/>
  <c r="X32" i="30"/>
  <c r="S33" i="30"/>
  <c r="Y33" i="30" s="1"/>
  <c r="X33" i="30"/>
  <c r="S34" i="30"/>
  <c r="X34" i="30"/>
  <c r="Y34" i="30"/>
  <c r="S35" i="30"/>
  <c r="U35" i="30"/>
  <c r="X35" i="30"/>
  <c r="S36" i="30"/>
  <c r="U36" i="30" s="1"/>
  <c r="X36" i="30"/>
  <c r="S37" i="30"/>
  <c r="U37" i="30" s="1"/>
  <c r="X37" i="30"/>
  <c r="S38" i="30"/>
  <c r="U38" i="30" s="1"/>
  <c r="X38" i="30"/>
  <c r="S39" i="30"/>
  <c r="U39" i="30"/>
  <c r="X39" i="30"/>
  <c r="Y39" i="30" s="1"/>
  <c r="S40" i="30"/>
  <c r="U40" i="30" s="1"/>
  <c r="X40" i="30"/>
  <c r="S41" i="30"/>
  <c r="U41" i="30" s="1"/>
  <c r="X41" i="30"/>
  <c r="S42" i="30"/>
  <c r="Y42" i="30" s="1"/>
  <c r="U42" i="30"/>
  <c r="X42" i="30"/>
  <c r="S43" i="30"/>
  <c r="Y43" i="30" s="1"/>
  <c r="X43" i="30"/>
  <c r="S44" i="30"/>
  <c r="U44" i="30"/>
  <c r="V44" i="30"/>
  <c r="X44" i="30"/>
  <c r="Z44" i="30" s="1"/>
  <c r="S45" i="30"/>
  <c r="Y45" i="30" s="1"/>
  <c r="X45" i="30"/>
  <c r="S46" i="30"/>
  <c r="X46" i="30"/>
  <c r="S47" i="30"/>
  <c r="Y47" i="30" s="1"/>
  <c r="V47" i="30"/>
  <c r="X47" i="30"/>
  <c r="Z47" i="30" s="1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E7" i="21"/>
  <c r="F7" i="21"/>
  <c r="G7" i="21" s="1"/>
  <c r="E8" i="21"/>
  <c r="F8" i="21"/>
  <c r="E9" i="21"/>
  <c r="F9" i="21"/>
  <c r="G9" i="21" s="1"/>
  <c r="E10" i="21"/>
  <c r="F10" i="21"/>
  <c r="G10" i="21" s="1"/>
  <c r="E11" i="21"/>
  <c r="E12" i="21"/>
  <c r="F12" i="21"/>
  <c r="E13" i="21"/>
  <c r="F13" i="21"/>
  <c r="E15" i="21"/>
  <c r="F15" i="21"/>
  <c r="E24" i="21"/>
  <c r="F24" i="21"/>
  <c r="E25" i="21"/>
  <c r="F25" i="21"/>
  <c r="E26" i="21"/>
  <c r="F26" i="21"/>
  <c r="E27" i="21"/>
  <c r="F27" i="21"/>
  <c r="E28" i="21"/>
  <c r="G28" i="21" s="1"/>
  <c r="F28" i="21"/>
  <c r="E29" i="21"/>
  <c r="F29" i="21"/>
  <c r="E30" i="21"/>
  <c r="F30" i="21"/>
  <c r="E32" i="21"/>
  <c r="F32" i="21"/>
  <c r="E33" i="21"/>
  <c r="F33" i="21"/>
  <c r="U30" i="30"/>
  <c r="U13" i="31"/>
  <c r="V42" i="30"/>
  <c r="Z42" i="30" s="1"/>
  <c r="W42" i="30"/>
  <c r="V33" i="31"/>
  <c r="U23" i="30"/>
  <c r="U34" i="31"/>
  <c r="Y18" i="31"/>
  <c r="Y15" i="31"/>
  <c r="Y20" i="31"/>
  <c r="Y24" i="31"/>
  <c r="U45" i="30"/>
  <c r="U34" i="30"/>
  <c r="U20" i="30"/>
  <c r="Y18" i="30"/>
  <c r="Y16" i="31"/>
  <c r="U43" i="31"/>
  <c r="U46" i="31"/>
  <c r="Y36" i="31"/>
  <c r="U14" i="30"/>
  <c r="Y40" i="31"/>
  <c r="Y30" i="30"/>
  <c r="V24" i="31"/>
  <c r="W24" i="31" s="1"/>
  <c r="V13" i="31"/>
  <c r="W13" i="31" s="1"/>
  <c r="U23" i="31"/>
  <c r="U22" i="30"/>
  <c r="Y28" i="31"/>
  <c r="J24" i="35"/>
  <c r="K24" i="35" s="1"/>
  <c r="V23" i="31"/>
  <c r="U47" i="30"/>
  <c r="U16" i="30"/>
  <c r="Y41" i="30"/>
  <c r="F11" i="21"/>
  <c r="S48" i="30" l="1"/>
  <c r="Y32" i="30"/>
  <c r="Y41" i="31"/>
  <c r="G27" i="21"/>
  <c r="Z36" i="30"/>
  <c r="V29" i="30"/>
  <c r="V20" i="30"/>
  <c r="Z20" i="30" s="1"/>
  <c r="Y40" i="30"/>
  <c r="V15" i="30"/>
  <c r="W15" i="30" s="1"/>
  <c r="V46" i="30"/>
  <c r="Z46" i="30" s="1"/>
  <c r="W44" i="30"/>
  <c r="V41" i="30"/>
  <c r="W41" i="30" s="1"/>
  <c r="W36" i="30"/>
  <c r="Y26" i="30"/>
  <c r="Y20" i="30"/>
  <c r="Y14" i="30"/>
  <c r="Y46" i="31"/>
  <c r="Z13" i="31"/>
  <c r="W23" i="31"/>
  <c r="W47" i="30"/>
  <c r="Z23" i="31"/>
  <c r="W46" i="30"/>
  <c r="V36" i="30"/>
  <c r="V14" i="30"/>
  <c r="Z14" i="30" s="1"/>
  <c r="Y31" i="31"/>
  <c r="V25" i="30"/>
  <c r="V31" i="30"/>
  <c r="W31" i="30" s="1"/>
  <c r="U43" i="30"/>
  <c r="V38" i="30"/>
  <c r="Z38" i="30" s="1"/>
  <c r="Z33" i="30"/>
  <c r="Y22" i="30"/>
  <c r="Y19" i="30"/>
  <c r="V16" i="30"/>
  <c r="W16" i="30" s="1"/>
  <c r="W14" i="30"/>
  <c r="Y39" i="31"/>
  <c r="Z33" i="31"/>
  <c r="U32" i="30"/>
  <c r="Y13" i="30"/>
  <c r="Y48" i="30" s="1"/>
  <c r="D52" i="30" s="1"/>
  <c r="V39" i="30"/>
  <c r="W39" i="30" s="1"/>
  <c r="U33" i="30"/>
  <c r="W28" i="30"/>
  <c r="V22" i="30"/>
  <c r="Y16" i="30"/>
  <c r="G33" i="21"/>
  <c r="Y37" i="30"/>
  <c r="V28" i="30"/>
  <c r="Z28" i="30" s="1"/>
  <c r="V24" i="30"/>
  <c r="Z24" i="30" s="1"/>
  <c r="U18" i="30"/>
  <c r="V13" i="30"/>
  <c r="W13" i="30" s="1"/>
  <c r="Y32" i="31"/>
  <c r="G8" i="21"/>
  <c r="G30" i="21"/>
  <c r="G26" i="21"/>
  <c r="G13" i="21"/>
  <c r="G32" i="21"/>
  <c r="G15" i="21"/>
  <c r="G16" i="21" s="1"/>
  <c r="J5" i="21" s="1"/>
  <c r="J7" i="21" s="1"/>
  <c r="K5" i="21" s="1"/>
  <c r="K7" i="21" s="1"/>
  <c r="G29" i="21"/>
  <c r="G11" i="21"/>
  <c r="G24" i="21"/>
  <c r="G25" i="21"/>
  <c r="G12" i="21"/>
  <c r="W45" i="30"/>
  <c r="Z14" i="31"/>
  <c r="W14" i="31"/>
  <c r="V40" i="31"/>
  <c r="Y42" i="31"/>
  <c r="V29" i="31"/>
  <c r="Z29" i="31" s="1"/>
  <c r="Y30" i="31"/>
  <c r="V15" i="31"/>
  <c r="V39" i="31"/>
  <c r="Y27" i="30"/>
  <c r="V22" i="31"/>
  <c r="Z22" i="31" s="1"/>
  <c r="V44" i="31"/>
  <c r="Y25" i="31"/>
  <c r="V26" i="31"/>
  <c r="Z26" i="31" s="1"/>
  <c r="K20" i="35"/>
  <c r="U35" i="31"/>
  <c r="V19" i="31"/>
  <c r="W19" i="31" s="1"/>
  <c r="Y24" i="30"/>
  <c r="U33" i="31"/>
  <c r="U48" i="31" s="1"/>
  <c r="Y29" i="31"/>
  <c r="Y14" i="31"/>
  <c r="Y19" i="31"/>
  <c r="Y26" i="31"/>
  <c r="Z39" i="30"/>
  <c r="Z24" i="31"/>
  <c r="U25" i="30"/>
  <c r="AC14" i="30" s="1"/>
  <c r="W33" i="30"/>
  <c r="V31" i="31"/>
  <c r="J9" i="35"/>
  <c r="J26" i="35" s="1"/>
  <c r="V41" i="31"/>
  <c r="V17" i="31"/>
  <c r="Z17" i="31" s="1"/>
  <c r="V28" i="31"/>
  <c r="Z28" i="31" s="1"/>
  <c r="U45" i="31"/>
  <c r="U41" i="31"/>
  <c r="AC13" i="31" s="1"/>
  <c r="U46" i="30"/>
  <c r="V37" i="30"/>
  <c r="Z37" i="30" s="1"/>
  <c r="V32" i="30"/>
  <c r="Z32" i="30" s="1"/>
  <c r="U19" i="30"/>
  <c r="Z15" i="30"/>
  <c r="V18" i="30"/>
  <c r="Z18" i="30" s="1"/>
  <c r="V46" i="31"/>
  <c r="Z46" i="31" s="1"/>
  <c r="Y13" i="31"/>
  <c r="I26" i="35"/>
  <c r="W29" i="31"/>
  <c r="V42" i="31"/>
  <c r="W42" i="31" s="1"/>
  <c r="V32" i="31"/>
  <c r="W32" i="31" s="1"/>
  <c r="V38" i="31"/>
  <c r="W38" i="31" s="1"/>
  <c r="S48" i="31"/>
  <c r="V43" i="31"/>
  <c r="V37" i="31"/>
  <c r="V36" i="31"/>
  <c r="U28" i="30"/>
  <c r="Y38" i="31"/>
  <c r="V26" i="30"/>
  <c r="V45" i="30"/>
  <c r="Z45" i="30" s="1"/>
  <c r="V40" i="30"/>
  <c r="V30" i="30"/>
  <c r="W30" i="30" s="1"/>
  <c r="V27" i="30"/>
  <c r="Z27" i="30" s="1"/>
  <c r="V23" i="30"/>
  <c r="W23" i="30" s="1"/>
  <c r="V17" i="30"/>
  <c r="W17" i="30" s="1"/>
  <c r="V19" i="30"/>
  <c r="Y47" i="31"/>
  <c r="W24" i="30"/>
  <c r="Y35" i="30"/>
  <c r="W47" i="31"/>
  <c r="V35" i="31"/>
  <c r="W35" i="31" s="1"/>
  <c r="Y44" i="30"/>
  <c r="V27" i="31"/>
  <c r="Y38" i="30"/>
  <c r="Y46" i="30"/>
  <c r="U27" i="30"/>
  <c r="V18" i="31"/>
  <c r="Z18" i="31" s="1"/>
  <c r="V25" i="31"/>
  <c r="Z25" i="31" s="1"/>
  <c r="V30" i="31"/>
  <c r="W30" i="31" s="1"/>
  <c r="W38" i="30"/>
  <c r="V20" i="31"/>
  <c r="V34" i="31"/>
  <c r="V45" i="31"/>
  <c r="Z45" i="31" s="1"/>
  <c r="V47" i="31"/>
  <c r="Z47" i="31" s="1"/>
  <c r="Y36" i="30"/>
  <c r="V16" i="31"/>
  <c r="W33" i="31"/>
  <c r="V34" i="30"/>
  <c r="V43" i="30"/>
  <c r="W43" i="30" s="1"/>
  <c r="V35" i="30"/>
  <c r="Z35" i="30" s="1"/>
  <c r="Z31" i="30" l="1"/>
  <c r="W46" i="31"/>
  <c r="Z25" i="30"/>
  <c r="W25" i="30"/>
  <c r="AD13" i="31"/>
  <c r="W18" i="31"/>
  <c r="W18" i="30"/>
  <c r="Z43" i="30"/>
  <c r="Z41" i="30"/>
  <c r="W20" i="30"/>
  <c r="W22" i="30"/>
  <c r="Z22" i="30"/>
  <c r="W29" i="30"/>
  <c r="Z29" i="30"/>
  <c r="W37" i="30"/>
  <c r="W26" i="31"/>
  <c r="Z17" i="30"/>
  <c r="Z16" i="30"/>
  <c r="AC13" i="30"/>
  <c r="Z13" i="30"/>
  <c r="W35" i="30"/>
  <c r="G34" i="21"/>
  <c r="J6" i="21" s="1"/>
  <c r="K6" i="21" s="1"/>
  <c r="Z36" i="31"/>
  <c r="W36" i="31"/>
  <c r="W17" i="31"/>
  <c r="Z40" i="30"/>
  <c r="W40" i="30"/>
  <c r="W43" i="31"/>
  <c r="Z43" i="31"/>
  <c r="AC14" i="31"/>
  <c r="AD14" i="31" s="1"/>
  <c r="W44" i="31"/>
  <c r="Z44" i="31"/>
  <c r="Z19" i="31"/>
  <c r="U48" i="30"/>
  <c r="AD14" i="30" s="1"/>
  <c r="Z35" i="31"/>
  <c r="Y48" i="31"/>
  <c r="D52" i="31" s="1"/>
  <c r="W27" i="30"/>
  <c r="Z38" i="31"/>
  <c r="W22" i="31"/>
  <c r="Z30" i="31"/>
  <c r="W16" i="31"/>
  <c r="Z16" i="31"/>
  <c r="Z41" i="31"/>
  <c r="W41" i="31"/>
  <c r="W34" i="31"/>
  <c r="Z34" i="31"/>
  <c r="Z26" i="30"/>
  <c r="W26" i="30"/>
  <c r="W31" i="31"/>
  <c r="Z31" i="31"/>
  <c r="Z42" i="31"/>
  <c r="Z19" i="30"/>
  <c r="W19" i="30"/>
  <c r="W32" i="30"/>
  <c r="W39" i="31"/>
  <c r="Z39" i="31"/>
  <c r="Z40" i="31"/>
  <c r="W40" i="31"/>
  <c r="W25" i="31"/>
  <c r="Z30" i="30"/>
  <c r="W34" i="30"/>
  <c r="Z34" i="30"/>
  <c r="W27" i="31"/>
  <c r="Z27" i="31"/>
  <c r="Z32" i="31"/>
  <c r="W15" i="31"/>
  <c r="Z15" i="31"/>
  <c r="Z23" i="30"/>
  <c r="W45" i="31"/>
  <c r="W28" i="31"/>
  <c r="Z37" i="31"/>
  <c r="W37" i="31"/>
  <c r="W20" i="31"/>
  <c r="Z20" i="31"/>
  <c r="K9" i="35"/>
  <c r="K26" i="35" s="1"/>
  <c r="W48" i="30" l="1"/>
  <c r="W48" i="31"/>
  <c r="AD13" i="30"/>
</calcChain>
</file>

<file path=xl/sharedStrings.xml><?xml version="1.0" encoding="utf-8"?>
<sst xmlns="http://schemas.openxmlformats.org/spreadsheetml/2006/main" count="345" uniqueCount="141">
  <si>
    <t>D</t>
  </si>
  <si>
    <t>L</t>
  </si>
  <si>
    <t>M</t>
  </si>
  <si>
    <t>J</t>
  </si>
  <si>
    <t>V</t>
  </si>
  <si>
    <t>S</t>
  </si>
  <si>
    <t>TOTALES</t>
  </si>
  <si>
    <t>TGRPS</t>
  </si>
  <si>
    <t>PROGRAMA</t>
  </si>
  <si>
    <t>CANAL</t>
  </si>
  <si>
    <t>DURACIÓN</t>
  </si>
  <si>
    <t>AVISOS</t>
  </si>
  <si>
    <t>RATING</t>
  </si>
  <si>
    <t>TELEVIDENTES</t>
  </si>
  <si>
    <t>IMPACTOS</t>
  </si>
  <si>
    <t>INVERSIÓN</t>
  </si>
  <si>
    <t>COSTO</t>
  </si>
  <si>
    <t>TELEVISIÓN</t>
  </si>
  <si>
    <t>UNIVERSO</t>
  </si>
  <si>
    <t>X AVISO US$</t>
  </si>
  <si>
    <t>TOTAL US$</t>
  </si>
  <si>
    <t>FUENTE</t>
  </si>
  <si>
    <t>IBOPE TIME</t>
  </si>
  <si>
    <t>NSE</t>
  </si>
  <si>
    <t>CLIENTE: DISTRIBUIDORA BOLIVARIANA</t>
  </si>
  <si>
    <t>DURACIÓN: 20" y 10"</t>
  </si>
  <si>
    <t>CARTOON NETWORK</t>
  </si>
  <si>
    <t>20ss</t>
  </si>
  <si>
    <t>10ss</t>
  </si>
  <si>
    <t xml:space="preserve">GRUPO OBJETIVO </t>
  </si>
  <si>
    <t>PRIMARIO</t>
  </si>
  <si>
    <t xml:space="preserve">CPM </t>
  </si>
  <si>
    <t>INVERSION TOTAL</t>
  </si>
  <si>
    <t>DISNEY XD</t>
  </si>
  <si>
    <t>NICKELODEON</t>
  </si>
  <si>
    <t>Edición de Comercial y copias Canal</t>
  </si>
  <si>
    <t xml:space="preserve">Los costos no incluyen el I.G.V </t>
  </si>
  <si>
    <t>CANAL 04</t>
  </si>
  <si>
    <r>
      <t>COMBATE 18</t>
    </r>
    <r>
      <rPr>
        <b/>
        <sz val="11"/>
        <rFont val="Calibri"/>
        <family val="2"/>
      </rPr>
      <t>.00 a 20:00 hrs</t>
    </r>
  </si>
  <si>
    <t>CANAL 9</t>
  </si>
  <si>
    <t>Bonificados:</t>
  </si>
  <si>
    <t xml:space="preserve">AB </t>
  </si>
  <si>
    <t>SECUNDARIO</t>
  </si>
  <si>
    <t>PRIMERA EDICION  Telefectivos 6:00 a 7:00 hrs.</t>
  </si>
  <si>
    <t xml:space="preserve"> Grupo Objetivo</t>
  </si>
  <si>
    <t>TGRP´S</t>
  </si>
  <si>
    <t>Porcentaje</t>
  </si>
  <si>
    <t>Canal</t>
  </si>
  <si>
    <t>Grupo</t>
  </si>
  <si>
    <t>Género</t>
  </si>
  <si>
    <t>Rating</t>
  </si>
  <si>
    <t>Nº de Avisos</t>
  </si>
  <si>
    <t xml:space="preserve"> TGRP´S</t>
  </si>
  <si>
    <t>Canal 02</t>
  </si>
  <si>
    <t>Concurso</t>
  </si>
  <si>
    <t>Canal 04</t>
  </si>
  <si>
    <t>Canal 09</t>
  </si>
  <si>
    <t>COMBATE</t>
  </si>
  <si>
    <t>AVISOS BONIFICADOS</t>
  </si>
  <si>
    <t>TOTAL DE TGRP`S</t>
  </si>
  <si>
    <t>Cable</t>
  </si>
  <si>
    <t>Infantil</t>
  </si>
  <si>
    <t>Noticiero</t>
  </si>
  <si>
    <t>CANAL 4</t>
  </si>
  <si>
    <t>AL FONDO HAY SITIO-NO</t>
  </si>
  <si>
    <t>PLUS TV</t>
  </si>
  <si>
    <r>
      <t>ROTATIVOS 18</t>
    </r>
    <r>
      <rPr>
        <b/>
        <sz val="11"/>
        <rFont val="Calibri"/>
        <family val="2"/>
      </rPr>
      <t>:00 a 24:00 hrs</t>
    </r>
  </si>
  <si>
    <t>HM 25-45</t>
  </si>
  <si>
    <t>Rating de los Programas Elegidos para HOMBRES Y MUJERES de 25-45 años AB</t>
  </si>
  <si>
    <t>PUNTO FINAL-D-NO</t>
  </si>
  <si>
    <t>Variado</t>
  </si>
  <si>
    <t>HM de 25-45 años AB</t>
  </si>
  <si>
    <r>
      <t xml:space="preserve">ROTATIVOS </t>
    </r>
    <r>
      <rPr>
        <b/>
        <sz val="11"/>
        <rFont val="Calibri"/>
        <family val="2"/>
      </rPr>
      <t>17:00 a 21:00 hrs</t>
    </r>
  </si>
  <si>
    <t>H 7 - 15</t>
  </si>
  <si>
    <t>Rating de los Programas Elegidos para Hombres de 07-15 años AB</t>
  </si>
  <si>
    <t>H de 07-15 años AB</t>
  </si>
  <si>
    <t>90 MATINAL-MA 6:00 a 8:30</t>
  </si>
  <si>
    <t>CHESPIRITO-S-TA</t>
  </si>
  <si>
    <t>90 MATINAL-MA</t>
  </si>
  <si>
    <t>YO SOY-NO 20:00 a 220:00 hrs</t>
  </si>
  <si>
    <t>MAGALY-S-NO  21.00 A 22.00</t>
  </si>
  <si>
    <t>EL CHAVO-D-TA</t>
  </si>
  <si>
    <t>EL CHAVO -D   (Domingo 14:00 a 15:00 hrs)</t>
  </si>
  <si>
    <t>Novela</t>
  </si>
  <si>
    <t>PRODUCTO: CUERPO HUMANO</t>
  </si>
  <si>
    <t>AL FONDO HAY SITIO 20:00 a 21:00 hrs.</t>
  </si>
  <si>
    <t>ESTO ES GUERRA 18:00 a 20:00 hrs.</t>
  </si>
  <si>
    <t>ESTO ES GUERRA</t>
  </si>
  <si>
    <t>TOTAL</t>
  </si>
  <si>
    <t>prime</t>
  </si>
  <si>
    <t>off</t>
  </si>
  <si>
    <t>CANAL 02</t>
  </si>
  <si>
    <t>PULSERAS ROJAS 21:00 A 22:00</t>
  </si>
  <si>
    <t>EL CHAPULIN COLORADO-S   (Sabado 14:00 a 15:00 hrs)</t>
  </si>
  <si>
    <r>
      <t>DÍA D-22</t>
    </r>
    <r>
      <rPr>
        <b/>
        <sz val="11"/>
        <rFont val="Calibri"/>
        <family val="2"/>
      </rPr>
      <t>.00 a 23:00 hrs</t>
    </r>
  </si>
  <si>
    <t>PULSERAS ROJAS</t>
  </si>
  <si>
    <t>FATMAGUL  22:15 a 23:15 hrs</t>
  </si>
  <si>
    <t>JUNIO</t>
  </si>
  <si>
    <t>90 CENTRAL</t>
  </si>
  <si>
    <t>SIN MEDIAS TINTAS</t>
  </si>
  <si>
    <t>LA NOTICIA REBELDE</t>
  </si>
  <si>
    <t>PUNTO FINAL</t>
  </si>
  <si>
    <t>90 MATINAL</t>
  </si>
  <si>
    <t>CLIENTE:</t>
  </si>
  <si>
    <t>PRODUCTO:</t>
  </si>
  <si>
    <t>PERIODO:</t>
  </si>
  <si>
    <t>14 DÍAS</t>
  </si>
  <si>
    <t>MEDIO</t>
  </si>
  <si>
    <t>TARIFA TIPO</t>
  </si>
  <si>
    <t>FORMATO</t>
  </si>
  <si>
    <t>MES</t>
  </si>
  <si>
    <t>CLICS / IMPRESIONES</t>
  </si>
  <si>
    <t>OPTIMIZACIÓN</t>
  </si>
  <si>
    <t>NETO $</t>
  </si>
  <si>
    <t>Facebook</t>
  </si>
  <si>
    <t>Interacciones</t>
  </si>
  <si>
    <t>CPC</t>
  </si>
  <si>
    <t>Inversión</t>
  </si>
  <si>
    <t>YouTube</t>
  </si>
  <si>
    <t>Vistas</t>
  </si>
  <si>
    <t>Vídeo</t>
  </si>
  <si>
    <t>CPV</t>
  </si>
  <si>
    <t>Pre Roll</t>
  </si>
  <si>
    <t>Octopus Media</t>
  </si>
  <si>
    <t>Impresiones</t>
  </si>
  <si>
    <t>Móviles</t>
  </si>
  <si>
    <t>CPM</t>
  </si>
  <si>
    <t>Rich Media</t>
  </si>
  <si>
    <t>Banner</t>
  </si>
  <si>
    <t>*No incluye IGV</t>
  </si>
  <si>
    <t>La pauta incluye el alcance en Instagram a través de la compra de Facebook.</t>
  </si>
  <si>
    <t xml:space="preserve"> </t>
  </si>
  <si>
    <t>Del 01 al 14</t>
  </si>
  <si>
    <t>Google</t>
  </si>
  <si>
    <t>Clics estimados</t>
  </si>
  <si>
    <t>Display</t>
  </si>
  <si>
    <t>PPA</t>
  </si>
  <si>
    <t>PPA / PPV</t>
  </si>
  <si>
    <t>Del 01 al 07</t>
  </si>
  <si>
    <t>Push Ad</t>
  </si>
  <si>
    <t>Clics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</si>
</sst>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S/.&quot;* #,##0.00_);_(&quot;S/.&quot;* \(#,##0.00\);_(&quot;S/.&quot;* &quot;-&quot;??_);_(@_)"/>
    <numFmt numFmtId="165" formatCode="0.0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[$$-47A]\ #,##0.00"/>
    <numFmt numFmtId="169" formatCode="#,##0.0"/>
    <numFmt numFmtId="170" formatCode="_-[$$-4809]* #,##0.00_ ;_-[$$-4809]* \-#,##0.00\ ;_-[$$-4809]* &quot;-&quot;??_ ;_-@_ "/>
    <numFmt numFmtId="171" formatCode="[$$-409]#,##0.00"/>
    <numFmt numFmtId="172" formatCode="_-[$$-540A]* #,##0.00_ ;_-[$$-540A]* \-#,##0.00\ ;_-[$$-540A]* &quot;-&quot;??_ ;_-@_ "/>
    <numFmt numFmtId="173" formatCode="&quot;S/.&quot;\ #,##0.00"/>
    <numFmt numFmtId="174" formatCode="_(* #,##0.00_);_(* \(#,##0.00\);_(* &quot;-&quot;??_);_(@_)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9"/>
      <color indexed="64"/>
      <name val="Arial"/>
      <family val="2"/>
    </font>
    <font>
      <sz val="9"/>
      <color indexed="64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1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34998626667073579"/>
        <bgColor rgb="FF000000"/>
      </patternFill>
    </fill>
  </fills>
  <borders count="57">
    <border>
      <left/>
      <right/>
      <top/>
      <bottom/>
      <diagonal/>
    </border>
    <border diagonalDown="1"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12">
    <xf numFmtId="0" fontId="0" fillId="0" borderId="0"/>
    <xf numFmtId="0" fontId="5" fillId="0" borderId="1">
      <alignment horizontal="left"/>
    </xf>
    <xf numFmtId="0" fontId="6" fillId="0" borderId="1">
      <alignment horizontal="left" wrapText="1"/>
    </xf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/>
    <xf numFmtId="165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2" fontId="9" fillId="0" borderId="12" xfId="0" applyNumberFormat="1" applyFont="1" applyBorder="1" applyAlignment="1">
      <alignment horizontal="center"/>
    </xf>
    <xf numFmtId="2" fontId="9" fillId="0" borderId="0" xfId="0" applyNumberFormat="1" applyFont="1"/>
    <xf numFmtId="3" fontId="9" fillId="0" borderId="13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" fontId="8" fillId="4" borderId="11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8" fillId="4" borderId="11" xfId="0" applyNumberFormat="1" applyFont="1" applyFill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12" fillId="4" borderId="11" xfId="0" applyNumberFormat="1" applyFont="1" applyFill="1" applyBorder="1" applyAlignment="1">
      <alignment horizontal="center" vertical="center"/>
    </xf>
    <xf numFmtId="167" fontId="12" fillId="0" borderId="0" xfId="0" applyNumberFormat="1" applyFont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8" fillId="0" borderId="0" xfId="0" applyNumberFormat="1" applyFont="1"/>
    <xf numFmtId="4" fontId="9" fillId="0" borderId="0" xfId="0" applyNumberFormat="1" applyFont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70" fontId="9" fillId="0" borderId="0" xfId="3" applyNumberFormat="1" applyFont="1"/>
    <xf numFmtId="2" fontId="9" fillId="0" borderId="0" xfId="3" applyNumberFormat="1" applyFont="1"/>
    <xf numFmtId="3" fontId="9" fillId="0" borderId="0" xfId="0" applyNumberFormat="1" applyFont="1"/>
    <xf numFmtId="165" fontId="9" fillId="0" borderId="0" xfId="0" applyNumberFormat="1" applyFont="1"/>
    <xf numFmtId="165" fontId="9" fillId="0" borderId="0" xfId="0" applyNumberFormat="1" applyFont="1" applyAlignment="1">
      <alignment horizontal="center" vertical="center"/>
    </xf>
    <xf numFmtId="2" fontId="9" fillId="0" borderId="17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3" fontId="9" fillId="0" borderId="14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3" fontId="9" fillId="0" borderId="1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" fontId="9" fillId="0" borderId="0" xfId="0" applyNumberFormat="1" applyFont="1"/>
    <xf numFmtId="0" fontId="9" fillId="0" borderId="0" xfId="0" applyFont="1"/>
    <xf numFmtId="165" fontId="7" fillId="0" borderId="2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0" fillId="6" borderId="0" xfId="0" applyFill="1"/>
    <xf numFmtId="0" fontId="2" fillId="7" borderId="20" xfId="0" applyFont="1" applyFill="1" applyBorder="1" applyAlignment="1">
      <alignment horizontal="center" vertical="center" wrapText="1"/>
    </xf>
    <xf numFmtId="9" fontId="0" fillId="6" borderId="0" xfId="0" applyNumberFormat="1" applyFill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0" fontId="2" fillId="7" borderId="21" xfId="0" applyFont="1" applyFill="1" applyBorder="1" applyAlignment="1">
      <alignment vertical="center" wrapText="1"/>
    </xf>
    <xf numFmtId="1" fontId="7" fillId="0" borderId="16" xfId="0" applyNumberFormat="1" applyFont="1" applyBorder="1" applyAlignment="1">
      <alignment horizontal="center"/>
    </xf>
    <xf numFmtId="165" fontId="0" fillId="6" borderId="0" xfId="0" applyNumberFormat="1" applyFill="1"/>
    <xf numFmtId="1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45" xfId="0" quotePrefix="1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65" fontId="14" fillId="0" borderId="47" xfId="0" applyNumberFormat="1" applyFont="1" applyBorder="1" applyAlignment="1">
      <alignment horizontal="center" vertical="center"/>
    </xf>
    <xf numFmtId="1" fontId="14" fillId="0" borderId="47" xfId="0" applyNumberFormat="1" applyFont="1" applyBorder="1" applyAlignment="1">
      <alignment horizontal="center" vertical="center"/>
    </xf>
    <xf numFmtId="165" fontId="14" fillId="0" borderId="22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14" fillId="0" borderId="18" xfId="0" quotePrefix="1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" fontId="9" fillId="0" borderId="0" xfId="0" applyNumberFormat="1" applyFont="1"/>
    <xf numFmtId="9" fontId="9" fillId="0" borderId="0" xfId="8" applyFont="1"/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" fontId="2" fillId="0" borderId="45" xfId="0" quotePrefix="1" applyNumberFormat="1" applyFont="1" applyBorder="1" applyAlignment="1">
      <alignment horizontal="center" vertical="center"/>
    </xf>
    <xf numFmtId="1" fontId="2" fillId="0" borderId="4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8" fillId="4" borderId="1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9" fontId="2" fillId="6" borderId="16" xfId="8" applyFont="1" applyFill="1" applyBorder="1" applyAlignment="1">
      <alignment horizontal="center" vertical="center"/>
    </xf>
    <xf numFmtId="9" fontId="2" fillId="6" borderId="29" xfId="8" applyFont="1" applyFill="1" applyBorder="1" applyAlignment="1">
      <alignment horizontal="center" vertical="center"/>
    </xf>
    <xf numFmtId="165" fontId="0" fillId="6" borderId="13" xfId="0" applyNumberFormat="1" applyFill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165" fontId="0" fillId="8" borderId="11" xfId="0" applyNumberFormat="1" applyFill="1" applyBorder="1" applyAlignment="1">
      <alignment horizontal="center" vertical="center"/>
    </xf>
    <xf numFmtId="9" fontId="2" fillId="8" borderId="6" xfId="8" applyFont="1" applyFill="1" applyBorder="1" applyAlignment="1">
      <alignment horizontal="center" vertical="center"/>
    </xf>
    <xf numFmtId="10" fontId="9" fillId="0" borderId="0" xfId="8" applyNumberFormat="1" applyFont="1"/>
    <xf numFmtId="165" fontId="9" fillId="0" borderId="0" xfId="0" applyNumberFormat="1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6" borderId="10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9" fontId="9" fillId="0" borderId="0" xfId="8" applyFont="1"/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3" fontId="18" fillId="6" borderId="0" xfId="0" applyNumberFormat="1" applyFont="1" applyFill="1" applyAlignment="1">
      <alignment horizontal="center" vertical="center"/>
    </xf>
    <xf numFmtId="0" fontId="19" fillId="6" borderId="0" xfId="6" applyFont="1" applyFill="1" applyAlignment="1">
      <alignment horizontal="right" vertical="center"/>
    </xf>
    <xf numFmtId="0" fontId="20" fillId="6" borderId="0" xfId="6" applyFont="1" applyFill="1" applyAlignment="1">
      <alignment horizontal="left" vertical="center" indent="1"/>
    </xf>
    <xf numFmtId="0" fontId="9" fillId="6" borderId="0" xfId="6" applyFont="1" applyFill="1" applyAlignment="1">
      <alignment horizontal="center" vertical="center"/>
    </xf>
    <xf numFmtId="0" fontId="19" fillId="6" borderId="0" xfId="6" applyFont="1" applyFill="1" applyAlignment="1">
      <alignment horizontal="center" vertical="center"/>
    </xf>
    <xf numFmtId="3" fontId="9" fillId="6" borderId="0" xfId="6" applyNumberFormat="1" applyFont="1" applyFill="1" applyAlignment="1">
      <alignment horizontal="center" vertical="center"/>
    </xf>
    <xf numFmtId="169" fontId="9" fillId="6" borderId="0" xfId="6" applyNumberFormat="1" applyFont="1" applyFill="1" applyAlignment="1">
      <alignment horizontal="center" vertical="center"/>
    </xf>
    <xf numFmtId="0" fontId="20" fillId="6" borderId="0" xfId="6" applyFont="1" applyFill="1" applyAlignment="1">
      <alignment horizontal="left" vertical="center"/>
    </xf>
    <xf numFmtId="0" fontId="20" fillId="6" borderId="0" xfId="6" applyFont="1" applyFill="1" applyAlignment="1">
      <alignment horizontal="center" vertical="center"/>
    </xf>
    <xf numFmtId="3" fontId="20" fillId="6" borderId="0" xfId="6" applyNumberFormat="1" applyFont="1" applyFill="1" applyAlignment="1">
      <alignment horizontal="center" vertical="center"/>
    </xf>
    <xf numFmtId="0" fontId="17" fillId="9" borderId="38" xfId="6" applyFont="1" applyFill="1" applyBorder="1" applyAlignment="1">
      <alignment horizontal="center" vertical="center" wrapText="1"/>
    </xf>
    <xf numFmtId="0" fontId="17" fillId="9" borderId="39" xfId="6" applyFont="1" applyFill="1" applyBorder="1" applyAlignment="1">
      <alignment horizontal="center" vertical="center" wrapText="1"/>
    </xf>
    <xf numFmtId="0" fontId="17" fillId="9" borderId="39" xfId="6" applyFont="1" applyFill="1" applyBorder="1" applyAlignment="1">
      <alignment horizontal="center" vertical="center"/>
    </xf>
    <xf numFmtId="3" fontId="17" fillId="9" borderId="39" xfId="6" applyNumberFormat="1" applyFont="1" applyFill="1" applyBorder="1" applyAlignment="1">
      <alignment horizontal="center" vertical="center" wrapText="1"/>
    </xf>
    <xf numFmtId="4" fontId="17" fillId="9" borderId="39" xfId="6" applyNumberFormat="1" applyFont="1" applyFill="1" applyBorder="1" applyAlignment="1">
      <alignment horizontal="center" vertical="center" wrapText="1"/>
    </xf>
    <xf numFmtId="4" fontId="17" fillId="9" borderId="30" xfId="6" applyNumberFormat="1" applyFont="1" applyFill="1" applyBorder="1" applyAlignment="1">
      <alignment horizontal="center" vertical="center" wrapText="1"/>
    </xf>
    <xf numFmtId="0" fontId="9" fillId="6" borderId="40" xfId="7" applyFont="1" applyFill="1" applyBorder="1" applyAlignment="1">
      <alignment horizontal="center" vertical="center"/>
    </xf>
    <xf numFmtId="0" fontId="9" fillId="6" borderId="0" xfId="7" applyFont="1" applyFill="1" applyAlignment="1">
      <alignment horizontal="center" vertical="center"/>
    </xf>
    <xf numFmtId="172" fontId="9" fillId="6" borderId="0" xfId="7" applyNumberFormat="1" applyFont="1" applyFill="1" applyAlignment="1">
      <alignment horizontal="center" vertical="center"/>
    </xf>
    <xf numFmtId="20" fontId="9" fillId="6" borderId="0" xfId="6" applyNumberFormat="1" applyFont="1" applyFill="1" applyAlignment="1">
      <alignment horizontal="center" vertical="center" wrapText="1"/>
    </xf>
    <xf numFmtId="20" fontId="9" fillId="6" borderId="0" xfId="6" applyNumberFormat="1" applyFont="1" applyFill="1" applyAlignment="1">
      <alignment horizontal="center" vertical="center"/>
    </xf>
    <xf numFmtId="0" fontId="8" fillId="6" borderId="0" xfId="6" applyFont="1" applyFill="1" applyAlignment="1">
      <alignment horizontal="center" vertical="center"/>
    </xf>
    <xf numFmtId="164" fontId="9" fillId="6" borderId="0" xfId="4" applyFont="1" applyFill="1" applyAlignment="1">
      <alignment horizontal="center" vertical="center"/>
    </xf>
    <xf numFmtId="164" fontId="9" fillId="6" borderId="41" xfId="4" applyFont="1" applyFill="1" applyBorder="1" applyAlignment="1">
      <alignment horizontal="center" vertical="center"/>
    </xf>
    <xf numFmtId="0" fontId="8" fillId="6" borderId="40" xfId="7" applyFont="1" applyFill="1" applyBorder="1" applyAlignment="1">
      <alignment horizontal="center" vertical="center"/>
    </xf>
    <xf numFmtId="171" fontId="9" fillId="6" borderId="0" xfId="7" applyNumberFormat="1" applyFont="1" applyFill="1" applyAlignment="1">
      <alignment horizontal="center" vertical="center"/>
    </xf>
    <xf numFmtId="3" fontId="9" fillId="6" borderId="49" xfId="6" applyNumberFormat="1" applyFont="1" applyFill="1" applyBorder="1" applyAlignment="1">
      <alignment horizontal="center" vertical="center" wrapText="1"/>
    </xf>
    <xf numFmtId="167" fontId="9" fillId="6" borderId="0" xfId="7" applyNumberFormat="1" applyFont="1" applyFill="1" applyAlignment="1">
      <alignment horizontal="center" vertical="center"/>
    </xf>
    <xf numFmtId="167" fontId="9" fillId="6" borderId="41" xfId="7" applyNumberFormat="1" applyFont="1" applyFill="1" applyBorder="1" applyAlignment="1">
      <alignment horizontal="center" vertical="center"/>
    </xf>
    <xf numFmtId="172" fontId="9" fillId="6" borderId="0" xfId="4" applyNumberFormat="1" applyFont="1" applyFill="1" applyAlignment="1">
      <alignment horizontal="center" vertical="center"/>
    </xf>
    <xf numFmtId="172" fontId="9" fillId="6" borderId="50" xfId="4" applyNumberFormat="1" applyFont="1" applyFill="1" applyBorder="1" applyAlignment="1">
      <alignment horizontal="center" vertical="center" wrapText="1"/>
    </xf>
    <xf numFmtId="172" fontId="9" fillId="6" borderId="0" xfId="6" applyNumberFormat="1" applyFont="1" applyFill="1" applyAlignment="1">
      <alignment horizontal="center" vertical="center"/>
    </xf>
    <xf numFmtId="172" fontId="9" fillId="6" borderId="41" xfId="4" applyNumberFormat="1" applyFont="1" applyFill="1" applyBorder="1" applyAlignment="1">
      <alignment horizontal="center" vertical="center"/>
    </xf>
    <xf numFmtId="172" fontId="9" fillId="6" borderId="0" xfId="4" applyNumberFormat="1" applyFont="1" applyFill="1" applyBorder="1" applyAlignment="1">
      <alignment horizontal="center" vertical="center" wrapText="1"/>
    </xf>
    <xf numFmtId="172" fontId="9" fillId="6" borderId="0" xfId="4" applyNumberFormat="1" applyFont="1" applyFill="1" applyAlignment="1">
      <alignment horizontal="center" vertical="center" wrapText="1"/>
    </xf>
    <xf numFmtId="0" fontId="8" fillId="10" borderId="38" xfId="6" applyFont="1" applyFill="1" applyBorder="1" applyAlignment="1">
      <alignment horizontal="center" vertical="center" wrapText="1"/>
    </xf>
    <xf numFmtId="0" fontId="8" fillId="10" borderId="39" xfId="6" applyFont="1" applyFill="1" applyBorder="1" applyAlignment="1">
      <alignment horizontal="center" vertical="center" wrapText="1"/>
    </xf>
    <xf numFmtId="167" fontId="8" fillId="10" borderId="39" xfId="6" applyNumberFormat="1" applyFont="1" applyFill="1" applyBorder="1" applyAlignment="1">
      <alignment horizontal="center" vertical="center" wrapText="1"/>
    </xf>
    <xf numFmtId="0" fontId="8" fillId="10" borderId="39" xfId="6" applyFont="1" applyFill="1" applyBorder="1" applyAlignment="1">
      <alignment horizontal="center" vertical="center"/>
    </xf>
    <xf numFmtId="3" fontId="8" fillId="10" borderId="39" xfId="6" applyNumberFormat="1" applyFont="1" applyFill="1" applyBorder="1" applyAlignment="1">
      <alignment horizontal="center" vertical="center" wrapText="1"/>
    </xf>
    <xf numFmtId="172" fontId="8" fillId="10" borderId="39" xfId="4" applyNumberFormat="1" applyFont="1" applyFill="1" applyBorder="1" applyAlignment="1">
      <alignment horizontal="center" vertical="center"/>
    </xf>
    <xf numFmtId="172" fontId="8" fillId="10" borderId="30" xfId="4" applyNumberFormat="1" applyFont="1" applyFill="1" applyBorder="1" applyAlignment="1">
      <alignment horizontal="center" vertical="center"/>
    </xf>
    <xf numFmtId="3" fontId="8" fillId="6" borderId="0" xfId="6" applyNumberFormat="1" applyFont="1" applyFill="1" applyAlignment="1">
      <alignment horizontal="center" vertical="center"/>
    </xf>
    <xf numFmtId="173" fontId="8" fillId="6" borderId="0" xfId="6" applyNumberFormat="1" applyFont="1" applyFill="1" applyAlignment="1">
      <alignment horizontal="center" vertical="center" wrapText="1"/>
    </xf>
    <xf numFmtId="0" fontId="21" fillId="6" borderId="0" xfId="0" applyFont="1" applyFill="1" applyAlignment="1">
      <alignment horizontal="left" vertical="center"/>
    </xf>
    <xf numFmtId="167" fontId="18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left" vertical="center"/>
    </xf>
    <xf numFmtId="172" fontId="18" fillId="6" borderId="0" xfId="0" applyNumberFormat="1" applyFont="1" applyFill="1" applyAlignment="1">
      <alignment horizontal="center" vertical="center"/>
    </xf>
    <xf numFmtId="0" fontId="2" fillId="7" borderId="31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7" borderId="51" xfId="0" quotePrefix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2" fillId="7" borderId="34" xfId="0" quotePrefix="1" applyFont="1" applyFill="1" applyBorder="1" applyAlignment="1">
      <alignment horizontal="center" vertical="center"/>
    </xf>
    <xf numFmtId="0" fontId="0" fillId="7" borderId="42" xfId="0" quotePrefix="1" applyFill="1" applyBorder="1" applyAlignment="1">
      <alignment horizontal="center" vertical="center"/>
    </xf>
    <xf numFmtId="0" fontId="0" fillId="7" borderId="20" xfId="0" quotePrefix="1" applyFill="1" applyBorder="1" applyAlignment="1">
      <alignment horizontal="center" vertical="center"/>
    </xf>
    <xf numFmtId="0" fontId="0" fillId="7" borderId="34" xfId="0" quotePrefix="1" applyFill="1" applyBorder="1" applyAlignment="1">
      <alignment horizontal="center" vertical="center"/>
    </xf>
    <xf numFmtId="0" fontId="14" fillId="7" borderId="34" xfId="0" quotePrefix="1" applyFont="1" applyFill="1" applyBorder="1" applyAlignment="1">
      <alignment horizontal="center" vertical="center"/>
    </xf>
    <xf numFmtId="0" fontId="14" fillId="7" borderId="42" xfId="0" quotePrefix="1" applyFont="1" applyFill="1" applyBorder="1" applyAlignment="1">
      <alignment horizontal="center" vertical="center"/>
    </xf>
    <xf numFmtId="0" fontId="14" fillId="7" borderId="8" xfId="0" quotePrefix="1" applyFont="1" applyFill="1" applyBorder="1" applyAlignment="1">
      <alignment horizontal="center" vertical="center"/>
    </xf>
    <xf numFmtId="0" fontId="14" fillId="7" borderId="20" xfId="0" quotePrefix="1" applyFont="1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" fontId="8" fillId="0" borderId="0" xfId="0" applyNumberFormat="1" applyFont="1" applyAlignment="1">
      <alignment horizontal="center"/>
    </xf>
    <xf numFmtId="0" fontId="16" fillId="5" borderId="20" xfId="0" applyFont="1" applyFill="1" applyBorder="1" applyAlignment="1">
      <alignment horizontal="center"/>
    </xf>
  </cellXfs>
  <cellStyles count="12">
    <cellStyle name="bch" xfId="1"/>
    <cellStyle name="bci" xfId="2"/>
    <cellStyle name="Millares 2" xfId="10"/>
    <cellStyle name="Moneda" xfId="3" builtinId="4"/>
    <cellStyle name="Moneda 2" xfId="4"/>
    <cellStyle name="Normal" xfId="0" builtinId="0"/>
    <cellStyle name="Normal 2" xfId="5"/>
    <cellStyle name="Normal 2 2 2" xfId="6"/>
    <cellStyle name="Normal 24 2" xfId="7"/>
    <cellStyle name="Porcentaje" xfId="8" builtinId="5"/>
    <cellStyle name="Porcentaje 2" xfId="9"/>
    <cellStyle name="Porcentaje 3" xfId="1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Porcentaje de TGRP`S 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38-40B2-89E6-FA6F9D7A50B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B38-40B2-89E6-FA6F9D7A50BF}"/>
              </c:ext>
            </c:extLst>
          </c:dPt>
          <c:dLbls>
            <c:dLbl>
              <c:idx val="0"/>
              <c:layout>
                <c:manualLayout>
                  <c:x val="-0.28499157917760282"/>
                  <c:y val="1.6731820287169987E-2"/>
                </c:manualLayout>
              </c:layout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38-40B2-89E6-FA6F9D7A50BF}"/>
                </c:ext>
              </c:extLst>
            </c:dLbl>
            <c:dLbl>
              <c:idx val="1"/>
              <c:layout>
                <c:manualLayout>
                  <c:x val="0.19691251093613299"/>
                  <c:y val="-9.5926509186351705E-2"/>
                </c:manualLayout>
              </c:layout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38-40B2-89E6-FA6F9D7A50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Porcentaje!$I$5:$I$6</c:f>
              <c:strCache>
                <c:ptCount val="2"/>
                <c:pt idx="0">
                  <c:v>HM de 25-45 años AB</c:v>
                </c:pt>
                <c:pt idx="1">
                  <c:v>H de 07-15 años AB</c:v>
                </c:pt>
              </c:strCache>
            </c:strRef>
          </c:cat>
          <c:val>
            <c:numRef>
              <c:f>Porcentaje!$J$5:$J$6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8-40B2-89E6-FA6F9D7A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3443072702331962"/>
          <c:y val="0.31190588676415448"/>
          <c:w val="0.7133061145134636"/>
          <c:h val="0.39047769028871393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384175</xdr:colOff>
      <xdr:row>0</xdr:row>
      <xdr:rowOff>145256</xdr:rowOff>
    </xdr:from>
    <xdr:to>
      <xdr:col>11</xdr:col>
      <xdr:colOff>64294</xdr:colOff>
      <xdr:row>4</xdr:row>
      <xdr:rowOff>81756</xdr:rowOff>
    </xdr:to>
    <xdr:pic>
      <xdr:nvPicPr>
        <xdr:cNvPr id="2879521" name="1 Imagen" descr="Imagen relacionada">
          <a:extLst>
            <a:ext uri="{FF2B5EF4-FFF2-40B4-BE49-F238E27FC236}">
              <a16:creationId xmlns:a16="http://schemas.microsoft.com/office/drawing/2014/main" id="{00000000-0008-0000-0300-000021F02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99" t="37500" r="3168" b="37666"/>
        <a:stretch>
          <a:fillRect/>
        </a:stretch>
      </xdr:blipFill>
      <xdr:spPr bwMode="auto">
        <a:xfrm>
          <a:off x="8313738" y="145256"/>
          <a:ext cx="2632869" cy="662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101600</xdr:rowOff>
    </xdr:from>
    <xdr:to>
      <xdr:col>13</xdr:col>
      <xdr:colOff>552450</xdr:colOff>
      <xdr:row>29</xdr:row>
      <xdr:rowOff>127000</xdr:rowOff>
    </xdr:to>
    <xdr:graphicFrame macro="">
      <xdr:nvGraphicFramePr>
        <xdr:cNvPr id="1129319" name="4 Gráfico">
          <a:extLst>
            <a:ext uri="{FF2B5EF4-FFF2-40B4-BE49-F238E27FC236}">
              <a16:creationId xmlns:a16="http://schemas.microsoft.com/office/drawing/2014/main" id="{00000000-0008-0000-0500-0000673B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</xdr:row>
      <xdr:rowOff>6350</xdr:rowOff>
    </xdr:from>
    <xdr:to>
      <xdr:col>15</xdr:col>
      <xdr:colOff>38100</xdr:colOff>
      <xdr:row>6</xdr:row>
      <xdr:rowOff>25400</xdr:rowOff>
    </xdr:to>
    <xdr:pic>
      <xdr:nvPicPr>
        <xdr:cNvPr id="1955417" name="Imagen 1" descr="cid:D605FE55-AA79-4158-A972-E6572B233750">
          <a:extLst>
            <a:ext uri="{FF2B5EF4-FFF2-40B4-BE49-F238E27FC236}">
              <a16:creationId xmlns:a16="http://schemas.microsoft.com/office/drawing/2014/main" id="{00000000-0008-0000-0600-000059D6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558800"/>
          <a:ext cx="2603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</xdr:row>
      <xdr:rowOff>82550</xdr:rowOff>
    </xdr:from>
    <xdr:to>
      <xdr:col>15</xdr:col>
      <xdr:colOff>38100</xdr:colOff>
      <xdr:row>6</xdr:row>
      <xdr:rowOff>95250</xdr:rowOff>
    </xdr:to>
    <xdr:pic>
      <xdr:nvPicPr>
        <xdr:cNvPr id="1965654" name="Imagen 1" descr="cid:D605FE55-AA79-4158-A972-E6572B233750">
          <a:extLst>
            <a:ext uri="{FF2B5EF4-FFF2-40B4-BE49-F238E27FC236}">
              <a16:creationId xmlns:a16="http://schemas.microsoft.com/office/drawing/2014/main" id="{00000000-0008-0000-0700-000056FE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635000"/>
          <a:ext cx="260350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zoomScale="80" zoomScaleNormal="80" workbookViewId="0">
      <selection activeCell="H31" sqref="H31"/>
    </sheetView>
  </sheetViews>
  <sheetFormatPr baseColWidth="10" defaultColWidth="11.44140625" defaultRowHeight="14.4" x14ac:dyDescent="0.25"/>
  <cols>
    <col min="1" max="1" width="2.33203125" style="179" customWidth="1"/>
    <col min="2" max="2" width="21.33203125" style="179" customWidth="1"/>
    <col min="3" max="3" width="13.33203125" style="179" customWidth="1"/>
    <col min="4" max="4" width="8.44140625" style="179" bestFit="1" customWidth="1"/>
    <col min="5" max="5" width="21.33203125" style="179" bestFit="1" customWidth="1"/>
    <col min="6" max="6" width="17.44140625" style="179" customWidth="1"/>
    <col min="7" max="7" width="15.6640625" style="179" customWidth="1"/>
    <col min="8" max="8" width="19.33203125" style="180" bestFit="1" customWidth="1"/>
    <col min="9" max="10" width="16.5546875" style="179" customWidth="1"/>
    <col min="11" max="11" width="11" style="179" bestFit="1" customWidth="1"/>
    <col min="12" max="16384" width="11.44140625" style="179"/>
  </cols>
  <sheetData>
    <row r="1" spans="2:11" ht="12" customHeight="1" x14ac:dyDescent="0.25"/>
    <row r="2" spans="2:11" x14ac:dyDescent="0.25">
      <c r="B2" s="181" t="s">
        <v>103</v>
      </c>
      <c r="C2" s="182"/>
      <c r="D2" s="183"/>
      <c r="F2" s="184"/>
      <c r="G2" s="183"/>
      <c r="H2" s="185"/>
      <c r="I2" s="186"/>
      <c r="J2" s="186"/>
      <c r="K2" s="186"/>
    </row>
    <row r="3" spans="2:11" x14ac:dyDescent="0.25">
      <c r="B3" s="181" t="s">
        <v>104</v>
      </c>
      <c r="C3" s="182"/>
      <c r="D3" s="183"/>
      <c r="F3" s="184"/>
      <c r="G3" s="183"/>
      <c r="H3" s="185"/>
      <c r="I3" s="186"/>
      <c r="J3" s="186"/>
      <c r="K3" s="186"/>
    </row>
    <row r="4" spans="2:11" x14ac:dyDescent="0.25">
      <c r="B4" s="181" t="s">
        <v>105</v>
      </c>
      <c r="C4" s="182" t="s">
        <v>106</v>
      </c>
      <c r="D4" s="187"/>
      <c r="F4" s="187"/>
      <c r="G4" s="188"/>
      <c r="H4" s="189"/>
      <c r="I4" s="188"/>
      <c r="J4" s="188"/>
      <c r="K4" s="188"/>
    </row>
    <row r="5" spans="2:11" ht="12" customHeight="1" x14ac:dyDescent="0.25">
      <c r="B5" s="188"/>
      <c r="C5" s="188"/>
      <c r="D5" s="188"/>
      <c r="E5" s="184"/>
      <c r="F5" s="184"/>
      <c r="G5" s="188"/>
      <c r="H5" s="189"/>
      <c r="I5" s="188"/>
      <c r="J5" s="188"/>
      <c r="K5" s="188"/>
    </row>
    <row r="6" spans="2:11" ht="31.5" customHeight="1" x14ac:dyDescent="0.25">
      <c r="B6" s="190" t="s">
        <v>107</v>
      </c>
      <c r="C6" s="191" t="s">
        <v>108</v>
      </c>
      <c r="D6" s="191" t="s">
        <v>16</v>
      </c>
      <c r="E6" s="192" t="s">
        <v>109</v>
      </c>
      <c r="F6" s="192"/>
      <c r="G6" s="192" t="s">
        <v>110</v>
      </c>
      <c r="H6" s="193" t="s">
        <v>111</v>
      </c>
      <c r="I6" s="194" t="s">
        <v>15</v>
      </c>
      <c r="J6" s="194" t="s">
        <v>112</v>
      </c>
      <c r="K6" s="195" t="s">
        <v>113</v>
      </c>
    </row>
    <row r="7" spans="2:11" x14ac:dyDescent="0.25">
      <c r="B7" s="196"/>
      <c r="C7" s="197"/>
      <c r="D7" s="198"/>
      <c r="E7" s="199"/>
      <c r="F7" s="200"/>
      <c r="G7" s="201" t="s">
        <v>132</v>
      </c>
      <c r="H7" s="185"/>
      <c r="I7" s="202"/>
      <c r="J7" s="202"/>
      <c r="K7" s="203"/>
    </row>
    <row r="8" spans="2:11" x14ac:dyDescent="0.25">
      <c r="B8" s="204" t="s">
        <v>133</v>
      </c>
      <c r="C8" s="197"/>
      <c r="D8" s="205"/>
      <c r="E8" s="199"/>
      <c r="F8" s="200" t="s">
        <v>134</v>
      </c>
      <c r="G8" s="206">
        <f>G9/D9</f>
        <v>7857.142857142856</v>
      </c>
      <c r="H8" s="185">
        <f>SUM(G8:G8)</f>
        <v>7857.142857142856</v>
      </c>
      <c r="I8" s="207"/>
      <c r="J8" s="207"/>
      <c r="K8" s="208"/>
    </row>
    <row r="9" spans="2:11" x14ac:dyDescent="0.25">
      <c r="B9" s="196" t="s">
        <v>135</v>
      </c>
      <c r="C9" s="197" t="s">
        <v>116</v>
      </c>
      <c r="D9" s="209">
        <v>7.0000000000000007E-2</v>
      </c>
      <c r="E9" s="199" t="s">
        <v>128</v>
      </c>
      <c r="F9" s="200" t="s">
        <v>117</v>
      </c>
      <c r="G9" s="210">
        <v>550</v>
      </c>
      <c r="H9" s="211" t="s">
        <v>140</v>
      </c>
      <c r="I9" s="209">
        <f>G9</f>
        <v>550</v>
      </c>
      <c r="J9" s="209">
        <f>I9*15%</f>
        <v>82.5</v>
      </c>
      <c r="K9" s="212">
        <f>SUM(I9:J9)</f>
        <v>632.5</v>
      </c>
    </row>
    <row r="10" spans="2:11" ht="8.1" customHeight="1" x14ac:dyDescent="0.25">
      <c r="B10" s="196"/>
      <c r="C10" s="197"/>
      <c r="D10" s="209"/>
      <c r="E10" s="199"/>
      <c r="F10" s="200"/>
      <c r="G10" s="213"/>
      <c r="H10" s="211"/>
      <c r="I10" s="209"/>
      <c r="J10" s="209"/>
      <c r="K10" s="212"/>
    </row>
    <row r="11" spans="2:11" x14ac:dyDescent="0.25">
      <c r="B11" s="196"/>
      <c r="C11" s="197"/>
      <c r="D11" s="198"/>
      <c r="E11" s="199"/>
      <c r="F11" s="200"/>
      <c r="G11" s="201" t="s">
        <v>132</v>
      </c>
      <c r="H11" s="185"/>
      <c r="I11" s="202"/>
      <c r="J11" s="202"/>
      <c r="K11" s="203"/>
    </row>
    <row r="12" spans="2:11" x14ac:dyDescent="0.25">
      <c r="B12" s="204" t="s">
        <v>114</v>
      </c>
      <c r="C12" s="197"/>
      <c r="D12" s="205"/>
      <c r="E12" s="199"/>
      <c r="F12" s="200" t="s">
        <v>115</v>
      </c>
      <c r="G12" s="206">
        <f>G13/$D$13</f>
        <v>11250</v>
      </c>
      <c r="H12" s="185">
        <f>SUM(G12:G12)</f>
        <v>11250</v>
      </c>
      <c r="I12" s="207"/>
      <c r="J12" s="207"/>
      <c r="K12" s="208"/>
    </row>
    <row r="13" spans="2:11" x14ac:dyDescent="0.25">
      <c r="B13" s="196" t="s">
        <v>136</v>
      </c>
      <c r="C13" s="197" t="s">
        <v>116</v>
      </c>
      <c r="D13" s="209">
        <v>0.04</v>
      </c>
      <c r="E13" s="199" t="s">
        <v>137</v>
      </c>
      <c r="F13" s="200" t="s">
        <v>117</v>
      </c>
      <c r="G13" s="210">
        <v>450</v>
      </c>
      <c r="H13" s="211" t="s">
        <v>115</v>
      </c>
      <c r="I13" s="209">
        <f>G13</f>
        <v>450</v>
      </c>
      <c r="J13" s="209">
        <f>I13*15%</f>
        <v>67.5</v>
      </c>
      <c r="K13" s="212">
        <f>SUM(I13:J13)</f>
        <v>517.5</v>
      </c>
    </row>
    <row r="14" spans="2:11" x14ac:dyDescent="0.25">
      <c r="B14" s="196"/>
      <c r="C14" s="197"/>
      <c r="D14" s="209"/>
      <c r="E14" s="199"/>
      <c r="F14" s="200"/>
      <c r="G14" s="201" t="s">
        <v>132</v>
      </c>
      <c r="H14" s="211"/>
      <c r="I14" s="209"/>
      <c r="J14" s="209"/>
      <c r="K14" s="212"/>
    </row>
    <row r="15" spans="2:11" x14ac:dyDescent="0.25">
      <c r="B15" s="204" t="s">
        <v>118</v>
      </c>
      <c r="C15" s="197"/>
      <c r="D15" s="198"/>
      <c r="E15" s="199"/>
      <c r="F15" s="200" t="s">
        <v>119</v>
      </c>
      <c r="G15" s="206">
        <f>G16/$D$16</f>
        <v>43500</v>
      </c>
      <c r="H15" s="185">
        <f>SUM(G15:G15)</f>
        <v>43500</v>
      </c>
      <c r="I15" s="202"/>
      <c r="J15" s="202"/>
      <c r="K15" s="203"/>
    </row>
    <row r="16" spans="2:11" x14ac:dyDescent="0.25">
      <c r="B16" s="196" t="s">
        <v>120</v>
      </c>
      <c r="C16" s="197" t="s">
        <v>121</v>
      </c>
      <c r="D16" s="209">
        <v>0.02</v>
      </c>
      <c r="E16" s="199" t="s">
        <v>122</v>
      </c>
      <c r="F16" s="200" t="s">
        <v>117</v>
      </c>
      <c r="G16" s="210">
        <v>870</v>
      </c>
      <c r="H16" s="211" t="s">
        <v>119</v>
      </c>
      <c r="I16" s="209">
        <f>G16</f>
        <v>870</v>
      </c>
      <c r="J16" s="209">
        <f>I16*15%</f>
        <v>130.5</v>
      </c>
      <c r="K16" s="212">
        <f>SUM(I16:J16)</f>
        <v>1000.5</v>
      </c>
    </row>
    <row r="17" spans="2:11" ht="8.25" customHeight="1" x14ac:dyDescent="0.25">
      <c r="B17" s="196"/>
      <c r="C17" s="197"/>
      <c r="D17" s="209"/>
      <c r="E17" s="199"/>
      <c r="F17" s="200"/>
      <c r="G17" s="214"/>
      <c r="H17" s="211"/>
      <c r="I17" s="209"/>
      <c r="J17" s="209"/>
      <c r="K17" s="212"/>
    </row>
    <row r="18" spans="2:11" x14ac:dyDescent="0.25">
      <c r="B18" s="196"/>
      <c r="C18" s="197"/>
      <c r="D18" s="198"/>
      <c r="E18" s="199"/>
      <c r="F18" s="200"/>
      <c r="G18" s="201" t="s">
        <v>132</v>
      </c>
      <c r="H18" s="185"/>
      <c r="I18" s="202"/>
      <c r="J18" s="202"/>
      <c r="K18" s="203"/>
    </row>
    <row r="19" spans="2:11" x14ac:dyDescent="0.25">
      <c r="B19" s="204" t="s">
        <v>123</v>
      </c>
      <c r="C19" s="197"/>
      <c r="D19" s="198"/>
      <c r="E19" s="199"/>
      <c r="F19" s="200" t="s">
        <v>124</v>
      </c>
      <c r="G19" s="206">
        <f>G20/$D$20*1000</f>
        <v>70000</v>
      </c>
      <c r="H19" s="185">
        <f>SUM(G19:G19)</f>
        <v>70000</v>
      </c>
      <c r="I19" s="202"/>
      <c r="J19" s="202"/>
      <c r="K19" s="203"/>
    </row>
    <row r="20" spans="2:11" x14ac:dyDescent="0.25">
      <c r="B20" s="196" t="s">
        <v>125</v>
      </c>
      <c r="C20" s="197" t="s">
        <v>126</v>
      </c>
      <c r="D20" s="209">
        <v>10</v>
      </c>
      <c r="E20" s="199" t="s">
        <v>127</v>
      </c>
      <c r="F20" s="200" t="s">
        <v>117</v>
      </c>
      <c r="G20" s="210">
        <v>700</v>
      </c>
      <c r="H20" s="180" t="s">
        <v>124</v>
      </c>
      <c r="I20" s="209">
        <f>G20</f>
        <v>700</v>
      </c>
      <c r="J20" s="209">
        <f>I20*15%</f>
        <v>105</v>
      </c>
      <c r="K20" s="212">
        <f>SUM(I20:J20)</f>
        <v>805</v>
      </c>
    </row>
    <row r="21" spans="2:11" ht="10.35" customHeight="1" x14ac:dyDescent="0.25">
      <c r="B21" s="196"/>
      <c r="C21" s="197"/>
      <c r="D21" s="209"/>
      <c r="E21" s="199"/>
      <c r="F21" s="200"/>
      <c r="G21" s="214"/>
      <c r="H21" s="211"/>
      <c r="I21" s="209"/>
      <c r="J21" s="209"/>
      <c r="K21" s="212"/>
    </row>
    <row r="22" spans="2:11" ht="13.35" customHeight="1" x14ac:dyDescent="0.25">
      <c r="B22" s="196"/>
      <c r="C22" s="197"/>
      <c r="D22" s="198"/>
      <c r="E22" s="199"/>
      <c r="F22" s="200"/>
      <c r="G22" s="201" t="s">
        <v>138</v>
      </c>
      <c r="H22" s="185"/>
      <c r="I22" s="202"/>
      <c r="J22" s="202"/>
      <c r="K22" s="203"/>
    </row>
    <row r="23" spans="2:11" ht="12" customHeight="1" x14ac:dyDescent="0.25">
      <c r="B23" s="204" t="s">
        <v>123</v>
      </c>
      <c r="C23" s="197"/>
      <c r="D23" s="198"/>
      <c r="E23" s="199"/>
      <c r="F23" s="200" t="s">
        <v>140</v>
      </c>
      <c r="G23" s="206">
        <f>G24/D24</f>
        <v>100</v>
      </c>
      <c r="H23" s="185">
        <f>SUM(G23:G23)</f>
        <v>100</v>
      </c>
      <c r="I23" s="202"/>
      <c r="J23" s="202"/>
      <c r="K23" s="203"/>
    </row>
    <row r="24" spans="2:11" ht="17.100000000000001" customHeight="1" x14ac:dyDescent="0.25">
      <c r="B24" s="196" t="s">
        <v>125</v>
      </c>
      <c r="C24" s="197" t="s">
        <v>116</v>
      </c>
      <c r="D24" s="209">
        <v>0.3</v>
      </c>
      <c r="E24" s="199" t="s">
        <v>139</v>
      </c>
      <c r="F24" s="200" t="s">
        <v>117</v>
      </c>
      <c r="G24" s="210">
        <v>30</v>
      </c>
      <c r="H24" s="211" t="s">
        <v>140</v>
      </c>
      <c r="I24" s="209">
        <f>G24</f>
        <v>30</v>
      </c>
      <c r="J24" s="209">
        <f>I24*15%</f>
        <v>4.5</v>
      </c>
      <c r="K24" s="212">
        <f>SUM(I24:J24)</f>
        <v>34.5</v>
      </c>
    </row>
    <row r="25" spans="2:11" ht="4.3499999999999996" customHeight="1" x14ac:dyDescent="0.25">
      <c r="B25" s="196"/>
      <c r="C25" s="197"/>
      <c r="D25" s="209"/>
      <c r="E25" s="199"/>
      <c r="F25" s="200"/>
      <c r="G25" s="214"/>
      <c r="H25" s="211"/>
      <c r="I25" s="209"/>
      <c r="J25" s="209"/>
      <c r="K25" s="212"/>
    </row>
    <row r="26" spans="2:11" x14ac:dyDescent="0.25">
      <c r="B26" s="215"/>
      <c r="C26" s="216"/>
      <c r="D26" s="217"/>
      <c r="E26" s="218"/>
      <c r="F26" s="218"/>
      <c r="G26" s="220">
        <f>G9+G13+G16+G20+G24</f>
        <v>2600</v>
      </c>
      <c r="H26" s="219"/>
      <c r="I26" s="220">
        <f>SUM(I8:I25)</f>
        <v>2600</v>
      </c>
      <c r="J26" s="220">
        <f>SUM(J9:J25)</f>
        <v>390</v>
      </c>
      <c r="K26" s="221">
        <f>SUM(K9:K25)</f>
        <v>2990</v>
      </c>
    </row>
    <row r="27" spans="2:11" s="178" customFormat="1" x14ac:dyDescent="0.25">
      <c r="B27" s="201"/>
      <c r="C27" s="201"/>
      <c r="D27" s="201"/>
      <c r="E27" s="201"/>
      <c r="F27" s="201"/>
      <c r="G27" s="201"/>
      <c r="H27" s="222"/>
      <c r="I27" s="223"/>
      <c r="J27" s="223"/>
      <c r="K27" s="223"/>
    </row>
    <row r="28" spans="2:11" x14ac:dyDescent="0.25">
      <c r="B28" s="224" t="s">
        <v>129</v>
      </c>
      <c r="I28" s="225"/>
      <c r="J28" s="225"/>
      <c r="K28" s="225"/>
    </row>
    <row r="29" spans="2:11" x14ac:dyDescent="0.25">
      <c r="B29" s="226" t="s">
        <v>130</v>
      </c>
    </row>
    <row r="31" spans="2:11" x14ac:dyDescent="0.25">
      <c r="K31" s="227"/>
    </row>
    <row r="37" spans="2:2" x14ac:dyDescent="0.25">
      <c r="B37" s="179" t="s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workbookViewId="0">
      <selection activeCell="B12" sqref="B12"/>
    </sheetView>
  </sheetViews>
  <sheetFormatPr baseColWidth="10" defaultRowHeight="13.2" x14ac:dyDescent="0.25"/>
  <cols>
    <col min="3" max="3" width="39.44140625" bestFit="1" customWidth="1"/>
    <col min="7" max="7" width="12.44140625" bestFit="1" customWidth="1"/>
    <col min="9" max="9" width="18.33203125" bestFit="1" customWidth="1"/>
  </cols>
  <sheetData>
    <row r="3" spans="2:15" ht="13.8" thickBot="1" x14ac:dyDescent="0.3"/>
    <row r="4" spans="2:15" ht="13.5" customHeight="1" thickBot="1" x14ac:dyDescent="0.3">
      <c r="B4" s="228" t="s">
        <v>68</v>
      </c>
      <c r="C4" s="229"/>
      <c r="D4" s="229"/>
      <c r="E4" s="229"/>
      <c r="F4" s="229"/>
      <c r="G4" s="230"/>
      <c r="H4" s="92"/>
      <c r="I4" s="97" t="s">
        <v>44</v>
      </c>
      <c r="J4" s="93" t="s">
        <v>45</v>
      </c>
      <c r="K4" s="93" t="s">
        <v>46</v>
      </c>
      <c r="L4" s="92"/>
      <c r="M4" s="92"/>
      <c r="N4" s="92"/>
      <c r="O4" s="92"/>
    </row>
    <row r="5" spans="2:15" ht="12.75" customHeight="1" x14ac:dyDescent="0.25">
      <c r="B5" s="231" t="s">
        <v>47</v>
      </c>
      <c r="C5" s="233" t="s">
        <v>48</v>
      </c>
      <c r="D5" s="231" t="s">
        <v>49</v>
      </c>
      <c r="E5" s="234" t="s">
        <v>50</v>
      </c>
      <c r="F5" s="234" t="s">
        <v>51</v>
      </c>
      <c r="G5" s="236" t="s">
        <v>52</v>
      </c>
      <c r="H5" s="92"/>
      <c r="I5" s="157" t="s">
        <v>71</v>
      </c>
      <c r="J5" s="161" t="e">
        <f>SUM(G16)</f>
        <v>#REF!</v>
      </c>
      <c r="K5" s="159" t="e">
        <f>J5/J7</f>
        <v>#REF!</v>
      </c>
      <c r="L5" s="92"/>
      <c r="M5" s="92"/>
      <c r="N5" s="92"/>
      <c r="O5" s="92"/>
    </row>
    <row r="6" spans="2:15" ht="13.8" thickBot="1" x14ac:dyDescent="0.3">
      <c r="B6" s="232"/>
      <c r="C6" s="232"/>
      <c r="D6" s="232"/>
      <c r="E6" s="235"/>
      <c r="F6" s="235"/>
      <c r="G6" s="237"/>
      <c r="H6" s="92"/>
      <c r="I6" s="158" t="s">
        <v>75</v>
      </c>
      <c r="J6" s="162" t="e">
        <f>SUM(G34)</f>
        <v>#REF!</v>
      </c>
      <c r="K6" s="160" t="e">
        <f>J6/J7</f>
        <v>#REF!</v>
      </c>
      <c r="L6" s="92"/>
      <c r="M6" s="92"/>
      <c r="N6" s="92"/>
      <c r="O6" s="92"/>
    </row>
    <row r="7" spans="2:15" ht="13.8" thickBot="1" x14ac:dyDescent="0.3">
      <c r="B7" s="102" t="s">
        <v>53</v>
      </c>
      <c r="C7" s="105" t="s">
        <v>98</v>
      </c>
      <c r="D7" s="102" t="s">
        <v>83</v>
      </c>
      <c r="E7" s="103" t="e">
        <f>#REF!</f>
        <v>#REF!</v>
      </c>
      <c r="F7" s="131" t="e">
        <f>SUM(#REF!)</f>
        <v>#REF!</v>
      </c>
      <c r="G7" s="103" t="e">
        <f t="shared" ref="G7:G13" si="0">F7*E7</f>
        <v>#REF!</v>
      </c>
      <c r="H7" s="92"/>
      <c r="I7" s="163" t="s">
        <v>88</v>
      </c>
      <c r="J7" s="164" t="e">
        <f>SUM(J5:J6)</f>
        <v>#REF!</v>
      </c>
      <c r="K7" s="165" t="e">
        <f>SUM(K5:K6)</f>
        <v>#REF!</v>
      </c>
      <c r="L7" s="92"/>
      <c r="M7" s="92"/>
      <c r="N7" s="92"/>
      <c r="O7" s="92"/>
    </row>
    <row r="8" spans="2:15" x14ac:dyDescent="0.25">
      <c r="B8" s="102" t="s">
        <v>53</v>
      </c>
      <c r="C8" s="105" t="s">
        <v>99</v>
      </c>
      <c r="D8" s="104" t="s">
        <v>54</v>
      </c>
      <c r="E8" s="105" t="e">
        <f>#REF!</f>
        <v>#REF!</v>
      </c>
      <c r="F8" s="132" t="e">
        <f>SUM(#REF!)</f>
        <v>#REF!</v>
      </c>
      <c r="G8" s="105" t="e">
        <f t="shared" si="0"/>
        <v>#REF!</v>
      </c>
      <c r="H8" s="92"/>
      <c r="I8" s="92"/>
      <c r="J8" s="92"/>
      <c r="K8" s="94"/>
      <c r="L8" s="92"/>
      <c r="M8" s="92"/>
      <c r="N8" s="92"/>
      <c r="O8" s="92"/>
    </row>
    <row r="9" spans="2:15" x14ac:dyDescent="0.25">
      <c r="B9" s="102" t="s">
        <v>53</v>
      </c>
      <c r="C9" s="103" t="s">
        <v>100</v>
      </c>
      <c r="D9" s="104" t="s">
        <v>70</v>
      </c>
      <c r="E9" s="105" t="e">
        <f>#REF!</f>
        <v>#REF!</v>
      </c>
      <c r="F9" s="132" t="e">
        <f>SUM(#REF!)</f>
        <v>#REF!</v>
      </c>
      <c r="G9" s="105" t="e">
        <f t="shared" si="0"/>
        <v>#REF!</v>
      </c>
      <c r="H9" s="92"/>
      <c r="I9" s="92"/>
      <c r="J9" s="92"/>
      <c r="K9" s="94"/>
      <c r="L9" s="92"/>
      <c r="M9" s="92"/>
      <c r="N9" s="92"/>
      <c r="O9" s="92"/>
    </row>
    <row r="10" spans="2:15" x14ac:dyDescent="0.25">
      <c r="B10" s="102" t="s">
        <v>53</v>
      </c>
      <c r="C10" s="105" t="s">
        <v>101</v>
      </c>
      <c r="D10" s="104" t="s">
        <v>62</v>
      </c>
      <c r="E10" s="103" t="e">
        <f>#REF!</f>
        <v>#REF!</v>
      </c>
      <c r="F10" s="103" t="e">
        <f>SUM(#REF!)</f>
        <v>#REF!</v>
      </c>
      <c r="G10" s="103" t="e">
        <f t="shared" si="0"/>
        <v>#REF!</v>
      </c>
      <c r="H10" s="92"/>
      <c r="I10" s="92"/>
      <c r="J10" s="92"/>
      <c r="K10" s="94"/>
      <c r="L10" s="92"/>
      <c r="M10" s="92"/>
      <c r="N10" s="92"/>
      <c r="O10" s="92"/>
    </row>
    <row r="11" spans="2:15" x14ac:dyDescent="0.25">
      <c r="B11" s="105" t="s">
        <v>53</v>
      </c>
      <c r="C11" s="105" t="s">
        <v>102</v>
      </c>
      <c r="D11" s="104" t="s">
        <v>62</v>
      </c>
      <c r="E11" s="105" t="e">
        <f>#REF!</f>
        <v>#REF!</v>
      </c>
      <c r="F11" s="105" t="e">
        <f>SUM(#REF!)</f>
        <v>#REF!</v>
      </c>
      <c r="G11" s="105" t="e">
        <f t="shared" si="0"/>
        <v>#REF!</v>
      </c>
      <c r="H11" s="92"/>
      <c r="I11" s="92"/>
      <c r="J11" s="92"/>
      <c r="K11" s="94"/>
      <c r="L11" s="92"/>
      <c r="M11" s="92"/>
      <c r="N11" s="92"/>
      <c r="O11" s="92"/>
    </row>
    <row r="12" spans="2:15" x14ac:dyDescent="0.25">
      <c r="B12" s="105" t="s">
        <v>55</v>
      </c>
      <c r="C12" s="105" t="s">
        <v>102</v>
      </c>
      <c r="D12" s="104" t="s">
        <v>62</v>
      </c>
      <c r="E12" s="105" t="e">
        <f>SUM(#REF!)</f>
        <v>#REF!</v>
      </c>
      <c r="F12" s="132" t="e">
        <f>SUM(#REF!)</f>
        <v>#REF!</v>
      </c>
      <c r="G12" s="105" t="e">
        <f>F12*E12</f>
        <v>#REF!</v>
      </c>
      <c r="H12" s="92"/>
      <c r="I12" s="92"/>
      <c r="J12" s="92"/>
      <c r="K12" s="94"/>
      <c r="L12" s="92"/>
      <c r="M12" s="92"/>
      <c r="N12" s="92"/>
      <c r="O12" s="92"/>
    </row>
    <row r="13" spans="2:15" ht="13.8" thickBot="1" x14ac:dyDescent="0.3">
      <c r="B13" s="105" t="s">
        <v>60</v>
      </c>
      <c r="C13" s="105" t="s">
        <v>65</v>
      </c>
      <c r="D13" s="104" t="s">
        <v>70</v>
      </c>
      <c r="E13" s="105" t="e">
        <f>SUM(#REF!)</f>
        <v>#REF!</v>
      </c>
      <c r="F13" s="105" t="e">
        <f>SUM(#REF!)</f>
        <v>#REF!</v>
      </c>
      <c r="G13" s="105" t="e">
        <f t="shared" si="0"/>
        <v>#REF!</v>
      </c>
      <c r="H13" s="92"/>
      <c r="I13" s="92"/>
      <c r="J13" s="92"/>
      <c r="K13" s="94"/>
      <c r="L13" s="92"/>
      <c r="M13" s="92"/>
      <c r="N13" s="92"/>
      <c r="O13" s="92"/>
    </row>
    <row r="14" spans="2:15" ht="13.8" thickBot="1" x14ac:dyDescent="0.3">
      <c r="B14" s="242" t="s">
        <v>58</v>
      </c>
      <c r="C14" s="243"/>
      <c r="D14" s="243"/>
      <c r="E14" s="244"/>
      <c r="F14" s="243"/>
      <c r="G14" s="245"/>
      <c r="H14" s="99"/>
      <c r="I14" s="92"/>
      <c r="J14" s="92"/>
      <c r="K14" s="92"/>
      <c r="L14" s="92"/>
      <c r="M14" s="92"/>
      <c r="N14" s="92"/>
      <c r="O14" s="92"/>
    </row>
    <row r="15" spans="2:15" ht="15" thickBot="1" x14ac:dyDescent="0.35">
      <c r="B15" s="106" t="s">
        <v>53</v>
      </c>
      <c r="C15" s="120" t="s">
        <v>78</v>
      </c>
      <c r="D15" s="107" t="s">
        <v>62</v>
      </c>
      <c r="E15" s="91" t="e">
        <f>SUM(#REF!)</f>
        <v>#REF!</v>
      </c>
      <c r="F15" s="98" t="e">
        <f>SUM(#REF!)</f>
        <v>#REF!</v>
      </c>
      <c r="G15" s="91" t="e">
        <f>F15*E15</f>
        <v>#REF!</v>
      </c>
      <c r="H15" s="92"/>
      <c r="I15" s="92"/>
      <c r="J15" s="92"/>
      <c r="K15" s="92"/>
      <c r="L15" s="92"/>
      <c r="M15" s="92"/>
      <c r="N15" s="92"/>
      <c r="O15" s="92"/>
    </row>
    <row r="16" spans="2:15" ht="13.8" thickBot="1" x14ac:dyDescent="0.3">
      <c r="B16" s="241" t="s">
        <v>59</v>
      </c>
      <c r="C16" s="239"/>
      <c r="D16" s="239"/>
      <c r="E16" s="239"/>
      <c r="F16" s="240"/>
      <c r="G16" s="95" t="e">
        <f>SUM(G7:G13)+SUM(G15:G15)</f>
        <v>#REF!</v>
      </c>
      <c r="H16" s="92"/>
      <c r="I16" s="92"/>
      <c r="J16" s="92"/>
      <c r="K16" s="92"/>
      <c r="L16" s="92"/>
      <c r="M16" s="92"/>
      <c r="N16" s="92"/>
      <c r="O16" s="92"/>
    </row>
    <row r="17" spans="2:15" x14ac:dyDescent="0.2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</row>
    <row r="18" spans="2:15" x14ac:dyDescent="0.25"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</row>
    <row r="19" spans="2:15" x14ac:dyDescent="0.25"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</row>
    <row r="20" spans="2:15" ht="13.8" thickBot="1" x14ac:dyDescent="0.3"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2:15" ht="13.8" thickBot="1" x14ac:dyDescent="0.3">
      <c r="B21" s="228" t="s">
        <v>74</v>
      </c>
      <c r="C21" s="229"/>
      <c r="D21" s="229"/>
      <c r="E21" s="229"/>
      <c r="F21" s="229"/>
      <c r="G21" s="230"/>
      <c r="H21" s="92"/>
      <c r="I21" s="92"/>
      <c r="J21" s="92"/>
      <c r="K21" s="92"/>
      <c r="L21" s="92"/>
      <c r="M21" s="92"/>
      <c r="N21" s="92"/>
      <c r="O21" s="92"/>
    </row>
    <row r="22" spans="2:15" x14ac:dyDescent="0.25">
      <c r="B22" s="246" t="s">
        <v>47</v>
      </c>
      <c r="C22" s="233" t="s">
        <v>48</v>
      </c>
      <c r="D22" s="248" t="s">
        <v>49</v>
      </c>
      <c r="E22" s="234" t="s">
        <v>50</v>
      </c>
      <c r="F22" s="250" t="s">
        <v>51</v>
      </c>
      <c r="G22" s="252" t="s">
        <v>52</v>
      </c>
      <c r="H22" s="92"/>
      <c r="I22" s="92"/>
      <c r="J22" s="92"/>
      <c r="K22" s="92"/>
      <c r="L22" s="92"/>
      <c r="M22" s="92"/>
      <c r="N22" s="92"/>
      <c r="O22" s="92"/>
    </row>
    <row r="23" spans="2:15" ht="13.8" thickBot="1" x14ac:dyDescent="0.3">
      <c r="B23" s="247"/>
      <c r="C23" s="232"/>
      <c r="D23" s="249"/>
      <c r="E23" s="235"/>
      <c r="F23" s="251"/>
      <c r="G23" s="253"/>
      <c r="H23" s="92"/>
      <c r="I23" s="92"/>
      <c r="J23" s="92"/>
      <c r="K23" s="92"/>
      <c r="L23" s="92"/>
      <c r="M23" s="92"/>
      <c r="N23" s="92"/>
      <c r="O23" s="92"/>
    </row>
    <row r="24" spans="2:15" ht="13.5" customHeight="1" x14ac:dyDescent="0.25">
      <c r="B24" s="102" t="s">
        <v>55</v>
      </c>
      <c r="C24" s="105" t="s">
        <v>87</v>
      </c>
      <c r="D24" s="112" t="s">
        <v>54</v>
      </c>
      <c r="E24" s="113" t="e">
        <f>+#REF!</f>
        <v>#REF!</v>
      </c>
      <c r="F24" s="113" t="e">
        <f>SUM(#REF!)</f>
        <v>#REF!</v>
      </c>
      <c r="G24" s="114" t="e">
        <f t="shared" ref="G24:G30" si="1">E24*F24</f>
        <v>#REF!</v>
      </c>
      <c r="H24" s="92"/>
      <c r="I24" s="92"/>
      <c r="J24" s="92"/>
      <c r="K24" s="92"/>
      <c r="L24" s="92"/>
      <c r="M24" s="92"/>
      <c r="N24" s="92"/>
      <c r="O24" s="92"/>
    </row>
    <row r="25" spans="2:15" ht="13.5" customHeight="1" x14ac:dyDescent="0.25">
      <c r="B25" s="102" t="s">
        <v>55</v>
      </c>
      <c r="C25" s="105" t="s">
        <v>64</v>
      </c>
      <c r="D25" s="112" t="s">
        <v>83</v>
      </c>
      <c r="E25" s="113" t="e">
        <f>+#REF!</f>
        <v>#REF!</v>
      </c>
      <c r="F25" s="113" t="e">
        <f>SUM(#REF!)</f>
        <v>#REF!</v>
      </c>
      <c r="G25" s="114" t="e">
        <f t="shared" si="1"/>
        <v>#REF!</v>
      </c>
      <c r="H25" s="92"/>
      <c r="I25" s="92"/>
      <c r="J25" s="92"/>
      <c r="K25" s="92"/>
      <c r="L25" s="92"/>
      <c r="M25" s="92"/>
      <c r="N25" s="92"/>
      <c r="O25" s="92"/>
    </row>
    <row r="26" spans="2:15" ht="13.5" customHeight="1" x14ac:dyDescent="0.25">
      <c r="B26" s="102" t="s">
        <v>55</v>
      </c>
      <c r="C26" s="105" t="s">
        <v>95</v>
      </c>
      <c r="D26" s="112" t="s">
        <v>83</v>
      </c>
      <c r="E26" s="113" t="e">
        <f>+#REF!</f>
        <v>#REF!</v>
      </c>
      <c r="F26" s="113" t="e">
        <f>SUM(#REF!)</f>
        <v>#REF!</v>
      </c>
      <c r="G26" s="114" t="e">
        <f t="shared" si="1"/>
        <v>#REF!</v>
      </c>
      <c r="H26" s="92"/>
      <c r="I26" s="92"/>
      <c r="J26" s="92"/>
      <c r="K26" s="92"/>
      <c r="L26" s="92"/>
      <c r="M26" s="92"/>
      <c r="N26" s="92"/>
      <c r="O26" s="92"/>
    </row>
    <row r="27" spans="2:15" x14ac:dyDescent="0.25">
      <c r="B27" s="102" t="s">
        <v>56</v>
      </c>
      <c r="C27" s="105" t="s">
        <v>57</v>
      </c>
      <c r="D27" s="112" t="s">
        <v>54</v>
      </c>
      <c r="E27" s="112" t="e">
        <f>+#REF!</f>
        <v>#REF!</v>
      </c>
      <c r="F27" s="113" t="e">
        <f>SUM(#REF!)</f>
        <v>#REF!</v>
      </c>
      <c r="G27" s="114" t="e">
        <f t="shared" si="1"/>
        <v>#REF!</v>
      </c>
      <c r="H27" s="92"/>
      <c r="I27" s="92"/>
      <c r="J27" s="92"/>
      <c r="K27" s="92"/>
      <c r="L27" s="92"/>
      <c r="M27" s="92"/>
      <c r="N27" s="92"/>
      <c r="O27" s="92"/>
    </row>
    <row r="28" spans="2:15" x14ac:dyDescent="0.25">
      <c r="B28" s="105" t="s">
        <v>60</v>
      </c>
      <c r="C28" s="103" t="s">
        <v>33</v>
      </c>
      <c r="D28" s="112" t="s">
        <v>61</v>
      </c>
      <c r="E28" s="112" t="e">
        <f>SUM(#REF!)</f>
        <v>#REF!</v>
      </c>
      <c r="F28" s="113" t="e">
        <f>SUM(#REF!)</f>
        <v>#REF!</v>
      </c>
      <c r="G28" s="114" t="e">
        <f t="shared" si="1"/>
        <v>#REF!</v>
      </c>
      <c r="H28" s="92"/>
      <c r="I28" s="92"/>
      <c r="J28" s="92"/>
      <c r="K28" s="92"/>
      <c r="L28" s="92"/>
      <c r="M28" s="92"/>
      <c r="N28" s="92"/>
      <c r="O28" s="92"/>
    </row>
    <row r="29" spans="2:15" x14ac:dyDescent="0.25">
      <c r="B29" s="105" t="s">
        <v>60</v>
      </c>
      <c r="C29" s="103" t="s">
        <v>26</v>
      </c>
      <c r="D29" s="112" t="s">
        <v>61</v>
      </c>
      <c r="E29" s="112" t="e">
        <f>SUM(#REF!)</f>
        <v>#REF!</v>
      </c>
      <c r="F29" s="113" t="e">
        <f>SUM(#REF!)</f>
        <v>#REF!</v>
      </c>
      <c r="G29" s="114" t="e">
        <f t="shared" si="1"/>
        <v>#REF!</v>
      </c>
      <c r="H29" s="92"/>
      <c r="I29" s="92"/>
      <c r="J29" s="92"/>
      <c r="K29" s="92"/>
      <c r="L29" s="92"/>
      <c r="M29" s="92"/>
      <c r="N29" s="92"/>
      <c r="O29" s="92"/>
    </row>
    <row r="30" spans="2:15" ht="13.8" thickBot="1" x14ac:dyDescent="0.3">
      <c r="B30" s="105" t="s">
        <v>60</v>
      </c>
      <c r="C30" s="103" t="s">
        <v>34</v>
      </c>
      <c r="D30" s="112" t="s">
        <v>61</v>
      </c>
      <c r="E30" s="112" t="e">
        <f>SUM(#REF!)</f>
        <v>#REF!</v>
      </c>
      <c r="F30" s="113" t="e">
        <f>SUM(#REF!)</f>
        <v>#REF!</v>
      </c>
      <c r="G30" s="114" t="e">
        <f t="shared" si="1"/>
        <v>#REF!</v>
      </c>
      <c r="H30" s="92"/>
      <c r="I30" s="92"/>
      <c r="J30" s="92"/>
      <c r="K30" s="92"/>
      <c r="L30" s="92"/>
      <c r="M30" s="92"/>
      <c r="N30" s="92"/>
      <c r="O30" s="92"/>
    </row>
    <row r="31" spans="2:15" ht="13.8" thickBot="1" x14ac:dyDescent="0.3">
      <c r="B31" s="238" t="s">
        <v>58</v>
      </c>
      <c r="C31" s="239"/>
      <c r="D31" s="239"/>
      <c r="E31" s="239"/>
      <c r="F31" s="239"/>
      <c r="G31" s="240"/>
      <c r="H31" s="92"/>
      <c r="I31" s="92"/>
      <c r="J31" s="92"/>
      <c r="K31" s="92"/>
      <c r="L31" s="92"/>
      <c r="M31" s="92"/>
      <c r="N31" s="92"/>
      <c r="O31" s="92"/>
    </row>
    <row r="32" spans="2:15" ht="12.75" customHeight="1" x14ac:dyDescent="0.25">
      <c r="B32" s="107" t="s">
        <v>63</v>
      </c>
      <c r="C32" s="115" t="s">
        <v>77</v>
      </c>
      <c r="D32" s="108" t="s">
        <v>61</v>
      </c>
      <c r="E32" s="116" t="e">
        <f>+#REF!</f>
        <v>#REF!</v>
      </c>
      <c r="F32" s="110" t="e">
        <f>SUM(#REF!)</f>
        <v>#REF!</v>
      </c>
      <c r="G32" s="111" t="e">
        <f>F32*E32</f>
        <v>#REF!</v>
      </c>
      <c r="H32" s="92"/>
      <c r="I32" s="92"/>
      <c r="J32" s="92"/>
      <c r="K32" s="92"/>
      <c r="L32" s="92"/>
      <c r="M32" s="92"/>
      <c r="N32" s="92"/>
      <c r="O32" s="92"/>
    </row>
    <row r="33" spans="2:7" ht="13.5" customHeight="1" thickBot="1" x14ac:dyDescent="0.3">
      <c r="B33" s="117" t="s">
        <v>63</v>
      </c>
      <c r="C33" s="115" t="s">
        <v>81</v>
      </c>
      <c r="D33" s="118" t="s">
        <v>61</v>
      </c>
      <c r="E33" s="109" t="e">
        <f>+#REF!</f>
        <v>#REF!</v>
      </c>
      <c r="F33" s="110" t="e">
        <f>SUM(#REF!)</f>
        <v>#REF!</v>
      </c>
      <c r="G33" s="119" t="e">
        <f>F33*E33</f>
        <v>#REF!</v>
      </c>
    </row>
    <row r="34" spans="2:7" ht="12.75" customHeight="1" thickBot="1" x14ac:dyDescent="0.3">
      <c r="B34" s="241" t="s">
        <v>59</v>
      </c>
      <c r="C34" s="239"/>
      <c r="D34" s="239"/>
      <c r="E34" s="239"/>
      <c r="F34" s="240"/>
      <c r="G34" s="96" t="e">
        <f>SUM(G24:G30)+G32+G33</f>
        <v>#REF!</v>
      </c>
    </row>
    <row r="35" spans="2:7" ht="13.5" customHeight="1" x14ac:dyDescent="0.25"/>
    <row r="36" spans="2:7" ht="12.75" customHeight="1" x14ac:dyDescent="0.25"/>
    <row r="37" spans="2:7" ht="13.5" customHeight="1" x14ac:dyDescent="0.25"/>
    <row r="38" spans="2:7" ht="12.75" customHeight="1" x14ac:dyDescent="0.25"/>
    <row r="39" spans="2:7" ht="13.5" customHeight="1" x14ac:dyDescent="0.25"/>
    <row r="40" spans="2:7" ht="12.75" customHeight="1" x14ac:dyDescent="0.25"/>
    <row r="41" spans="2:7" ht="13.5" customHeight="1" x14ac:dyDescent="0.25"/>
  </sheetData>
  <mergeCells count="18">
    <mergeCell ref="B31:G31"/>
    <mergeCell ref="B34:F34"/>
    <mergeCell ref="B14:G14"/>
    <mergeCell ref="B16:F16"/>
    <mergeCell ref="B21:G21"/>
    <mergeCell ref="B22:B23"/>
    <mergeCell ref="C22:C23"/>
    <mergeCell ref="D22:D23"/>
    <mergeCell ref="E22:E23"/>
    <mergeCell ref="F22:F23"/>
    <mergeCell ref="G22:G23"/>
    <mergeCell ref="B4:G4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54"/>
  <sheetViews>
    <sheetView zoomScale="77" zoomScaleNormal="77" workbookViewId="0">
      <selection activeCell="O51" sqref="O51"/>
    </sheetView>
  </sheetViews>
  <sheetFormatPr baseColWidth="10" defaultColWidth="11.44140625" defaultRowHeight="14.4" x14ac:dyDescent="0.3"/>
  <cols>
    <col min="1" max="1" width="4.6640625" style="2" customWidth="1"/>
    <col min="2" max="2" width="14.5546875" style="2" customWidth="1"/>
    <col min="3" max="3" width="53.44140625" style="2" customWidth="1"/>
    <col min="4" max="4" width="14.44140625" style="2" customWidth="1"/>
    <col min="5" max="8" width="3.44140625" style="2" bestFit="1" customWidth="1"/>
    <col min="9" max="14" width="3.6640625" style="2" customWidth="1"/>
    <col min="15" max="15" width="4.44140625" style="2" customWidth="1"/>
    <col min="16" max="18" width="3.6640625" style="2" customWidth="1"/>
    <col min="19" max="19" width="8.33203125" style="2" customWidth="1"/>
    <col min="20" max="20" width="8" style="2" customWidth="1"/>
    <col min="21" max="21" width="8.33203125" style="2" customWidth="1"/>
    <col min="22" max="22" width="14.5546875" style="2" bestFit="1" customWidth="1"/>
    <col min="23" max="23" width="11.44140625" style="2"/>
    <col min="24" max="25" width="12.6640625" style="2" bestFit="1" customWidth="1"/>
    <col min="26" max="26" width="11.5546875" style="2" bestFit="1" customWidth="1"/>
    <col min="27" max="29" width="11.44140625" style="2"/>
    <col min="30" max="31" width="13.5546875" style="2" bestFit="1" customWidth="1"/>
    <col min="32" max="16384" width="11.44140625" style="2"/>
  </cols>
  <sheetData>
    <row r="2" spans="2:31" x14ac:dyDescent="0.3">
      <c r="V2" s="13"/>
    </row>
    <row r="3" spans="2:31" x14ac:dyDescent="0.3">
      <c r="C3" s="14"/>
      <c r="T3" s="1" t="s">
        <v>29</v>
      </c>
    </row>
    <row r="4" spans="2:31" x14ac:dyDescent="0.3"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T4" s="283" t="s">
        <v>30</v>
      </c>
      <c r="U4" s="283"/>
      <c r="V4" s="16" t="s">
        <v>67</v>
      </c>
      <c r="W4" s="1"/>
      <c r="X4" s="1"/>
    </row>
    <row r="5" spans="2:31" x14ac:dyDescent="0.3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68" t="s">
        <v>42</v>
      </c>
      <c r="U5" s="168"/>
      <c r="V5" s="16" t="s">
        <v>73</v>
      </c>
      <c r="W5" s="1"/>
      <c r="X5" s="1"/>
    </row>
    <row r="6" spans="2:31" x14ac:dyDescent="0.3">
      <c r="C6" s="1" t="s">
        <v>24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68" t="s">
        <v>23</v>
      </c>
      <c r="U6" s="168"/>
      <c r="V6" s="16" t="s">
        <v>41</v>
      </c>
      <c r="AD6" s="56"/>
      <c r="AE6" s="57"/>
    </row>
    <row r="7" spans="2:31" x14ac:dyDescent="0.3">
      <c r="C7" s="1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83" t="s">
        <v>21</v>
      </c>
      <c r="U7" s="283"/>
      <c r="V7" s="17" t="s">
        <v>22</v>
      </c>
      <c r="AD7" s="56"/>
      <c r="AE7" s="57"/>
    </row>
    <row r="8" spans="2:31" x14ac:dyDescent="0.3">
      <c r="C8" s="1" t="s">
        <v>25</v>
      </c>
      <c r="E8" s="177"/>
      <c r="F8" s="177"/>
      <c r="G8" s="172"/>
      <c r="H8" s="169"/>
      <c r="I8" s="284"/>
      <c r="J8" s="284"/>
      <c r="K8" s="284"/>
      <c r="L8" s="169"/>
      <c r="M8" s="169"/>
      <c r="N8" s="169"/>
      <c r="O8" s="169"/>
      <c r="P8" s="169"/>
      <c r="Q8" s="169"/>
      <c r="R8" s="169"/>
      <c r="T8" s="283" t="s">
        <v>18</v>
      </c>
      <c r="U8" s="283"/>
      <c r="V8" s="53">
        <f>629.69*1000</f>
        <v>629690</v>
      </c>
      <c r="W8" s="53"/>
      <c r="AD8" s="56"/>
      <c r="AE8" s="59"/>
    </row>
    <row r="9" spans="2:31" ht="15" thickBot="1" x14ac:dyDescent="0.35">
      <c r="C9" s="1"/>
      <c r="I9" s="285"/>
      <c r="J9" s="285"/>
      <c r="K9" s="285"/>
      <c r="L9" s="285"/>
      <c r="M9" s="285"/>
      <c r="N9" s="285"/>
      <c r="O9" s="285"/>
      <c r="P9" s="285"/>
      <c r="Q9" s="285"/>
      <c r="R9" s="285"/>
    </row>
    <row r="10" spans="2:31" ht="15" thickBot="1" x14ac:dyDescent="0.35">
      <c r="B10" s="280" t="s">
        <v>17</v>
      </c>
      <c r="C10" s="281"/>
      <c r="D10" s="282"/>
      <c r="E10" s="280" t="s">
        <v>97</v>
      </c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6"/>
      <c r="AE10" s="59"/>
    </row>
    <row r="11" spans="2:31" x14ac:dyDescent="0.3">
      <c r="B11" s="276" t="s">
        <v>9</v>
      </c>
      <c r="C11" s="276" t="s">
        <v>8</v>
      </c>
      <c r="D11" s="278" t="s">
        <v>10</v>
      </c>
      <c r="E11" s="125" t="s">
        <v>1</v>
      </c>
      <c r="F11" s="125" t="s">
        <v>2</v>
      </c>
      <c r="G11" s="125" t="s">
        <v>2</v>
      </c>
      <c r="H11" s="125" t="s">
        <v>3</v>
      </c>
      <c r="I11" s="125" t="s">
        <v>4</v>
      </c>
      <c r="J11" s="125" t="s">
        <v>5</v>
      </c>
      <c r="K11" s="151" t="s">
        <v>0</v>
      </c>
      <c r="L11" s="127" t="s">
        <v>1</v>
      </c>
      <c r="M11" s="125" t="s">
        <v>2</v>
      </c>
      <c r="N11" s="125" t="s">
        <v>2</v>
      </c>
      <c r="O11" s="125" t="s">
        <v>3</v>
      </c>
      <c r="P11" s="127" t="s">
        <v>4</v>
      </c>
      <c r="Q11" s="125" t="s">
        <v>5</v>
      </c>
      <c r="R11" s="152" t="s">
        <v>0</v>
      </c>
      <c r="S11" s="278" t="s">
        <v>11</v>
      </c>
      <c r="T11" s="270" t="s">
        <v>12</v>
      </c>
      <c r="U11" s="278" t="s">
        <v>7</v>
      </c>
      <c r="V11" s="270" t="s">
        <v>13</v>
      </c>
      <c r="W11" s="18" t="s">
        <v>14</v>
      </c>
      <c r="X11" s="19" t="s">
        <v>16</v>
      </c>
      <c r="Y11" s="18" t="s">
        <v>15</v>
      </c>
      <c r="Z11" s="272" t="s">
        <v>31</v>
      </c>
      <c r="AC11" s="59"/>
      <c r="AD11" s="122"/>
    </row>
    <row r="12" spans="2:31" ht="15" thickBot="1" x14ac:dyDescent="0.35">
      <c r="B12" s="277"/>
      <c r="C12" s="277"/>
      <c r="D12" s="279"/>
      <c r="E12" s="126">
        <v>1</v>
      </c>
      <c r="F12" s="126">
        <v>2</v>
      </c>
      <c r="G12" s="126">
        <v>3</v>
      </c>
      <c r="H12" s="126">
        <v>4</v>
      </c>
      <c r="I12" s="126">
        <v>5</v>
      </c>
      <c r="J12" s="126">
        <v>6</v>
      </c>
      <c r="K12" s="126">
        <v>7</v>
      </c>
      <c r="L12" s="126">
        <v>8</v>
      </c>
      <c r="M12" s="126">
        <v>9</v>
      </c>
      <c r="N12" s="126">
        <v>10</v>
      </c>
      <c r="O12" s="126">
        <v>11</v>
      </c>
      <c r="P12" s="126">
        <v>12</v>
      </c>
      <c r="Q12" s="126">
        <v>13</v>
      </c>
      <c r="R12" s="126">
        <v>14</v>
      </c>
      <c r="S12" s="279"/>
      <c r="T12" s="271"/>
      <c r="U12" s="279"/>
      <c r="V12" s="271"/>
      <c r="W12" s="155" t="s">
        <v>6</v>
      </c>
      <c r="X12" s="156" t="s">
        <v>19</v>
      </c>
      <c r="Y12" s="155" t="s">
        <v>20</v>
      </c>
      <c r="Z12" s="273"/>
      <c r="AC12" s="59"/>
      <c r="AD12" s="122"/>
      <c r="AE12" s="59"/>
    </row>
    <row r="13" spans="2:31" s="88" customFormat="1" x14ac:dyDescent="0.3">
      <c r="B13" s="262" t="s">
        <v>91</v>
      </c>
      <c r="C13" s="256" t="s">
        <v>96</v>
      </c>
      <c r="D13" s="134" t="s">
        <v>27</v>
      </c>
      <c r="E13" s="26">
        <v>1</v>
      </c>
      <c r="F13" s="26"/>
      <c r="G13" s="26"/>
      <c r="H13" s="26"/>
      <c r="I13" s="26"/>
      <c r="J13" s="26"/>
      <c r="K13" s="124"/>
      <c r="L13" s="26"/>
      <c r="M13" s="26"/>
      <c r="N13" s="26"/>
      <c r="O13" s="26"/>
      <c r="P13" s="26"/>
      <c r="Q13" s="26"/>
      <c r="R13" s="153"/>
      <c r="S13" s="140">
        <f>SUM(E13:R13)</f>
        <v>1</v>
      </c>
      <c r="T13" s="173">
        <v>6.5</v>
      </c>
      <c r="U13" s="43">
        <f t="shared" ref="U13:U20" si="0">S13*T13</f>
        <v>6.5</v>
      </c>
      <c r="V13" s="30">
        <f t="shared" ref="V13:V20" si="1">$V$8/1000*T13/100*1000</f>
        <v>40929.850000000006</v>
      </c>
      <c r="W13" s="30">
        <f t="shared" ref="W13:W20" si="2">S13*V13</f>
        <v>40929.850000000006</v>
      </c>
      <c r="X13" s="32">
        <f>(2200/30)*20</f>
        <v>1466.6666666666665</v>
      </c>
      <c r="Y13" s="31">
        <f>S13*X13</f>
        <v>1466.6666666666665</v>
      </c>
      <c r="Z13" s="31">
        <f t="shared" ref="Z13:Z20" si="3">+X13*1000/V13</f>
        <v>35.833668255971283</v>
      </c>
      <c r="AB13" s="88" t="s">
        <v>89</v>
      </c>
      <c r="AC13" s="121">
        <f>SUM(U13,U14,U15,U16,U17,U18,U19,U20,U26,U27,U28,U29,U30,U36,U37,U38,U39,U40,U41,U42,U43,U45,U44,U31,U46,U47)</f>
        <v>240.5</v>
      </c>
      <c r="AD13" s="166">
        <f>AC13/U48</f>
        <v>0.63557082452431302</v>
      </c>
    </row>
    <row r="14" spans="2:31" s="88" customFormat="1" ht="15" thickBot="1" x14ac:dyDescent="0.35">
      <c r="B14" s="262"/>
      <c r="C14" s="257"/>
      <c r="D14" s="135" t="s">
        <v>28</v>
      </c>
      <c r="E14" s="176"/>
      <c r="F14" s="176">
        <v>1</v>
      </c>
      <c r="G14" s="171">
        <v>1</v>
      </c>
      <c r="H14" s="170">
        <v>1</v>
      </c>
      <c r="I14" s="170">
        <v>1</v>
      </c>
      <c r="J14" s="170"/>
      <c r="K14" s="123"/>
      <c r="L14" s="170">
        <v>1</v>
      </c>
      <c r="M14" s="170"/>
      <c r="N14" s="170"/>
      <c r="O14" s="170"/>
      <c r="P14" s="170"/>
      <c r="Q14" s="170"/>
      <c r="R14" s="154"/>
      <c r="S14" s="141">
        <f t="shared" ref="S14:S47" si="4">SUM(E14:R14)</f>
        <v>5</v>
      </c>
      <c r="T14" s="174">
        <v>6.5</v>
      </c>
      <c r="U14" s="44">
        <f t="shared" si="0"/>
        <v>32.5</v>
      </c>
      <c r="V14" s="20">
        <f t="shared" si="1"/>
        <v>40929.850000000006</v>
      </c>
      <c r="W14" s="20">
        <f t="shared" si="2"/>
        <v>204649.25000000003</v>
      </c>
      <c r="X14" s="33">
        <f>(2200/30)*10</f>
        <v>733.33333333333326</v>
      </c>
      <c r="Y14" s="21">
        <f>S14*X14</f>
        <v>3666.6666666666661</v>
      </c>
      <c r="Z14" s="21">
        <f t="shared" si="3"/>
        <v>17.916834127985641</v>
      </c>
      <c r="AB14" s="88" t="s">
        <v>90</v>
      </c>
      <c r="AC14" s="167">
        <f>SUM(U22,U23,U32,U33,U34,U35,U24,U25)</f>
        <v>137.89999999999998</v>
      </c>
      <c r="AD14" s="175">
        <f>AC14/U48</f>
        <v>0.36442917547568709</v>
      </c>
    </row>
    <row r="15" spans="2:31" x14ac:dyDescent="0.3">
      <c r="B15" s="262"/>
      <c r="C15" s="256" t="s">
        <v>79</v>
      </c>
      <c r="D15" s="134" t="s">
        <v>27</v>
      </c>
      <c r="E15" s="47"/>
      <c r="F15" s="47"/>
      <c r="G15" s="47"/>
      <c r="H15" s="47"/>
      <c r="I15" s="47"/>
      <c r="J15" s="47"/>
      <c r="K15" s="48"/>
      <c r="L15" s="47"/>
      <c r="M15" s="47"/>
      <c r="N15" s="47"/>
      <c r="O15" s="47"/>
      <c r="P15" s="47"/>
      <c r="Q15" s="47"/>
      <c r="R15" s="47"/>
      <c r="S15" s="142">
        <f t="shared" si="4"/>
        <v>0</v>
      </c>
      <c r="T15" s="54">
        <v>5.0999999999999996</v>
      </c>
      <c r="U15" s="43">
        <f t="shared" si="0"/>
        <v>0</v>
      </c>
      <c r="V15" s="30">
        <f t="shared" si="1"/>
        <v>32114.190000000002</v>
      </c>
      <c r="W15" s="30">
        <f t="shared" si="2"/>
        <v>0</v>
      </c>
      <c r="X15" s="31">
        <f>(2420/30)*20</f>
        <v>1613.3333333333335</v>
      </c>
      <c r="Y15" s="31">
        <f t="shared" ref="Y15:Y23" si="5">S15*X15</f>
        <v>0</v>
      </c>
      <c r="Z15" s="31">
        <f t="shared" si="3"/>
        <v>50.237397652979361</v>
      </c>
      <c r="AB15" s="101"/>
      <c r="AC15" s="87"/>
      <c r="AD15" s="58"/>
    </row>
    <row r="16" spans="2:31" ht="15" thickBot="1" x14ac:dyDescent="0.35">
      <c r="B16" s="262"/>
      <c r="C16" s="257"/>
      <c r="D16" s="135" t="s">
        <v>28</v>
      </c>
      <c r="E16" s="49">
        <v>1</v>
      </c>
      <c r="F16" s="49">
        <v>1</v>
      </c>
      <c r="G16" s="49">
        <v>1</v>
      </c>
      <c r="H16" s="49"/>
      <c r="I16" s="49"/>
      <c r="J16" s="49"/>
      <c r="K16" s="50"/>
      <c r="L16" s="49"/>
      <c r="M16" s="49"/>
      <c r="N16" s="49"/>
      <c r="O16" s="49"/>
      <c r="P16" s="49"/>
      <c r="Q16" s="49"/>
      <c r="R16" s="49"/>
      <c r="S16" s="143">
        <f t="shared" si="4"/>
        <v>3</v>
      </c>
      <c r="T16" s="55">
        <v>5.0999999999999996</v>
      </c>
      <c r="U16" s="44">
        <f t="shared" si="0"/>
        <v>15.299999999999999</v>
      </c>
      <c r="V16" s="20">
        <f t="shared" si="1"/>
        <v>32114.190000000002</v>
      </c>
      <c r="W16" s="20">
        <f t="shared" si="2"/>
        <v>96342.57</v>
      </c>
      <c r="X16" s="21">
        <f>(2420/30)*10</f>
        <v>806.66666666666674</v>
      </c>
      <c r="Y16" s="21">
        <f t="shared" si="5"/>
        <v>2420</v>
      </c>
      <c r="Z16" s="21">
        <f t="shared" si="3"/>
        <v>25.11869882648968</v>
      </c>
      <c r="AB16" s="87"/>
      <c r="AC16" s="59"/>
      <c r="AD16" s="58"/>
    </row>
    <row r="17" spans="2:30" x14ac:dyDescent="0.3">
      <c r="B17" s="262"/>
      <c r="C17" s="256" t="s">
        <v>80</v>
      </c>
      <c r="D17" s="134" t="s">
        <v>27</v>
      </c>
      <c r="E17" s="47"/>
      <c r="F17" s="47"/>
      <c r="G17" s="47"/>
      <c r="H17" s="47"/>
      <c r="I17" s="47"/>
      <c r="J17" s="47"/>
      <c r="K17" s="48"/>
      <c r="L17" s="47"/>
      <c r="M17" s="47"/>
      <c r="N17" s="47"/>
      <c r="O17" s="47"/>
      <c r="P17" s="47"/>
      <c r="Q17" s="47"/>
      <c r="R17" s="47"/>
      <c r="S17" s="144">
        <f t="shared" si="4"/>
        <v>0</v>
      </c>
      <c r="T17" s="66">
        <v>6.9</v>
      </c>
      <c r="U17" s="64">
        <f t="shared" si="0"/>
        <v>0</v>
      </c>
      <c r="V17" s="65">
        <f t="shared" si="1"/>
        <v>43448.610000000008</v>
      </c>
      <c r="W17" s="65">
        <f t="shared" si="2"/>
        <v>0</v>
      </c>
      <c r="X17" s="28">
        <f>(2750/30)*20</f>
        <v>1833.3333333333335</v>
      </c>
      <c r="Y17" s="28">
        <f t="shared" si="5"/>
        <v>0</v>
      </c>
      <c r="Z17" s="28">
        <f t="shared" si="3"/>
        <v>42.195442692719816</v>
      </c>
      <c r="AB17" s="87"/>
      <c r="AC17" s="59"/>
      <c r="AD17" s="58"/>
    </row>
    <row r="18" spans="2:30" ht="15" thickBot="1" x14ac:dyDescent="0.35">
      <c r="B18" s="262"/>
      <c r="C18" s="257"/>
      <c r="D18" s="135" t="s">
        <v>28</v>
      </c>
      <c r="E18" s="49"/>
      <c r="F18" s="49"/>
      <c r="G18" s="49"/>
      <c r="H18" s="49"/>
      <c r="I18" s="49"/>
      <c r="J18" s="49">
        <v>1</v>
      </c>
      <c r="K18" s="50"/>
      <c r="L18" s="49"/>
      <c r="M18" s="49"/>
      <c r="N18" s="49"/>
      <c r="O18" s="49"/>
      <c r="P18" s="49"/>
      <c r="Q18" s="49"/>
      <c r="R18" s="49"/>
      <c r="S18" s="141">
        <f t="shared" si="4"/>
        <v>1</v>
      </c>
      <c r="T18" s="67">
        <v>6.9</v>
      </c>
      <c r="U18" s="69">
        <f t="shared" si="0"/>
        <v>6.9</v>
      </c>
      <c r="V18" s="70">
        <f t="shared" si="1"/>
        <v>43448.610000000008</v>
      </c>
      <c r="W18" s="70">
        <f t="shared" si="2"/>
        <v>43448.610000000008</v>
      </c>
      <c r="X18" s="33">
        <f>(2750/30)*10</f>
        <v>916.66666666666674</v>
      </c>
      <c r="Y18" s="33">
        <f t="shared" si="5"/>
        <v>916.66666666666674</v>
      </c>
      <c r="Z18" s="33">
        <f t="shared" si="3"/>
        <v>21.097721346359908</v>
      </c>
      <c r="AB18" s="87"/>
      <c r="AC18" s="59"/>
      <c r="AD18" s="58"/>
    </row>
    <row r="19" spans="2:30" ht="15" thickBot="1" x14ac:dyDescent="0.35">
      <c r="B19" s="262"/>
      <c r="C19" s="256" t="s">
        <v>69</v>
      </c>
      <c r="D19" s="134" t="s">
        <v>27</v>
      </c>
      <c r="E19" s="47"/>
      <c r="F19" s="47"/>
      <c r="G19" s="47"/>
      <c r="H19" s="47"/>
      <c r="I19" s="47"/>
      <c r="J19" s="47"/>
      <c r="K19" s="48"/>
      <c r="L19" s="47"/>
      <c r="M19" s="47"/>
      <c r="N19" s="47"/>
      <c r="O19" s="47"/>
      <c r="P19" s="47"/>
      <c r="Q19" s="47"/>
      <c r="R19" s="47"/>
      <c r="S19" s="144">
        <f t="shared" si="4"/>
        <v>0</v>
      </c>
      <c r="T19" s="66">
        <v>5.0999999999999996</v>
      </c>
      <c r="U19" s="64">
        <f t="shared" si="0"/>
        <v>0</v>
      </c>
      <c r="V19" s="65">
        <f t="shared" si="1"/>
        <v>32114.190000000002</v>
      </c>
      <c r="W19" s="65">
        <f t="shared" si="2"/>
        <v>0</v>
      </c>
      <c r="X19" s="21">
        <f>(2750/30)*20</f>
        <v>1833.3333333333335</v>
      </c>
      <c r="Y19" s="28">
        <f t="shared" si="5"/>
        <v>0</v>
      </c>
      <c r="Z19" s="28">
        <f t="shared" si="3"/>
        <v>57.087951878385638</v>
      </c>
      <c r="AB19" s="87"/>
      <c r="AC19" s="59"/>
      <c r="AD19" s="58"/>
    </row>
    <row r="20" spans="2:30" ht="15" thickBot="1" x14ac:dyDescent="0.35">
      <c r="B20" s="262"/>
      <c r="C20" s="257"/>
      <c r="D20" s="135" t="s">
        <v>28</v>
      </c>
      <c r="E20" s="49"/>
      <c r="F20" s="49"/>
      <c r="G20" s="49"/>
      <c r="H20" s="49"/>
      <c r="I20" s="49"/>
      <c r="J20" s="49"/>
      <c r="K20" s="50">
        <v>1</v>
      </c>
      <c r="L20" s="49"/>
      <c r="M20" s="49"/>
      <c r="N20" s="49"/>
      <c r="O20" s="49"/>
      <c r="P20" s="49"/>
      <c r="Q20" s="49"/>
      <c r="R20" s="49"/>
      <c r="S20" s="141">
        <f t="shared" si="4"/>
        <v>1</v>
      </c>
      <c r="T20" s="68">
        <v>5.0999999999999996</v>
      </c>
      <c r="U20" s="69">
        <f t="shared" si="0"/>
        <v>5.0999999999999996</v>
      </c>
      <c r="V20" s="70">
        <f t="shared" si="1"/>
        <v>32114.190000000002</v>
      </c>
      <c r="W20" s="70">
        <f t="shared" si="2"/>
        <v>32114.190000000002</v>
      </c>
      <c r="X20" s="33">
        <f>(2750/30)*10</f>
        <v>916.66666666666674</v>
      </c>
      <c r="Y20" s="33">
        <f t="shared" si="5"/>
        <v>916.66666666666674</v>
      </c>
      <c r="Z20" s="33">
        <f t="shared" si="3"/>
        <v>28.543975939192819</v>
      </c>
      <c r="AB20" s="87"/>
      <c r="AC20" s="59"/>
      <c r="AD20" s="58"/>
    </row>
    <row r="21" spans="2:30" x14ac:dyDescent="0.3">
      <c r="B21" s="262"/>
      <c r="C21" s="133" t="s">
        <v>40</v>
      </c>
      <c r="D21" s="134"/>
      <c r="E21" s="47"/>
      <c r="F21" s="47"/>
      <c r="G21" s="47"/>
      <c r="H21" s="47"/>
      <c r="I21" s="47"/>
      <c r="J21" s="47"/>
      <c r="K21" s="48"/>
      <c r="L21" s="47"/>
      <c r="M21" s="47"/>
      <c r="N21" s="47"/>
      <c r="O21" s="47"/>
      <c r="P21" s="47"/>
      <c r="Q21" s="47"/>
      <c r="R21" s="47"/>
      <c r="S21" s="144">
        <f t="shared" si="4"/>
        <v>0</v>
      </c>
      <c r="T21" s="71"/>
      <c r="U21" s="64"/>
      <c r="V21" s="65"/>
      <c r="W21" s="65"/>
      <c r="X21" s="28"/>
      <c r="Y21" s="28"/>
      <c r="Z21" s="28"/>
      <c r="AB21" s="87"/>
      <c r="AC21" s="59"/>
      <c r="AD21" s="58"/>
    </row>
    <row r="22" spans="2:30" x14ac:dyDescent="0.3">
      <c r="B22" s="262"/>
      <c r="C22" s="274" t="s">
        <v>76</v>
      </c>
      <c r="D22" s="136" t="s">
        <v>27</v>
      </c>
      <c r="E22" s="72">
        <v>1</v>
      </c>
      <c r="F22" s="72"/>
      <c r="G22" s="72"/>
      <c r="H22" s="72"/>
      <c r="I22" s="72"/>
      <c r="J22" s="72"/>
      <c r="K22" s="73"/>
      <c r="L22" s="72"/>
      <c r="M22" s="72"/>
      <c r="N22" s="72"/>
      <c r="O22" s="72"/>
      <c r="P22" s="72"/>
      <c r="Q22" s="72"/>
      <c r="R22" s="72"/>
      <c r="S22" s="145">
        <f t="shared" si="4"/>
        <v>1</v>
      </c>
      <c r="T22" s="84">
        <v>4.3</v>
      </c>
      <c r="U22" s="80">
        <f t="shared" ref="U22:U47" si="6">S22*T22</f>
        <v>4.3</v>
      </c>
      <c r="V22" s="81">
        <f t="shared" ref="V22:V47" si="7">$V$8/1000*T22/100*1000</f>
        <v>27076.67</v>
      </c>
      <c r="W22" s="81">
        <f t="shared" ref="W22:W47" si="8">S22*V22</f>
        <v>27076.67</v>
      </c>
      <c r="X22" s="82">
        <f>(0/30)*20</f>
        <v>0</v>
      </c>
      <c r="Y22" s="82">
        <f t="shared" si="5"/>
        <v>0</v>
      </c>
      <c r="Z22" s="82">
        <f t="shared" ref="Z22:Z35" si="9">+X22*1000/V22</f>
        <v>0</v>
      </c>
      <c r="AB22" s="87"/>
      <c r="AC22" s="59"/>
      <c r="AD22" s="58"/>
    </row>
    <row r="23" spans="2:30" ht="15" thickBot="1" x14ac:dyDescent="0.35">
      <c r="B23" s="255"/>
      <c r="C23" s="275"/>
      <c r="D23" s="137" t="s">
        <v>28</v>
      </c>
      <c r="E23" s="74">
        <v>1</v>
      </c>
      <c r="F23" s="74">
        <v>1</v>
      </c>
      <c r="G23" s="74">
        <v>1</v>
      </c>
      <c r="H23" s="74">
        <v>1</v>
      </c>
      <c r="I23" s="74">
        <v>1</v>
      </c>
      <c r="J23" s="74"/>
      <c r="K23" s="75"/>
      <c r="L23" s="74">
        <v>1</v>
      </c>
      <c r="M23" s="74">
        <v>1</v>
      </c>
      <c r="N23" s="74">
        <v>1</v>
      </c>
      <c r="O23" s="74"/>
      <c r="P23" s="74"/>
      <c r="Q23" s="74"/>
      <c r="R23" s="74"/>
      <c r="S23" s="146">
        <f t="shared" si="4"/>
        <v>8</v>
      </c>
      <c r="T23" s="76">
        <v>4.3</v>
      </c>
      <c r="U23" s="77">
        <f t="shared" si="6"/>
        <v>34.4</v>
      </c>
      <c r="V23" s="78">
        <f t="shared" si="7"/>
        <v>27076.67</v>
      </c>
      <c r="W23" s="78">
        <f t="shared" si="8"/>
        <v>216613.36</v>
      </c>
      <c r="X23" s="79">
        <f>(0/30)*10</f>
        <v>0</v>
      </c>
      <c r="Y23" s="79">
        <f t="shared" si="5"/>
        <v>0</v>
      </c>
      <c r="Z23" s="79">
        <f t="shared" si="9"/>
        <v>0</v>
      </c>
      <c r="AB23" s="87"/>
      <c r="AC23" s="59"/>
      <c r="AD23" s="58"/>
    </row>
    <row r="24" spans="2:30" x14ac:dyDescent="0.3">
      <c r="B24" s="254" t="s">
        <v>37</v>
      </c>
      <c r="C24" s="266" t="s">
        <v>43</v>
      </c>
      <c r="D24" s="134" t="s">
        <v>27</v>
      </c>
      <c r="E24" s="47">
        <v>2</v>
      </c>
      <c r="F24" s="47">
        <v>2</v>
      </c>
      <c r="G24" s="47"/>
      <c r="H24" s="47"/>
      <c r="I24" s="47"/>
      <c r="J24" s="47"/>
      <c r="K24" s="48"/>
      <c r="L24" s="47"/>
      <c r="M24" s="47"/>
      <c r="N24" s="47"/>
      <c r="O24" s="47"/>
      <c r="P24" s="47"/>
      <c r="Q24" s="47"/>
      <c r="R24" s="47"/>
      <c r="S24" s="147">
        <f t="shared" si="4"/>
        <v>4</v>
      </c>
      <c r="T24" s="71">
        <v>3.4</v>
      </c>
      <c r="U24" s="64">
        <f t="shared" si="6"/>
        <v>13.6</v>
      </c>
      <c r="V24" s="83">
        <f t="shared" si="7"/>
        <v>21409.46</v>
      </c>
      <c r="W24" s="65">
        <f t="shared" si="8"/>
        <v>85637.84</v>
      </c>
      <c r="X24" s="32">
        <v>390</v>
      </c>
      <c r="Y24" s="31">
        <f t="shared" ref="Y24:Y31" si="10">X24*S24</f>
        <v>1560</v>
      </c>
      <c r="Z24" s="31">
        <f t="shared" si="9"/>
        <v>18.216246463012144</v>
      </c>
      <c r="AB24" s="87"/>
      <c r="AC24" s="59"/>
      <c r="AD24" s="58"/>
    </row>
    <row r="25" spans="2:30" ht="15" thickBot="1" x14ac:dyDescent="0.35">
      <c r="B25" s="262"/>
      <c r="C25" s="267"/>
      <c r="D25" s="135" t="s">
        <v>28</v>
      </c>
      <c r="E25" s="49"/>
      <c r="F25" s="49"/>
      <c r="G25" s="49">
        <v>2</v>
      </c>
      <c r="H25" s="49">
        <v>2</v>
      </c>
      <c r="I25" s="49">
        <v>2</v>
      </c>
      <c r="J25" s="49"/>
      <c r="K25" s="50"/>
      <c r="L25" s="49">
        <v>2</v>
      </c>
      <c r="M25" s="49">
        <v>2</v>
      </c>
      <c r="N25" s="49">
        <v>2</v>
      </c>
      <c r="O25" s="49"/>
      <c r="P25" s="49"/>
      <c r="Q25" s="49"/>
      <c r="R25" s="49"/>
      <c r="S25" s="141">
        <f t="shared" si="4"/>
        <v>12</v>
      </c>
      <c r="T25" s="68">
        <v>3.4</v>
      </c>
      <c r="U25" s="69">
        <f t="shared" si="6"/>
        <v>40.799999999999997</v>
      </c>
      <c r="V25" s="70">
        <f t="shared" si="7"/>
        <v>21409.46</v>
      </c>
      <c r="W25" s="70">
        <f t="shared" si="8"/>
        <v>256913.52</v>
      </c>
      <c r="X25" s="33">
        <v>192</v>
      </c>
      <c r="Y25" s="21">
        <f t="shared" si="10"/>
        <v>2304</v>
      </c>
      <c r="Z25" s="21">
        <f t="shared" si="9"/>
        <v>8.9679982587136724</v>
      </c>
      <c r="AB25" s="87"/>
      <c r="AC25" s="59"/>
      <c r="AD25" s="58"/>
    </row>
    <row r="26" spans="2:30" x14ac:dyDescent="0.3">
      <c r="B26" s="262"/>
      <c r="C26" s="266" t="s">
        <v>86</v>
      </c>
      <c r="D26" s="134" t="s">
        <v>27</v>
      </c>
      <c r="E26" s="47"/>
      <c r="F26" s="47"/>
      <c r="G26" s="47"/>
      <c r="H26" s="47"/>
      <c r="I26" s="47"/>
      <c r="J26" s="47"/>
      <c r="K26" s="48"/>
      <c r="L26" s="47"/>
      <c r="M26" s="47"/>
      <c r="N26" s="47"/>
      <c r="O26" s="47"/>
      <c r="P26" s="47"/>
      <c r="Q26" s="47"/>
      <c r="R26" s="47"/>
      <c r="S26" s="147">
        <f t="shared" si="4"/>
        <v>0</v>
      </c>
      <c r="T26" s="71">
        <v>5.0999999999999996</v>
      </c>
      <c r="U26" s="64">
        <f t="shared" si="6"/>
        <v>0</v>
      </c>
      <c r="V26" s="83">
        <f t="shared" si="7"/>
        <v>32114.190000000002</v>
      </c>
      <c r="W26" s="65">
        <f t="shared" si="8"/>
        <v>0</v>
      </c>
      <c r="X26" s="32">
        <f>(4000/30)*20</f>
        <v>2666.666666666667</v>
      </c>
      <c r="Y26" s="31">
        <f t="shared" si="10"/>
        <v>0</v>
      </c>
      <c r="Z26" s="31">
        <f t="shared" si="9"/>
        <v>83.037020914015486</v>
      </c>
      <c r="AB26" s="87"/>
      <c r="AC26" s="59"/>
      <c r="AD26" s="58"/>
    </row>
    <row r="27" spans="2:30" ht="15" thickBot="1" x14ac:dyDescent="0.35">
      <c r="B27" s="262"/>
      <c r="C27" s="267"/>
      <c r="D27" s="135" t="s">
        <v>28</v>
      </c>
      <c r="E27" s="49">
        <v>1</v>
      </c>
      <c r="F27" s="49">
        <v>1</v>
      </c>
      <c r="G27" s="49"/>
      <c r="H27" s="49"/>
      <c r="I27" s="49"/>
      <c r="J27" s="49"/>
      <c r="K27" s="50"/>
      <c r="L27" s="49"/>
      <c r="M27" s="49"/>
      <c r="N27" s="49"/>
      <c r="O27" s="49"/>
      <c r="P27" s="49"/>
      <c r="Q27" s="49"/>
      <c r="R27" s="49"/>
      <c r="S27" s="141">
        <f t="shared" si="4"/>
        <v>2</v>
      </c>
      <c r="T27" s="68">
        <v>5.0999999999999996</v>
      </c>
      <c r="U27" s="69">
        <f t="shared" si="6"/>
        <v>10.199999999999999</v>
      </c>
      <c r="V27" s="70">
        <f t="shared" si="7"/>
        <v>32114.190000000002</v>
      </c>
      <c r="W27" s="70">
        <f t="shared" si="8"/>
        <v>64228.380000000005</v>
      </c>
      <c r="X27" s="33">
        <f>(4000/30)*10</f>
        <v>1333.3333333333335</v>
      </c>
      <c r="Y27" s="21">
        <f t="shared" si="10"/>
        <v>2666.666666666667</v>
      </c>
      <c r="Z27" s="21">
        <f t="shared" si="9"/>
        <v>41.518510457007743</v>
      </c>
      <c r="AB27" s="87"/>
      <c r="AC27" s="59"/>
      <c r="AD27" s="58"/>
    </row>
    <row r="28" spans="2:30" x14ac:dyDescent="0.3">
      <c r="B28" s="262"/>
      <c r="C28" s="266" t="s">
        <v>85</v>
      </c>
      <c r="D28" s="134" t="s">
        <v>27</v>
      </c>
      <c r="E28" s="47"/>
      <c r="F28" s="47"/>
      <c r="G28" s="47"/>
      <c r="H28" s="47"/>
      <c r="I28" s="47"/>
      <c r="J28" s="47"/>
      <c r="K28" s="48"/>
      <c r="L28" s="47"/>
      <c r="M28" s="47"/>
      <c r="N28" s="47"/>
      <c r="O28" s="47"/>
      <c r="P28" s="47"/>
      <c r="Q28" s="47"/>
      <c r="R28" s="47"/>
      <c r="S28" s="147">
        <f t="shared" si="4"/>
        <v>0</v>
      </c>
      <c r="T28" s="71">
        <v>5.6</v>
      </c>
      <c r="U28" s="64">
        <f t="shared" si="6"/>
        <v>0</v>
      </c>
      <c r="V28" s="83">
        <f t="shared" si="7"/>
        <v>35262.640000000007</v>
      </c>
      <c r="W28" s="65">
        <f t="shared" si="8"/>
        <v>0</v>
      </c>
      <c r="X28" s="32">
        <f>(7500/30)*20</f>
        <v>5000</v>
      </c>
      <c r="Y28" s="31">
        <f t="shared" si="10"/>
        <v>0</v>
      </c>
      <c r="Z28" s="31">
        <f t="shared" si="9"/>
        <v>141.79312723040587</v>
      </c>
      <c r="AB28" s="87"/>
      <c r="AC28" s="59"/>
      <c r="AD28" s="58"/>
    </row>
    <row r="29" spans="2:30" ht="15" thickBot="1" x14ac:dyDescent="0.35">
      <c r="B29" s="262"/>
      <c r="C29" s="267"/>
      <c r="D29" s="135" t="s">
        <v>28</v>
      </c>
      <c r="E29" s="49">
        <v>1</v>
      </c>
      <c r="F29" s="49">
        <v>1</v>
      </c>
      <c r="G29" s="49"/>
      <c r="H29" s="49"/>
      <c r="I29" s="49"/>
      <c r="J29" s="49"/>
      <c r="K29" s="50"/>
      <c r="L29" s="49"/>
      <c r="M29" s="49"/>
      <c r="N29" s="49"/>
      <c r="O29" s="49"/>
      <c r="P29" s="49"/>
      <c r="Q29" s="49"/>
      <c r="R29" s="49"/>
      <c r="S29" s="141">
        <f t="shared" si="4"/>
        <v>2</v>
      </c>
      <c r="T29" s="68">
        <v>5.6</v>
      </c>
      <c r="U29" s="69">
        <f t="shared" si="6"/>
        <v>11.2</v>
      </c>
      <c r="V29" s="70">
        <f t="shared" si="7"/>
        <v>35262.640000000007</v>
      </c>
      <c r="W29" s="70">
        <f t="shared" si="8"/>
        <v>70525.280000000013</v>
      </c>
      <c r="X29" s="33">
        <f>(7500/30)*10</f>
        <v>2500</v>
      </c>
      <c r="Y29" s="21">
        <f t="shared" si="10"/>
        <v>5000</v>
      </c>
      <c r="Z29" s="21">
        <f t="shared" si="9"/>
        <v>70.896563615202936</v>
      </c>
      <c r="AB29" s="87"/>
      <c r="AC29" s="59"/>
      <c r="AD29" s="58"/>
    </row>
    <row r="30" spans="2:30" x14ac:dyDescent="0.3">
      <c r="B30" s="262"/>
      <c r="C30" s="266" t="s">
        <v>92</v>
      </c>
      <c r="D30" s="134" t="s">
        <v>27</v>
      </c>
      <c r="E30" s="47"/>
      <c r="F30" s="47"/>
      <c r="G30" s="47"/>
      <c r="H30" s="47"/>
      <c r="I30" s="47"/>
      <c r="J30" s="47"/>
      <c r="K30" s="48"/>
      <c r="L30" s="47"/>
      <c r="M30" s="47"/>
      <c r="N30" s="47"/>
      <c r="O30" s="47"/>
      <c r="P30" s="47"/>
      <c r="Q30" s="47"/>
      <c r="R30" s="47"/>
      <c r="S30" s="147">
        <f t="shared" si="4"/>
        <v>0</v>
      </c>
      <c r="T30" s="71">
        <v>3.8</v>
      </c>
      <c r="U30" s="64">
        <f t="shared" si="6"/>
        <v>0</v>
      </c>
      <c r="V30" s="83">
        <f t="shared" si="7"/>
        <v>23928.22</v>
      </c>
      <c r="W30" s="65">
        <f t="shared" si="8"/>
        <v>0</v>
      </c>
      <c r="X30" s="32">
        <f>(5000/30)*20</f>
        <v>3333.333333333333</v>
      </c>
      <c r="Y30" s="31">
        <f t="shared" si="10"/>
        <v>0</v>
      </c>
      <c r="Z30" s="31">
        <f t="shared" si="9"/>
        <v>139.30552850706542</v>
      </c>
      <c r="AB30" s="87"/>
      <c r="AC30" s="59"/>
      <c r="AD30" s="58"/>
    </row>
    <row r="31" spans="2:30" ht="15" thickBot="1" x14ac:dyDescent="0.35">
      <c r="B31" s="262"/>
      <c r="C31" s="267"/>
      <c r="D31" s="135" t="s">
        <v>28</v>
      </c>
      <c r="E31" s="49">
        <v>1</v>
      </c>
      <c r="F31" s="49">
        <v>1</v>
      </c>
      <c r="G31" s="49"/>
      <c r="H31" s="49"/>
      <c r="I31" s="49"/>
      <c r="J31" s="49"/>
      <c r="K31" s="50"/>
      <c r="L31" s="49"/>
      <c r="M31" s="49"/>
      <c r="N31" s="49"/>
      <c r="O31" s="49"/>
      <c r="P31" s="49"/>
      <c r="Q31" s="49"/>
      <c r="R31" s="49"/>
      <c r="S31" s="141">
        <f t="shared" si="4"/>
        <v>2</v>
      </c>
      <c r="T31" s="68">
        <v>3.8</v>
      </c>
      <c r="U31" s="69">
        <f t="shared" si="6"/>
        <v>7.6</v>
      </c>
      <c r="V31" s="70">
        <f t="shared" si="7"/>
        <v>23928.22</v>
      </c>
      <c r="W31" s="70">
        <f t="shared" si="8"/>
        <v>47856.44</v>
      </c>
      <c r="X31" s="33">
        <f>(5000/30)*10</f>
        <v>1666.6666666666665</v>
      </c>
      <c r="Y31" s="21">
        <f t="shared" si="10"/>
        <v>3333.333333333333</v>
      </c>
      <c r="Z31" s="21">
        <f t="shared" si="9"/>
        <v>69.652764253532709</v>
      </c>
      <c r="AB31" s="87"/>
      <c r="AC31" s="59"/>
      <c r="AD31" s="58"/>
    </row>
    <row r="32" spans="2:30" x14ac:dyDescent="0.3">
      <c r="B32" s="262"/>
      <c r="C32" s="268" t="s">
        <v>93</v>
      </c>
      <c r="D32" s="138" t="s">
        <v>27</v>
      </c>
      <c r="E32" s="47"/>
      <c r="F32" s="47"/>
      <c r="G32" s="47"/>
      <c r="H32" s="47"/>
      <c r="I32" s="47"/>
      <c r="J32" s="85">
        <v>2</v>
      </c>
      <c r="K32" s="48"/>
      <c r="L32" s="47"/>
      <c r="M32" s="47"/>
      <c r="N32" s="47"/>
      <c r="O32" s="47"/>
      <c r="P32" s="47"/>
      <c r="Q32" s="85"/>
      <c r="R32" s="85"/>
      <c r="S32" s="148">
        <f t="shared" si="4"/>
        <v>2</v>
      </c>
      <c r="T32" s="89">
        <v>3.5</v>
      </c>
      <c r="U32" s="80">
        <f t="shared" si="6"/>
        <v>7</v>
      </c>
      <c r="V32" s="90">
        <f t="shared" si="7"/>
        <v>22039.149999999998</v>
      </c>
      <c r="W32" s="81">
        <f t="shared" si="8"/>
        <v>44078.299999999996</v>
      </c>
      <c r="X32" s="128">
        <f>(0/30)*20</f>
        <v>0</v>
      </c>
      <c r="Y32" s="129">
        <f>S32*X32</f>
        <v>0</v>
      </c>
      <c r="Z32" s="129">
        <f t="shared" si="9"/>
        <v>0</v>
      </c>
      <c r="AB32" s="87"/>
      <c r="AC32" s="59"/>
      <c r="AD32" s="58"/>
    </row>
    <row r="33" spans="2:31" ht="15" thickBot="1" x14ac:dyDescent="0.35">
      <c r="B33" s="262"/>
      <c r="C33" s="269"/>
      <c r="D33" s="137" t="s">
        <v>28</v>
      </c>
      <c r="E33" s="49"/>
      <c r="F33" s="49"/>
      <c r="G33" s="49"/>
      <c r="H33" s="49"/>
      <c r="I33" s="49"/>
      <c r="J33" s="74">
        <v>3</v>
      </c>
      <c r="K33" s="75"/>
      <c r="L33" s="49"/>
      <c r="M33" s="49"/>
      <c r="N33" s="49"/>
      <c r="O33" s="49"/>
      <c r="P33" s="49"/>
      <c r="Q33" s="74">
        <v>3</v>
      </c>
      <c r="R33" s="49"/>
      <c r="S33" s="146">
        <f t="shared" si="4"/>
        <v>6</v>
      </c>
      <c r="T33" s="76">
        <v>3.5</v>
      </c>
      <c r="U33" s="77">
        <f t="shared" si="6"/>
        <v>21</v>
      </c>
      <c r="V33" s="78">
        <f t="shared" si="7"/>
        <v>22039.149999999998</v>
      </c>
      <c r="W33" s="78">
        <f t="shared" si="8"/>
        <v>132234.9</v>
      </c>
      <c r="X33" s="79">
        <f>(0/30)*10</f>
        <v>0</v>
      </c>
      <c r="Y33" s="130">
        <f>S33*X33</f>
        <v>0</v>
      </c>
      <c r="Z33" s="130">
        <f t="shared" si="9"/>
        <v>0</v>
      </c>
      <c r="AB33" s="87"/>
      <c r="AC33" s="59"/>
      <c r="AD33" s="58"/>
    </row>
    <row r="34" spans="2:31" x14ac:dyDescent="0.3">
      <c r="B34" s="262"/>
      <c r="C34" s="268" t="s">
        <v>82</v>
      </c>
      <c r="D34" s="138" t="s">
        <v>27</v>
      </c>
      <c r="E34" s="47"/>
      <c r="F34" s="47"/>
      <c r="G34" s="47"/>
      <c r="H34" s="47"/>
      <c r="I34" s="47"/>
      <c r="J34" s="47"/>
      <c r="K34" s="86">
        <v>2</v>
      </c>
      <c r="L34" s="47"/>
      <c r="M34" s="47"/>
      <c r="N34" s="47"/>
      <c r="O34" s="47"/>
      <c r="P34" s="47"/>
      <c r="Q34" s="47"/>
      <c r="R34" s="85"/>
      <c r="S34" s="148">
        <f t="shared" si="4"/>
        <v>2</v>
      </c>
      <c r="T34" s="89">
        <v>2.1</v>
      </c>
      <c r="U34" s="80">
        <f t="shared" si="6"/>
        <v>4.2</v>
      </c>
      <c r="V34" s="90">
        <f t="shared" si="7"/>
        <v>13223.490000000002</v>
      </c>
      <c r="W34" s="81">
        <f t="shared" si="8"/>
        <v>26446.980000000003</v>
      </c>
      <c r="X34" s="128">
        <f>(0/30)*20</f>
        <v>0</v>
      </c>
      <c r="Y34" s="129">
        <f>S34*X34</f>
        <v>0</v>
      </c>
      <c r="Z34" s="129">
        <f t="shared" si="9"/>
        <v>0</v>
      </c>
      <c r="AB34" s="87"/>
      <c r="AC34" s="59"/>
      <c r="AD34" s="58"/>
    </row>
    <row r="35" spans="2:31" ht="15" thickBot="1" x14ac:dyDescent="0.35">
      <c r="B35" s="262"/>
      <c r="C35" s="269"/>
      <c r="D35" s="137" t="s">
        <v>28</v>
      </c>
      <c r="E35" s="49"/>
      <c r="F35" s="49"/>
      <c r="G35" s="49"/>
      <c r="H35" s="49"/>
      <c r="I35" s="49"/>
      <c r="J35" s="74"/>
      <c r="K35" s="75">
        <v>3</v>
      </c>
      <c r="L35" s="49"/>
      <c r="M35" s="49"/>
      <c r="N35" s="49"/>
      <c r="O35" s="49"/>
      <c r="P35" s="49"/>
      <c r="Q35" s="74"/>
      <c r="R35" s="74">
        <v>3</v>
      </c>
      <c r="S35" s="146">
        <f t="shared" si="4"/>
        <v>6</v>
      </c>
      <c r="T35" s="76">
        <v>2.1</v>
      </c>
      <c r="U35" s="77">
        <f t="shared" si="6"/>
        <v>12.600000000000001</v>
      </c>
      <c r="V35" s="78">
        <f t="shared" si="7"/>
        <v>13223.490000000002</v>
      </c>
      <c r="W35" s="78">
        <f t="shared" si="8"/>
        <v>79340.94</v>
      </c>
      <c r="X35" s="79">
        <f>(0/30)*10</f>
        <v>0</v>
      </c>
      <c r="Y35" s="130">
        <f>S35*X35</f>
        <v>0</v>
      </c>
      <c r="Z35" s="130">
        <f t="shared" si="9"/>
        <v>0</v>
      </c>
      <c r="AB35" s="87"/>
      <c r="AC35" s="59"/>
      <c r="AD35" s="58"/>
    </row>
    <row r="36" spans="2:31" x14ac:dyDescent="0.3">
      <c r="B36" s="254" t="s">
        <v>39</v>
      </c>
      <c r="C36" s="263" t="s">
        <v>38</v>
      </c>
      <c r="D36" s="134" t="s">
        <v>27</v>
      </c>
      <c r="E36" s="47"/>
      <c r="F36" s="47"/>
      <c r="G36" s="47"/>
      <c r="H36" s="47"/>
      <c r="I36" s="47"/>
      <c r="J36" s="47"/>
      <c r="K36" s="48"/>
      <c r="L36" s="47"/>
      <c r="M36" s="47"/>
      <c r="N36" s="47"/>
      <c r="O36" s="47"/>
      <c r="P36" s="47"/>
      <c r="Q36" s="47"/>
      <c r="R36" s="47"/>
      <c r="S36" s="142">
        <f t="shared" si="4"/>
        <v>0</v>
      </c>
      <c r="T36" s="54">
        <v>1.5</v>
      </c>
      <c r="U36" s="43">
        <f t="shared" si="6"/>
        <v>0</v>
      </c>
      <c r="V36" s="30">
        <f t="shared" si="7"/>
        <v>9445.35</v>
      </c>
      <c r="W36" s="30">
        <f t="shared" si="8"/>
        <v>0</v>
      </c>
      <c r="X36" s="32">
        <f>(2400/30)*20</f>
        <v>1600</v>
      </c>
      <c r="Y36" s="31">
        <f t="shared" ref="Y36:Y47" si="11">S36*X36</f>
        <v>0</v>
      </c>
      <c r="Z36" s="31">
        <f t="shared" ref="Z36:Z41" si="12">+X36*1000/V36</f>
        <v>169.39552266459157</v>
      </c>
      <c r="AB36" s="87"/>
      <c r="AC36" s="59"/>
      <c r="AD36" s="58"/>
    </row>
    <row r="37" spans="2:31" ht="15" thickBot="1" x14ac:dyDescent="0.35">
      <c r="B37" s="262"/>
      <c r="C37" s="264"/>
      <c r="D37" s="135" t="s">
        <v>28</v>
      </c>
      <c r="E37" s="49">
        <v>1</v>
      </c>
      <c r="F37" s="49">
        <v>1</v>
      </c>
      <c r="G37" s="49">
        <v>1</v>
      </c>
      <c r="H37" s="49">
        <v>1</v>
      </c>
      <c r="I37" s="49"/>
      <c r="J37" s="49"/>
      <c r="K37" s="50"/>
      <c r="L37" s="49">
        <v>1</v>
      </c>
      <c r="M37" s="49">
        <v>1</v>
      </c>
      <c r="N37" s="49"/>
      <c r="O37" s="49"/>
      <c r="P37" s="49"/>
      <c r="Q37" s="49"/>
      <c r="R37" s="49"/>
      <c r="S37" s="143">
        <f t="shared" si="4"/>
        <v>6</v>
      </c>
      <c r="T37" s="55">
        <v>1.5</v>
      </c>
      <c r="U37" s="44">
        <f t="shared" si="6"/>
        <v>9</v>
      </c>
      <c r="V37" s="20">
        <f t="shared" si="7"/>
        <v>9445.35</v>
      </c>
      <c r="W37" s="20">
        <f t="shared" si="8"/>
        <v>56672.100000000006</v>
      </c>
      <c r="X37" s="33">
        <f>(2400/30)*10</f>
        <v>800</v>
      </c>
      <c r="Y37" s="28">
        <f t="shared" si="11"/>
        <v>4800</v>
      </c>
      <c r="Z37" s="21">
        <f t="shared" si="12"/>
        <v>84.697761332295784</v>
      </c>
      <c r="AB37" s="87"/>
      <c r="AC37" s="59"/>
      <c r="AD37" s="58"/>
    </row>
    <row r="38" spans="2:31" x14ac:dyDescent="0.3">
      <c r="B38" s="262"/>
      <c r="C38" s="263" t="s">
        <v>94</v>
      </c>
      <c r="D38" s="134" t="s">
        <v>27</v>
      </c>
      <c r="E38" s="47"/>
      <c r="F38" s="47"/>
      <c r="G38" s="47"/>
      <c r="H38" s="47"/>
      <c r="I38" s="47"/>
      <c r="J38" s="47"/>
      <c r="K38" s="48"/>
      <c r="L38" s="47"/>
      <c r="M38" s="47"/>
      <c r="N38" s="47"/>
      <c r="O38" s="47"/>
      <c r="P38" s="47"/>
      <c r="Q38" s="47"/>
      <c r="R38" s="47"/>
      <c r="S38" s="142">
        <f t="shared" si="4"/>
        <v>0</v>
      </c>
      <c r="T38" s="54">
        <v>6.2</v>
      </c>
      <c r="U38" s="43">
        <f t="shared" si="6"/>
        <v>0</v>
      </c>
      <c r="V38" s="30">
        <f t="shared" si="7"/>
        <v>39040.780000000006</v>
      </c>
      <c r="W38" s="30">
        <f t="shared" si="8"/>
        <v>0</v>
      </c>
      <c r="X38" s="32">
        <f>(2500/30)*20</f>
        <v>1666.6666666666665</v>
      </c>
      <c r="Y38" s="31">
        <f t="shared" si="11"/>
        <v>0</v>
      </c>
      <c r="Z38" s="31">
        <f t="shared" si="12"/>
        <v>42.690403897326497</v>
      </c>
      <c r="AB38" s="87"/>
      <c r="AC38" s="59"/>
      <c r="AD38" s="58"/>
    </row>
    <row r="39" spans="2:31" ht="15" thickBot="1" x14ac:dyDescent="0.35">
      <c r="B39" s="255"/>
      <c r="C39" s="264"/>
      <c r="D39" s="135" t="s">
        <v>28</v>
      </c>
      <c r="E39" s="49"/>
      <c r="F39" s="49"/>
      <c r="G39" s="49"/>
      <c r="H39" s="49"/>
      <c r="I39" s="49"/>
      <c r="J39" s="49"/>
      <c r="K39" s="50">
        <v>1</v>
      </c>
      <c r="L39" s="49"/>
      <c r="M39" s="49"/>
      <c r="N39" s="49"/>
      <c r="O39" s="49"/>
      <c r="P39" s="49"/>
      <c r="Q39" s="49"/>
      <c r="R39" s="49"/>
      <c r="S39" s="143">
        <f t="shared" si="4"/>
        <v>1</v>
      </c>
      <c r="T39" s="55">
        <v>6.2</v>
      </c>
      <c r="U39" s="44">
        <f t="shared" si="6"/>
        <v>6.2</v>
      </c>
      <c r="V39" s="20">
        <f t="shared" si="7"/>
        <v>39040.780000000006</v>
      </c>
      <c r="W39" s="20">
        <f t="shared" si="8"/>
        <v>39040.780000000006</v>
      </c>
      <c r="X39" s="33">
        <f>(2500/30)*10</f>
        <v>833.33333333333326</v>
      </c>
      <c r="Y39" s="28">
        <f t="shared" si="11"/>
        <v>833.33333333333326</v>
      </c>
      <c r="Z39" s="21">
        <f t="shared" si="12"/>
        <v>21.345201948663249</v>
      </c>
      <c r="AB39" s="87"/>
      <c r="AC39" s="59"/>
      <c r="AD39" s="58"/>
    </row>
    <row r="40" spans="2:31" ht="15.75" customHeight="1" x14ac:dyDescent="0.3">
      <c r="B40" s="254" t="s">
        <v>33</v>
      </c>
      <c r="C40" s="256" t="s">
        <v>72</v>
      </c>
      <c r="D40" s="139" t="s">
        <v>27</v>
      </c>
      <c r="E40" s="47">
        <v>3</v>
      </c>
      <c r="F40" s="47">
        <v>3</v>
      </c>
      <c r="G40" s="47">
        <v>3</v>
      </c>
      <c r="H40" s="47">
        <v>3</v>
      </c>
      <c r="I40" s="47"/>
      <c r="J40" s="47"/>
      <c r="K40" s="48"/>
      <c r="L40" s="47"/>
      <c r="M40" s="47"/>
      <c r="N40" s="47"/>
      <c r="O40" s="47"/>
      <c r="P40" s="47"/>
      <c r="Q40" s="47"/>
      <c r="R40" s="47"/>
      <c r="S40" s="142">
        <f t="shared" si="4"/>
        <v>12</v>
      </c>
      <c r="T40" s="54">
        <v>0.4</v>
      </c>
      <c r="U40" s="43">
        <f t="shared" si="6"/>
        <v>4.8000000000000007</v>
      </c>
      <c r="V40" s="30">
        <f t="shared" si="7"/>
        <v>2518.7600000000002</v>
      </c>
      <c r="W40" s="30">
        <f t="shared" si="8"/>
        <v>30225.120000000003</v>
      </c>
      <c r="X40" s="31">
        <f>(150/30)*20</f>
        <v>100</v>
      </c>
      <c r="Y40" s="31">
        <f t="shared" si="11"/>
        <v>1200</v>
      </c>
      <c r="Z40" s="31">
        <f t="shared" si="12"/>
        <v>39.702075624513647</v>
      </c>
      <c r="AB40" s="87"/>
      <c r="AC40" s="59"/>
      <c r="AD40" s="58"/>
    </row>
    <row r="41" spans="2:31" ht="15" thickBot="1" x14ac:dyDescent="0.35">
      <c r="B41" s="255"/>
      <c r="C41" s="257"/>
      <c r="D41" s="135" t="s">
        <v>28</v>
      </c>
      <c r="E41" s="49">
        <v>2</v>
      </c>
      <c r="F41" s="49">
        <v>2</v>
      </c>
      <c r="G41" s="49">
        <v>2</v>
      </c>
      <c r="H41" s="49">
        <v>2</v>
      </c>
      <c r="I41" s="49">
        <v>5</v>
      </c>
      <c r="J41" s="49">
        <v>5</v>
      </c>
      <c r="K41" s="50">
        <v>5</v>
      </c>
      <c r="L41" s="49">
        <v>5</v>
      </c>
      <c r="M41" s="49">
        <v>5</v>
      </c>
      <c r="N41" s="49">
        <v>5</v>
      </c>
      <c r="O41" s="49"/>
      <c r="P41" s="49"/>
      <c r="Q41" s="49"/>
      <c r="R41" s="49"/>
      <c r="S41" s="143">
        <f t="shared" si="4"/>
        <v>38</v>
      </c>
      <c r="T41" s="55">
        <v>0.4</v>
      </c>
      <c r="U41" s="44">
        <f t="shared" si="6"/>
        <v>15.200000000000001</v>
      </c>
      <c r="V41" s="20">
        <f t="shared" si="7"/>
        <v>2518.7600000000002</v>
      </c>
      <c r="W41" s="20">
        <f t="shared" si="8"/>
        <v>95712.88</v>
      </c>
      <c r="X41" s="21">
        <f>(150/30)*10</f>
        <v>50</v>
      </c>
      <c r="Y41" s="21">
        <f t="shared" si="11"/>
        <v>1900</v>
      </c>
      <c r="Z41" s="21">
        <f t="shared" si="12"/>
        <v>19.851037812256823</v>
      </c>
      <c r="AB41" s="87"/>
      <c r="AC41" s="59"/>
      <c r="AD41" s="58"/>
    </row>
    <row r="42" spans="2:31" ht="12.75" customHeight="1" x14ac:dyDescent="0.3">
      <c r="B42" s="265" t="s">
        <v>26</v>
      </c>
      <c r="C42" s="256" t="s">
        <v>72</v>
      </c>
      <c r="D42" s="134" t="s">
        <v>27</v>
      </c>
      <c r="E42" s="47">
        <v>3</v>
      </c>
      <c r="F42" s="47">
        <v>3</v>
      </c>
      <c r="G42" s="47">
        <v>3</v>
      </c>
      <c r="H42" s="47">
        <v>3</v>
      </c>
      <c r="I42" s="47"/>
      <c r="J42" s="47"/>
      <c r="K42" s="48"/>
      <c r="L42" s="47"/>
      <c r="M42" s="47"/>
      <c r="N42" s="47"/>
      <c r="O42" s="47"/>
      <c r="P42" s="47"/>
      <c r="Q42" s="47"/>
      <c r="R42" s="47"/>
      <c r="S42" s="142">
        <f t="shared" si="4"/>
        <v>12</v>
      </c>
      <c r="T42" s="54">
        <v>0.6</v>
      </c>
      <c r="U42" s="43">
        <f t="shared" si="6"/>
        <v>7.1999999999999993</v>
      </c>
      <c r="V42" s="30">
        <f t="shared" si="7"/>
        <v>3778.14</v>
      </c>
      <c r="W42" s="30">
        <f t="shared" si="8"/>
        <v>45337.68</v>
      </c>
      <c r="X42" s="31">
        <f>(180/30)*20</f>
        <v>120</v>
      </c>
      <c r="Y42" s="31">
        <f t="shared" si="11"/>
        <v>1440</v>
      </c>
      <c r="Z42" s="31">
        <f t="shared" ref="Z42:Z47" si="13">+X42*1000/V42</f>
        <v>31.761660499610922</v>
      </c>
      <c r="AB42" s="87"/>
      <c r="AC42" s="59"/>
      <c r="AD42" s="58"/>
    </row>
    <row r="43" spans="2:31" ht="15" thickBot="1" x14ac:dyDescent="0.35">
      <c r="B43" s="265"/>
      <c r="C43" s="257"/>
      <c r="D43" s="135" t="s">
        <v>28</v>
      </c>
      <c r="E43" s="49">
        <v>2</v>
      </c>
      <c r="F43" s="49">
        <v>2</v>
      </c>
      <c r="G43" s="49">
        <v>2</v>
      </c>
      <c r="H43" s="49">
        <v>2</v>
      </c>
      <c r="I43" s="49">
        <v>5</v>
      </c>
      <c r="J43" s="49">
        <v>5</v>
      </c>
      <c r="K43" s="50">
        <v>5</v>
      </c>
      <c r="L43" s="49">
        <v>5</v>
      </c>
      <c r="M43" s="49">
        <v>5</v>
      </c>
      <c r="N43" s="49">
        <v>5</v>
      </c>
      <c r="O43" s="49"/>
      <c r="P43" s="49"/>
      <c r="Q43" s="49"/>
      <c r="R43" s="49"/>
      <c r="S43" s="143">
        <f t="shared" si="4"/>
        <v>38</v>
      </c>
      <c r="T43" s="55">
        <v>0.6</v>
      </c>
      <c r="U43" s="44">
        <f t="shared" si="6"/>
        <v>22.8</v>
      </c>
      <c r="V43" s="20">
        <f t="shared" si="7"/>
        <v>3778.14</v>
      </c>
      <c r="W43" s="20">
        <f t="shared" si="8"/>
        <v>143569.32</v>
      </c>
      <c r="X43" s="61">
        <f>(180/30)*10</f>
        <v>60</v>
      </c>
      <c r="Y43" s="21">
        <f t="shared" si="11"/>
        <v>2280</v>
      </c>
      <c r="Z43" s="21">
        <f t="shared" si="13"/>
        <v>15.880830249805461</v>
      </c>
      <c r="AB43" s="87"/>
      <c r="AC43" s="59"/>
      <c r="AD43" s="58"/>
    </row>
    <row r="44" spans="2:31" ht="15" customHeight="1" x14ac:dyDescent="0.3">
      <c r="B44" s="254" t="s">
        <v>34</v>
      </c>
      <c r="C44" s="256" t="s">
        <v>72</v>
      </c>
      <c r="D44" s="134" t="s">
        <v>27</v>
      </c>
      <c r="E44" s="47">
        <v>3</v>
      </c>
      <c r="F44" s="47">
        <v>3</v>
      </c>
      <c r="G44" s="47">
        <v>3</v>
      </c>
      <c r="H44" s="47">
        <v>3</v>
      </c>
      <c r="I44" s="47"/>
      <c r="J44" s="47"/>
      <c r="K44" s="48"/>
      <c r="L44" s="47"/>
      <c r="M44" s="47"/>
      <c r="N44" s="47"/>
      <c r="O44" s="47"/>
      <c r="P44" s="47"/>
      <c r="Q44" s="47"/>
      <c r="R44" s="47"/>
      <c r="S44" s="142">
        <f t="shared" si="4"/>
        <v>12</v>
      </c>
      <c r="T44" s="54">
        <v>0.4</v>
      </c>
      <c r="U44" s="43">
        <f t="shared" si="6"/>
        <v>4.8000000000000007</v>
      </c>
      <c r="V44" s="30">
        <f t="shared" si="7"/>
        <v>2518.7600000000002</v>
      </c>
      <c r="W44" s="30">
        <f t="shared" si="8"/>
        <v>30225.120000000003</v>
      </c>
      <c r="X44" s="31">
        <f>(150/30)*20</f>
        <v>100</v>
      </c>
      <c r="Y44" s="31">
        <f t="shared" si="11"/>
        <v>1200</v>
      </c>
      <c r="Z44" s="31">
        <f t="shared" si="13"/>
        <v>39.702075624513647</v>
      </c>
      <c r="AB44" s="87"/>
      <c r="AC44" s="59"/>
      <c r="AD44" s="58"/>
    </row>
    <row r="45" spans="2:31" ht="15" thickBot="1" x14ac:dyDescent="0.35">
      <c r="B45" s="255"/>
      <c r="C45" s="257"/>
      <c r="D45" s="135" t="s">
        <v>28</v>
      </c>
      <c r="E45" s="49">
        <v>2</v>
      </c>
      <c r="F45" s="49">
        <v>2</v>
      </c>
      <c r="G45" s="49">
        <v>2</v>
      </c>
      <c r="H45" s="49">
        <v>2</v>
      </c>
      <c r="I45" s="49">
        <v>5</v>
      </c>
      <c r="J45" s="49">
        <v>5</v>
      </c>
      <c r="K45" s="50">
        <v>5</v>
      </c>
      <c r="L45" s="49">
        <v>5</v>
      </c>
      <c r="M45" s="49">
        <v>5</v>
      </c>
      <c r="N45" s="49">
        <v>5</v>
      </c>
      <c r="O45" s="49"/>
      <c r="P45" s="49"/>
      <c r="Q45" s="49"/>
      <c r="R45" s="49"/>
      <c r="S45" s="143">
        <f t="shared" si="4"/>
        <v>38</v>
      </c>
      <c r="T45" s="55">
        <v>0.4</v>
      </c>
      <c r="U45" s="44">
        <f t="shared" si="6"/>
        <v>15.200000000000001</v>
      </c>
      <c r="V45" s="20">
        <f t="shared" si="7"/>
        <v>2518.7600000000002</v>
      </c>
      <c r="W45" s="20">
        <f t="shared" si="8"/>
        <v>95712.88</v>
      </c>
      <c r="X45" s="61">
        <f>(150/30)*10</f>
        <v>50</v>
      </c>
      <c r="Y45" s="21">
        <f t="shared" si="11"/>
        <v>1900</v>
      </c>
      <c r="Z45" s="21">
        <f t="shared" si="13"/>
        <v>19.851037812256823</v>
      </c>
      <c r="AB45" s="87"/>
      <c r="AC45" s="59"/>
      <c r="AD45" s="58"/>
      <c r="AE45" s="58"/>
    </row>
    <row r="46" spans="2:31" ht="15" customHeight="1" x14ac:dyDescent="0.3">
      <c r="B46" s="258" t="s">
        <v>65</v>
      </c>
      <c r="C46" s="260" t="s">
        <v>66</v>
      </c>
      <c r="D46" s="134" t="s">
        <v>27</v>
      </c>
      <c r="E46" s="51">
        <v>3</v>
      </c>
      <c r="F46" s="51">
        <v>3</v>
      </c>
      <c r="G46" s="51">
        <v>3</v>
      </c>
      <c r="H46" s="51">
        <v>3</v>
      </c>
      <c r="I46" s="51"/>
      <c r="J46" s="51"/>
      <c r="K46" s="52"/>
      <c r="L46" s="51"/>
      <c r="M46" s="51"/>
      <c r="N46" s="51"/>
      <c r="O46" s="51"/>
      <c r="P46" s="51"/>
      <c r="Q46" s="51"/>
      <c r="R46" s="51"/>
      <c r="S46" s="142">
        <f t="shared" si="4"/>
        <v>12</v>
      </c>
      <c r="T46" s="54">
        <v>1.2</v>
      </c>
      <c r="U46" s="43">
        <f t="shared" si="6"/>
        <v>14.399999999999999</v>
      </c>
      <c r="V46" s="30">
        <f t="shared" si="7"/>
        <v>7556.28</v>
      </c>
      <c r="W46" s="30">
        <f t="shared" si="8"/>
        <v>90675.36</v>
      </c>
      <c r="X46" s="31">
        <f>(145/30)*20</f>
        <v>96.666666666666657</v>
      </c>
      <c r="Y46" s="31">
        <f t="shared" si="11"/>
        <v>1160</v>
      </c>
      <c r="Z46" s="31">
        <f t="shared" si="13"/>
        <v>12.792891034565509</v>
      </c>
      <c r="AB46" s="87"/>
      <c r="AC46" s="59"/>
      <c r="AD46" s="58"/>
      <c r="AE46" s="58"/>
    </row>
    <row r="47" spans="2:31" ht="15" thickBot="1" x14ac:dyDescent="0.35">
      <c r="B47" s="259"/>
      <c r="C47" s="261"/>
      <c r="D47" s="135" t="s">
        <v>28</v>
      </c>
      <c r="E47" s="49">
        <v>2</v>
      </c>
      <c r="F47" s="49">
        <v>2</v>
      </c>
      <c r="G47" s="49">
        <v>2</v>
      </c>
      <c r="H47" s="49">
        <v>2</v>
      </c>
      <c r="I47" s="49">
        <v>5</v>
      </c>
      <c r="J47" s="49">
        <v>5</v>
      </c>
      <c r="K47" s="50">
        <v>5</v>
      </c>
      <c r="L47" s="49">
        <v>5</v>
      </c>
      <c r="M47" s="49">
        <v>5</v>
      </c>
      <c r="N47" s="49">
        <v>5</v>
      </c>
      <c r="O47" s="49"/>
      <c r="P47" s="49"/>
      <c r="Q47" s="49"/>
      <c r="R47" s="49"/>
      <c r="S47" s="143">
        <f t="shared" si="4"/>
        <v>38</v>
      </c>
      <c r="T47" s="55">
        <v>1.2</v>
      </c>
      <c r="U47" s="44">
        <f t="shared" si="6"/>
        <v>45.6</v>
      </c>
      <c r="V47" s="20">
        <f t="shared" si="7"/>
        <v>7556.28</v>
      </c>
      <c r="W47" s="20">
        <f t="shared" si="8"/>
        <v>287138.64</v>
      </c>
      <c r="X47" s="61">
        <f>(145/30)*10</f>
        <v>48.333333333333329</v>
      </c>
      <c r="Y47" s="21">
        <f t="shared" si="11"/>
        <v>1836.6666666666665</v>
      </c>
      <c r="Z47" s="21">
        <f t="shared" si="13"/>
        <v>6.3964455172827543</v>
      </c>
      <c r="AA47" s="59"/>
      <c r="AB47" s="87"/>
      <c r="AC47" s="59"/>
      <c r="AD47" s="58"/>
    </row>
    <row r="48" spans="2:31" s="40" customFormat="1" ht="20.25" customHeight="1" thickBot="1" x14ac:dyDescent="0.3">
      <c r="B48" s="22"/>
      <c r="C48" s="23"/>
      <c r="D48" s="34"/>
      <c r="E48" s="150">
        <f>SUM(E13:E47)</f>
        <v>30</v>
      </c>
      <c r="F48" s="150">
        <f>SUM(F13:F47)</f>
        <v>29</v>
      </c>
      <c r="G48" s="150">
        <f>SUM(G13:G47)</f>
        <v>26</v>
      </c>
      <c r="H48" s="150">
        <f>SUM(H13:H47)</f>
        <v>25</v>
      </c>
      <c r="I48" s="63">
        <f t="shared" ref="I48:R48" si="14">SUM(I13:I47)</f>
        <v>24</v>
      </c>
      <c r="J48" s="63">
        <f t="shared" si="14"/>
        <v>26</v>
      </c>
      <c r="K48" s="63">
        <f t="shared" si="14"/>
        <v>27</v>
      </c>
      <c r="L48" s="62">
        <f t="shared" si="14"/>
        <v>25</v>
      </c>
      <c r="M48" s="63">
        <f t="shared" si="14"/>
        <v>24</v>
      </c>
      <c r="N48" s="63">
        <f t="shared" si="14"/>
        <v>23</v>
      </c>
      <c r="O48" s="63">
        <f t="shared" si="14"/>
        <v>0</v>
      </c>
      <c r="P48" s="63">
        <f t="shared" si="14"/>
        <v>0</v>
      </c>
      <c r="Q48" s="63">
        <f t="shared" si="14"/>
        <v>3</v>
      </c>
      <c r="R48" s="63">
        <f t="shared" si="14"/>
        <v>3</v>
      </c>
      <c r="S48" s="149">
        <f>SUM(S13:S47)</f>
        <v>265</v>
      </c>
      <c r="T48" s="35"/>
      <c r="U48" s="36">
        <f>SUM(U13:U47)</f>
        <v>378.39999999999992</v>
      </c>
      <c r="V48" s="37"/>
      <c r="W48" s="38">
        <f>SUM(W13:W47)</f>
        <v>2382746.96</v>
      </c>
      <c r="X48" s="39"/>
      <c r="Y48" s="41">
        <f>SUM(Y13:Y47)</f>
        <v>42800.666666666664</v>
      </c>
      <c r="AB48" s="60"/>
    </row>
    <row r="49" spans="2:25" x14ac:dyDescent="0.3">
      <c r="B49" s="22"/>
      <c r="C49" s="23" t="s">
        <v>36</v>
      </c>
      <c r="D49" s="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8"/>
      <c r="T49" s="4"/>
      <c r="U49" s="8"/>
      <c r="V49" s="5"/>
      <c r="W49" s="9"/>
      <c r="X49" s="6"/>
      <c r="Y49" s="10"/>
    </row>
    <row r="50" spans="2:25" x14ac:dyDescent="0.3">
      <c r="B50" s="22"/>
      <c r="C50" s="23" t="s">
        <v>35</v>
      </c>
      <c r="D50" s="11">
        <v>450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8"/>
      <c r="T50" s="4"/>
      <c r="U50" s="8"/>
      <c r="V50" s="5"/>
      <c r="W50" s="9"/>
      <c r="X50" s="6"/>
      <c r="Y50" s="10"/>
    </row>
    <row r="51" spans="2:25" x14ac:dyDescent="0.3">
      <c r="B51" s="22"/>
      <c r="C51" s="24"/>
      <c r="D51" s="1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8"/>
      <c r="T51" s="4"/>
      <c r="U51" s="8"/>
      <c r="V51" s="5"/>
      <c r="W51" s="9"/>
      <c r="X51" s="6"/>
      <c r="Y51" s="10"/>
    </row>
    <row r="52" spans="2:25" ht="15.6" x14ac:dyDescent="0.3">
      <c r="B52" s="25"/>
      <c r="C52" s="26" t="s">
        <v>32</v>
      </c>
      <c r="D52" s="42">
        <f>+Y48+D50</f>
        <v>43250.666666666664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100"/>
      <c r="T52" s="4"/>
      <c r="U52" s="6"/>
      <c r="V52" s="5"/>
      <c r="W52" s="45"/>
      <c r="X52" s="6"/>
      <c r="Y52" s="10"/>
    </row>
    <row r="53" spans="2:25" x14ac:dyDescent="0.3">
      <c r="C53" s="23"/>
      <c r="Y53" s="29"/>
    </row>
    <row r="54" spans="2:25" x14ac:dyDescent="0.3">
      <c r="U54" s="29"/>
      <c r="Y54" s="46"/>
    </row>
  </sheetData>
  <mergeCells count="39">
    <mergeCell ref="B10:D10"/>
    <mergeCell ref="S11:S12"/>
    <mergeCell ref="T11:T12"/>
    <mergeCell ref="U11:U12"/>
    <mergeCell ref="T4:U4"/>
    <mergeCell ref="T7:U7"/>
    <mergeCell ref="I8:K8"/>
    <mergeCell ref="T8:U8"/>
    <mergeCell ref="I9:R9"/>
    <mergeCell ref="E10:R10"/>
    <mergeCell ref="V11:V12"/>
    <mergeCell ref="Z11:Z12"/>
    <mergeCell ref="B13:B23"/>
    <mergeCell ref="C13:C14"/>
    <mergeCell ref="C15:C16"/>
    <mergeCell ref="C17:C18"/>
    <mergeCell ref="C19:C20"/>
    <mergeCell ref="C22:C23"/>
    <mergeCell ref="B11:B12"/>
    <mergeCell ref="D11:D12"/>
    <mergeCell ref="C11:C12"/>
    <mergeCell ref="B24:B35"/>
    <mergeCell ref="C24:C25"/>
    <mergeCell ref="C26:C27"/>
    <mergeCell ref="C28:C29"/>
    <mergeCell ref="C30:C31"/>
    <mergeCell ref="C32:C33"/>
    <mergeCell ref="C34:C35"/>
    <mergeCell ref="B44:B45"/>
    <mergeCell ref="C44:C45"/>
    <mergeCell ref="B46:B47"/>
    <mergeCell ref="C46:C47"/>
    <mergeCell ref="B36:B39"/>
    <mergeCell ref="C36:C37"/>
    <mergeCell ref="C38:C39"/>
    <mergeCell ref="B40:B41"/>
    <mergeCell ref="C40:C41"/>
    <mergeCell ref="B42:B43"/>
    <mergeCell ref="C42:C43"/>
  </mergeCells>
  <pageMargins left="0.70866141732283472" right="0.70866141732283472" top="0.74803149606299213" bottom="0.74803149606299213" header="0.31496062992125984" footer="0.31496062992125984"/>
  <pageSetup paperSize="9" scale="4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54"/>
  <sheetViews>
    <sheetView topLeftCell="A13" zoomScale="77" zoomScaleNormal="77" workbookViewId="0">
      <selection activeCell="AC22" sqref="AC22"/>
    </sheetView>
  </sheetViews>
  <sheetFormatPr baseColWidth="10" defaultColWidth="11.44140625" defaultRowHeight="14.4" x14ac:dyDescent="0.3"/>
  <cols>
    <col min="1" max="1" width="4.6640625" style="2" customWidth="1"/>
    <col min="2" max="2" width="14.5546875" style="2" customWidth="1"/>
    <col min="3" max="3" width="53.44140625" style="2" customWidth="1"/>
    <col min="4" max="4" width="14.44140625" style="2" customWidth="1"/>
    <col min="5" max="8" width="3.44140625" style="2" bestFit="1" customWidth="1"/>
    <col min="9" max="14" width="3.6640625" style="2" customWidth="1"/>
    <col min="15" max="15" width="4.44140625" style="2" customWidth="1"/>
    <col min="16" max="18" width="3.6640625" style="2" customWidth="1"/>
    <col min="19" max="19" width="8.33203125" style="2" customWidth="1"/>
    <col min="20" max="20" width="8" style="2" customWidth="1"/>
    <col min="21" max="21" width="8.33203125" style="2" customWidth="1"/>
    <col min="22" max="22" width="14.5546875" style="2" bestFit="1" customWidth="1"/>
    <col min="23" max="23" width="11.44140625" style="2"/>
    <col min="24" max="25" width="12.6640625" style="2" bestFit="1" customWidth="1"/>
    <col min="26" max="26" width="11.5546875" style="2" bestFit="1" customWidth="1"/>
    <col min="27" max="29" width="11.44140625" style="2"/>
    <col min="30" max="31" width="13.5546875" style="2" bestFit="1" customWidth="1"/>
    <col min="32" max="16384" width="11.44140625" style="2"/>
  </cols>
  <sheetData>
    <row r="2" spans="2:31" x14ac:dyDescent="0.3">
      <c r="V2" s="13"/>
    </row>
    <row r="3" spans="2:31" x14ac:dyDescent="0.3">
      <c r="C3" s="14"/>
      <c r="T3" s="1" t="s">
        <v>29</v>
      </c>
    </row>
    <row r="4" spans="2:31" x14ac:dyDescent="0.3"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T4" s="283" t="s">
        <v>30</v>
      </c>
      <c r="U4" s="283"/>
      <c r="V4" s="16" t="s">
        <v>67</v>
      </c>
      <c r="W4" s="1"/>
      <c r="X4" s="1"/>
    </row>
    <row r="5" spans="2:31" x14ac:dyDescent="0.3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68" t="s">
        <v>42</v>
      </c>
      <c r="U5" s="168"/>
      <c r="V5" s="16" t="s">
        <v>73</v>
      </c>
      <c r="W5" s="1"/>
      <c r="X5" s="1"/>
    </row>
    <row r="6" spans="2:31" x14ac:dyDescent="0.3">
      <c r="C6" s="1" t="s">
        <v>24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68" t="s">
        <v>23</v>
      </c>
      <c r="U6" s="168"/>
      <c r="V6" s="16" t="s">
        <v>41</v>
      </c>
      <c r="AD6" s="56"/>
      <c r="AE6" s="57"/>
    </row>
    <row r="7" spans="2:31" x14ac:dyDescent="0.3">
      <c r="C7" s="1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83" t="s">
        <v>21</v>
      </c>
      <c r="U7" s="283"/>
      <c r="V7" s="17" t="s">
        <v>22</v>
      </c>
      <c r="AD7" s="56"/>
      <c r="AE7" s="57"/>
    </row>
    <row r="8" spans="2:31" x14ac:dyDescent="0.3">
      <c r="C8" s="1" t="s">
        <v>25</v>
      </c>
      <c r="E8" s="177"/>
      <c r="F8" s="177"/>
      <c r="G8" s="172"/>
      <c r="H8" s="169"/>
      <c r="I8" s="284"/>
      <c r="J8" s="284"/>
      <c r="K8" s="284"/>
      <c r="L8" s="169"/>
      <c r="M8" s="169"/>
      <c r="N8" s="169"/>
      <c r="O8" s="169"/>
      <c r="P8" s="169"/>
      <c r="Q8" s="169"/>
      <c r="R8" s="169"/>
      <c r="T8" s="283" t="s">
        <v>18</v>
      </c>
      <c r="U8" s="283"/>
      <c r="V8" s="53">
        <f>629.69*1000</f>
        <v>629690</v>
      </c>
      <c r="W8" s="53"/>
      <c r="AD8" s="56"/>
      <c r="AE8" s="59"/>
    </row>
    <row r="9" spans="2:31" ht="15" thickBot="1" x14ac:dyDescent="0.35">
      <c r="C9" s="1"/>
      <c r="I9" s="285"/>
      <c r="J9" s="285"/>
      <c r="K9" s="285"/>
      <c r="L9" s="285"/>
      <c r="M9" s="285"/>
      <c r="N9" s="285"/>
      <c r="O9" s="285"/>
      <c r="P9" s="285"/>
      <c r="Q9" s="285"/>
      <c r="R9" s="285"/>
    </row>
    <row r="10" spans="2:31" ht="15" thickBot="1" x14ac:dyDescent="0.35">
      <c r="B10" s="280" t="s">
        <v>17</v>
      </c>
      <c r="C10" s="281"/>
      <c r="D10" s="282"/>
      <c r="E10" s="280" t="s">
        <v>97</v>
      </c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6"/>
      <c r="AE10" s="59"/>
    </row>
    <row r="11" spans="2:31" x14ac:dyDescent="0.3">
      <c r="B11" s="276" t="s">
        <v>9</v>
      </c>
      <c r="C11" s="276" t="s">
        <v>8</v>
      </c>
      <c r="D11" s="278" t="s">
        <v>10</v>
      </c>
      <c r="E11" s="125" t="s">
        <v>1</v>
      </c>
      <c r="F11" s="125" t="s">
        <v>2</v>
      </c>
      <c r="G11" s="125" t="s">
        <v>2</v>
      </c>
      <c r="H11" s="125" t="s">
        <v>3</v>
      </c>
      <c r="I11" s="125" t="s">
        <v>4</v>
      </c>
      <c r="J11" s="125" t="s">
        <v>5</v>
      </c>
      <c r="K11" s="151" t="s">
        <v>0</v>
      </c>
      <c r="L11" s="127" t="s">
        <v>1</v>
      </c>
      <c r="M11" s="125" t="s">
        <v>2</v>
      </c>
      <c r="N11" s="125" t="s">
        <v>2</v>
      </c>
      <c r="O11" s="125" t="s">
        <v>3</v>
      </c>
      <c r="P11" s="127" t="s">
        <v>4</v>
      </c>
      <c r="Q11" s="125" t="s">
        <v>5</v>
      </c>
      <c r="R11" s="152" t="s">
        <v>0</v>
      </c>
      <c r="S11" s="278" t="s">
        <v>11</v>
      </c>
      <c r="T11" s="270" t="s">
        <v>12</v>
      </c>
      <c r="U11" s="278" t="s">
        <v>7</v>
      </c>
      <c r="V11" s="270" t="s">
        <v>13</v>
      </c>
      <c r="W11" s="18" t="s">
        <v>14</v>
      </c>
      <c r="X11" s="19" t="s">
        <v>16</v>
      </c>
      <c r="Y11" s="18" t="s">
        <v>15</v>
      </c>
      <c r="Z11" s="272" t="s">
        <v>31</v>
      </c>
      <c r="AC11" s="59"/>
      <c r="AD11" s="122"/>
    </row>
    <row r="12" spans="2:31" ht="15" thickBot="1" x14ac:dyDescent="0.35">
      <c r="B12" s="277"/>
      <c r="C12" s="277"/>
      <c r="D12" s="279"/>
      <c r="E12" s="126">
        <v>3</v>
      </c>
      <c r="F12" s="126">
        <v>4</v>
      </c>
      <c r="G12" s="126">
        <v>3</v>
      </c>
      <c r="H12" s="126">
        <v>4</v>
      </c>
      <c r="I12" s="126">
        <v>5</v>
      </c>
      <c r="J12" s="126">
        <v>6</v>
      </c>
      <c r="K12" s="126">
        <v>7</v>
      </c>
      <c r="L12" s="126">
        <v>8</v>
      </c>
      <c r="M12" s="126">
        <v>9</v>
      </c>
      <c r="N12" s="126">
        <v>10</v>
      </c>
      <c r="O12" s="126">
        <v>11</v>
      </c>
      <c r="P12" s="126">
        <v>12</v>
      </c>
      <c r="Q12" s="126">
        <v>13</v>
      </c>
      <c r="R12" s="126">
        <v>14</v>
      </c>
      <c r="S12" s="279"/>
      <c r="T12" s="271"/>
      <c r="U12" s="279"/>
      <c r="V12" s="271"/>
      <c r="W12" s="155" t="s">
        <v>6</v>
      </c>
      <c r="X12" s="156" t="s">
        <v>19</v>
      </c>
      <c r="Y12" s="155" t="s">
        <v>20</v>
      </c>
      <c r="Z12" s="273"/>
      <c r="AC12" s="59"/>
      <c r="AD12" s="122"/>
      <c r="AE12" s="59"/>
    </row>
    <row r="13" spans="2:31" s="88" customFormat="1" x14ac:dyDescent="0.3">
      <c r="B13" s="262" t="s">
        <v>91</v>
      </c>
      <c r="C13" s="256" t="s">
        <v>96</v>
      </c>
      <c r="D13" s="134" t="s">
        <v>27</v>
      </c>
      <c r="E13" s="26">
        <v>1</v>
      </c>
      <c r="F13" s="26"/>
      <c r="G13" s="26"/>
      <c r="H13" s="26"/>
      <c r="I13" s="26"/>
      <c r="J13" s="26"/>
      <c r="K13" s="124"/>
      <c r="L13" s="26"/>
      <c r="M13" s="26"/>
      <c r="N13" s="26"/>
      <c r="O13" s="26"/>
      <c r="P13" s="26"/>
      <c r="Q13" s="26"/>
      <c r="R13" s="153"/>
      <c r="S13" s="140">
        <f>SUM(E13:R13)</f>
        <v>1</v>
      </c>
      <c r="T13" s="173">
        <v>4.9000000000000004</v>
      </c>
      <c r="U13" s="43">
        <f t="shared" ref="U13:U20" si="0">S13*T13</f>
        <v>4.9000000000000004</v>
      </c>
      <c r="V13" s="30">
        <f t="shared" ref="V13:V20" si="1">$V$8/1000*T13/100*1000</f>
        <v>30854.810000000009</v>
      </c>
      <c r="W13" s="30">
        <f t="shared" ref="W13:W20" si="2">S13*V13</f>
        <v>30854.810000000009</v>
      </c>
      <c r="X13" s="32">
        <f>(2200/30)*20</f>
        <v>1466.6666666666665</v>
      </c>
      <c r="Y13" s="31">
        <f>S13*X13</f>
        <v>1466.6666666666665</v>
      </c>
      <c r="Z13" s="31">
        <f t="shared" ref="Z13:Z20" si="3">+X13*1000/V13</f>
        <v>47.534457890574146</v>
      </c>
      <c r="AB13" s="88" t="s">
        <v>89</v>
      </c>
      <c r="AC13" s="121">
        <f>SUM(U13,U14,U15,U16,U17,U18,U19,U20,U26,U27,U28,U29,U30,U36,U37,U38,U39,U40,U41,U42,U43,U45,U44,U31,U46,U47)</f>
        <v>322.79999999999995</v>
      </c>
      <c r="AD13" s="166">
        <f>AC13/U48</f>
        <v>0.79098260230335693</v>
      </c>
    </row>
    <row r="14" spans="2:31" s="88" customFormat="1" ht="15" thickBot="1" x14ac:dyDescent="0.35">
      <c r="B14" s="262"/>
      <c r="C14" s="257"/>
      <c r="D14" s="135" t="s">
        <v>28</v>
      </c>
      <c r="E14" s="176"/>
      <c r="F14" s="176">
        <v>1</v>
      </c>
      <c r="G14" s="171">
        <v>1</v>
      </c>
      <c r="H14" s="170">
        <v>1</v>
      </c>
      <c r="I14" s="170">
        <v>1</v>
      </c>
      <c r="J14" s="170"/>
      <c r="K14" s="123"/>
      <c r="L14" s="170">
        <v>1</v>
      </c>
      <c r="M14" s="170"/>
      <c r="N14" s="170"/>
      <c r="O14" s="170"/>
      <c r="P14" s="170"/>
      <c r="Q14" s="170"/>
      <c r="R14" s="154"/>
      <c r="S14" s="141">
        <f t="shared" ref="S14:S47" si="4">SUM(E14:R14)</f>
        <v>5</v>
      </c>
      <c r="T14" s="174">
        <v>4.9000000000000004</v>
      </c>
      <c r="U14" s="44">
        <f t="shared" si="0"/>
        <v>24.5</v>
      </c>
      <c r="V14" s="20">
        <f t="shared" si="1"/>
        <v>30854.810000000009</v>
      </c>
      <c r="W14" s="20">
        <f t="shared" si="2"/>
        <v>154274.05000000005</v>
      </c>
      <c r="X14" s="33">
        <f>(2200/30)*10</f>
        <v>733.33333333333326</v>
      </c>
      <c r="Y14" s="21">
        <f>S14*X14</f>
        <v>3666.6666666666661</v>
      </c>
      <c r="Z14" s="21">
        <f t="shared" si="3"/>
        <v>23.767228945287073</v>
      </c>
      <c r="AB14" s="88" t="s">
        <v>90</v>
      </c>
      <c r="AC14" s="167">
        <f>SUM(U22,U23,U32,U33,U34,U35,U24,U25)</f>
        <v>85.3</v>
      </c>
      <c r="AD14" s="175">
        <f>AC14/U48</f>
        <v>0.20901739769664299</v>
      </c>
    </row>
    <row r="15" spans="2:31" x14ac:dyDescent="0.3">
      <c r="B15" s="262"/>
      <c r="C15" s="256" t="s">
        <v>79</v>
      </c>
      <c r="D15" s="134" t="s">
        <v>27</v>
      </c>
      <c r="E15" s="47"/>
      <c r="F15" s="47"/>
      <c r="G15" s="47"/>
      <c r="H15" s="47"/>
      <c r="I15" s="47"/>
      <c r="J15" s="47"/>
      <c r="K15" s="48"/>
      <c r="L15" s="47"/>
      <c r="M15" s="47"/>
      <c r="N15" s="47"/>
      <c r="O15" s="47"/>
      <c r="P15" s="47"/>
      <c r="Q15" s="47"/>
      <c r="R15" s="47"/>
      <c r="S15" s="142">
        <f t="shared" si="4"/>
        <v>0</v>
      </c>
      <c r="T15" s="54">
        <v>3.3</v>
      </c>
      <c r="U15" s="43">
        <f t="shared" si="0"/>
        <v>0</v>
      </c>
      <c r="V15" s="30">
        <f t="shared" si="1"/>
        <v>20779.77</v>
      </c>
      <c r="W15" s="30">
        <f t="shared" si="2"/>
        <v>0</v>
      </c>
      <c r="X15" s="31">
        <f>(2420/30)*20</f>
        <v>1613.3333333333335</v>
      </c>
      <c r="Y15" s="31">
        <f t="shared" ref="Y15:Y23" si="5">S15*X15</f>
        <v>0</v>
      </c>
      <c r="Z15" s="31">
        <f t="shared" si="3"/>
        <v>77.639614554604478</v>
      </c>
      <c r="AB15" s="101"/>
      <c r="AC15" s="87"/>
      <c r="AD15" s="58"/>
    </row>
    <row r="16" spans="2:31" ht="15" thickBot="1" x14ac:dyDescent="0.35">
      <c r="B16" s="262"/>
      <c r="C16" s="257"/>
      <c r="D16" s="135" t="s">
        <v>28</v>
      </c>
      <c r="E16" s="49">
        <v>1</v>
      </c>
      <c r="F16" s="49">
        <v>1</v>
      </c>
      <c r="G16" s="49">
        <v>1</v>
      </c>
      <c r="H16" s="49"/>
      <c r="I16" s="49"/>
      <c r="J16" s="49"/>
      <c r="K16" s="50"/>
      <c r="L16" s="49"/>
      <c r="M16" s="49"/>
      <c r="N16" s="49"/>
      <c r="O16" s="49"/>
      <c r="P16" s="49"/>
      <c r="Q16" s="49"/>
      <c r="R16" s="49"/>
      <c r="S16" s="143">
        <f t="shared" si="4"/>
        <v>3</v>
      </c>
      <c r="T16" s="55">
        <v>3.3</v>
      </c>
      <c r="U16" s="44">
        <f t="shared" si="0"/>
        <v>9.8999999999999986</v>
      </c>
      <c r="V16" s="20">
        <f t="shared" si="1"/>
        <v>20779.77</v>
      </c>
      <c r="W16" s="20">
        <f t="shared" si="2"/>
        <v>62339.31</v>
      </c>
      <c r="X16" s="21">
        <f>(2420/30)*10</f>
        <v>806.66666666666674</v>
      </c>
      <c r="Y16" s="21">
        <f t="shared" si="5"/>
        <v>2420</v>
      </c>
      <c r="Z16" s="21">
        <f t="shared" si="3"/>
        <v>38.819807277302239</v>
      </c>
      <c r="AB16" s="87"/>
      <c r="AC16" s="59"/>
      <c r="AD16" s="58"/>
    </row>
    <row r="17" spans="2:30" x14ac:dyDescent="0.3">
      <c r="B17" s="262"/>
      <c r="C17" s="256" t="s">
        <v>80</v>
      </c>
      <c r="D17" s="134" t="s">
        <v>27</v>
      </c>
      <c r="E17" s="47"/>
      <c r="F17" s="47"/>
      <c r="G17" s="47"/>
      <c r="H17" s="47"/>
      <c r="I17" s="47"/>
      <c r="J17" s="47"/>
      <c r="K17" s="48"/>
      <c r="L17" s="47"/>
      <c r="M17" s="47"/>
      <c r="N17" s="47"/>
      <c r="O17" s="47"/>
      <c r="P17" s="47"/>
      <c r="Q17" s="47"/>
      <c r="R17" s="47"/>
      <c r="S17" s="144">
        <f t="shared" si="4"/>
        <v>0</v>
      </c>
      <c r="T17" s="66">
        <v>2.1</v>
      </c>
      <c r="U17" s="64">
        <f t="shared" si="0"/>
        <v>0</v>
      </c>
      <c r="V17" s="65">
        <f t="shared" si="1"/>
        <v>13223.490000000002</v>
      </c>
      <c r="W17" s="65">
        <f t="shared" si="2"/>
        <v>0</v>
      </c>
      <c r="X17" s="28">
        <f>(2750/30)*20</f>
        <v>1833.3333333333335</v>
      </c>
      <c r="Y17" s="28">
        <f t="shared" si="5"/>
        <v>0</v>
      </c>
      <c r="Z17" s="28">
        <f t="shared" si="3"/>
        <v>138.64216884750797</v>
      </c>
      <c r="AB17" s="87"/>
      <c r="AC17" s="59"/>
      <c r="AD17" s="58"/>
    </row>
    <row r="18" spans="2:30" ht="15" thickBot="1" x14ac:dyDescent="0.35">
      <c r="B18" s="262"/>
      <c r="C18" s="257"/>
      <c r="D18" s="135" t="s">
        <v>28</v>
      </c>
      <c r="E18" s="49"/>
      <c r="F18" s="49"/>
      <c r="G18" s="49"/>
      <c r="H18" s="49"/>
      <c r="I18" s="49"/>
      <c r="J18" s="49">
        <v>1</v>
      </c>
      <c r="K18" s="50"/>
      <c r="L18" s="49"/>
      <c r="M18" s="49"/>
      <c r="N18" s="49"/>
      <c r="O18" s="49"/>
      <c r="P18" s="49"/>
      <c r="Q18" s="49"/>
      <c r="R18" s="49"/>
      <c r="S18" s="141">
        <f t="shared" si="4"/>
        <v>1</v>
      </c>
      <c r="T18" s="67">
        <v>2.1</v>
      </c>
      <c r="U18" s="69">
        <f t="shared" si="0"/>
        <v>2.1</v>
      </c>
      <c r="V18" s="70">
        <f t="shared" si="1"/>
        <v>13223.490000000002</v>
      </c>
      <c r="W18" s="70">
        <f t="shared" si="2"/>
        <v>13223.490000000002</v>
      </c>
      <c r="X18" s="33">
        <f>(2750/30)*10</f>
        <v>916.66666666666674</v>
      </c>
      <c r="Y18" s="33">
        <f t="shared" si="5"/>
        <v>916.66666666666674</v>
      </c>
      <c r="Z18" s="33">
        <f t="shared" si="3"/>
        <v>69.321084423753987</v>
      </c>
      <c r="AB18" s="87"/>
      <c r="AC18" s="59"/>
      <c r="AD18" s="58"/>
    </row>
    <row r="19" spans="2:30" ht="15" thickBot="1" x14ac:dyDescent="0.35">
      <c r="B19" s="262"/>
      <c r="C19" s="256" t="s">
        <v>69</v>
      </c>
      <c r="D19" s="134" t="s">
        <v>27</v>
      </c>
      <c r="E19" s="47"/>
      <c r="F19" s="47"/>
      <c r="G19" s="47"/>
      <c r="H19" s="47"/>
      <c r="I19" s="47"/>
      <c r="J19" s="47"/>
      <c r="K19" s="48"/>
      <c r="L19" s="47"/>
      <c r="M19" s="47"/>
      <c r="N19" s="47"/>
      <c r="O19" s="47"/>
      <c r="P19" s="47"/>
      <c r="Q19" s="47"/>
      <c r="R19" s="47"/>
      <c r="S19" s="144">
        <f t="shared" si="4"/>
        <v>0</v>
      </c>
      <c r="T19" s="66">
        <v>2.4</v>
      </c>
      <c r="U19" s="64">
        <f t="shared" si="0"/>
        <v>0</v>
      </c>
      <c r="V19" s="65">
        <f t="shared" si="1"/>
        <v>15112.56</v>
      </c>
      <c r="W19" s="65">
        <f t="shared" si="2"/>
        <v>0</v>
      </c>
      <c r="X19" s="21">
        <f>(2750/30)*20</f>
        <v>1833.3333333333335</v>
      </c>
      <c r="Y19" s="28">
        <f t="shared" si="5"/>
        <v>0</v>
      </c>
      <c r="Z19" s="28">
        <f t="shared" si="3"/>
        <v>121.3118977415695</v>
      </c>
      <c r="AB19" s="87"/>
      <c r="AC19" s="59"/>
      <c r="AD19" s="58"/>
    </row>
    <row r="20" spans="2:30" ht="15" thickBot="1" x14ac:dyDescent="0.35">
      <c r="B20" s="262"/>
      <c r="C20" s="257"/>
      <c r="D20" s="135" t="s">
        <v>28</v>
      </c>
      <c r="E20" s="49"/>
      <c r="F20" s="49"/>
      <c r="G20" s="49"/>
      <c r="H20" s="49"/>
      <c r="I20" s="49"/>
      <c r="J20" s="49"/>
      <c r="K20" s="50">
        <v>1</v>
      </c>
      <c r="L20" s="49"/>
      <c r="M20" s="49"/>
      <c r="N20" s="49"/>
      <c r="O20" s="49"/>
      <c r="P20" s="49"/>
      <c r="Q20" s="49"/>
      <c r="R20" s="49"/>
      <c r="S20" s="141">
        <f t="shared" si="4"/>
        <v>1</v>
      </c>
      <c r="T20" s="68">
        <v>2.4</v>
      </c>
      <c r="U20" s="69">
        <f t="shared" si="0"/>
        <v>2.4</v>
      </c>
      <c r="V20" s="70">
        <f t="shared" si="1"/>
        <v>15112.56</v>
      </c>
      <c r="W20" s="70">
        <f t="shared" si="2"/>
        <v>15112.56</v>
      </c>
      <c r="X20" s="33">
        <f>(2750/30)*10</f>
        <v>916.66666666666674</v>
      </c>
      <c r="Y20" s="33">
        <f t="shared" si="5"/>
        <v>916.66666666666674</v>
      </c>
      <c r="Z20" s="33">
        <f t="shared" si="3"/>
        <v>60.655948870784748</v>
      </c>
      <c r="AB20" s="87"/>
      <c r="AC20" s="59"/>
      <c r="AD20" s="58"/>
    </row>
    <row r="21" spans="2:30" x14ac:dyDescent="0.3">
      <c r="B21" s="262"/>
      <c r="C21" s="133" t="s">
        <v>40</v>
      </c>
      <c r="D21" s="134"/>
      <c r="E21" s="47"/>
      <c r="F21" s="47"/>
      <c r="G21" s="47"/>
      <c r="H21" s="47"/>
      <c r="I21" s="47"/>
      <c r="J21" s="47"/>
      <c r="K21" s="48"/>
      <c r="L21" s="47"/>
      <c r="M21" s="47"/>
      <c r="N21" s="47"/>
      <c r="O21" s="47"/>
      <c r="P21" s="47"/>
      <c r="Q21" s="47"/>
      <c r="R21" s="47"/>
      <c r="S21" s="144">
        <f t="shared" si="4"/>
        <v>0</v>
      </c>
      <c r="T21" s="71"/>
      <c r="U21" s="64"/>
      <c r="V21" s="65"/>
      <c r="W21" s="65"/>
      <c r="X21" s="28"/>
      <c r="Y21" s="28"/>
      <c r="Z21" s="28"/>
      <c r="AB21" s="87"/>
      <c r="AC21" s="59"/>
      <c r="AD21" s="58"/>
    </row>
    <row r="22" spans="2:30" x14ac:dyDescent="0.3">
      <c r="B22" s="262"/>
      <c r="C22" s="274" t="s">
        <v>76</v>
      </c>
      <c r="D22" s="136" t="s">
        <v>27</v>
      </c>
      <c r="E22" s="72">
        <v>1</v>
      </c>
      <c r="F22" s="72"/>
      <c r="G22" s="72"/>
      <c r="H22" s="72"/>
      <c r="I22" s="72"/>
      <c r="J22" s="72"/>
      <c r="K22" s="73"/>
      <c r="L22" s="72"/>
      <c r="M22" s="72"/>
      <c r="N22" s="72"/>
      <c r="O22" s="72"/>
      <c r="P22" s="72"/>
      <c r="Q22" s="72"/>
      <c r="R22" s="72"/>
      <c r="S22" s="145">
        <f t="shared" si="4"/>
        <v>1</v>
      </c>
      <c r="T22" s="84">
        <v>1.3</v>
      </c>
      <c r="U22" s="80">
        <f t="shared" ref="U22:U47" si="6">S22*T22</f>
        <v>1.3</v>
      </c>
      <c r="V22" s="81">
        <f t="shared" ref="V22:V47" si="7">$V$8/1000*T22/100*1000</f>
        <v>8185.9700000000012</v>
      </c>
      <c r="W22" s="81">
        <f t="shared" ref="W22:W47" si="8">S22*V22</f>
        <v>8185.9700000000012</v>
      </c>
      <c r="X22" s="82">
        <f>(0/30)*20</f>
        <v>0</v>
      </c>
      <c r="Y22" s="82">
        <f t="shared" si="5"/>
        <v>0</v>
      </c>
      <c r="Z22" s="82">
        <f t="shared" ref="Z22:Z35" si="9">+X22*1000/V22</f>
        <v>0</v>
      </c>
      <c r="AB22" s="87"/>
      <c r="AC22" s="59"/>
      <c r="AD22" s="58"/>
    </row>
    <row r="23" spans="2:30" ht="15" thickBot="1" x14ac:dyDescent="0.35">
      <c r="B23" s="255"/>
      <c r="C23" s="275"/>
      <c r="D23" s="137" t="s">
        <v>28</v>
      </c>
      <c r="E23" s="74">
        <v>1</v>
      </c>
      <c r="F23" s="74">
        <v>1</v>
      </c>
      <c r="G23" s="74">
        <v>1</v>
      </c>
      <c r="H23" s="74">
        <v>1</v>
      </c>
      <c r="I23" s="74">
        <v>1</v>
      </c>
      <c r="J23" s="74"/>
      <c r="K23" s="75"/>
      <c r="L23" s="74">
        <v>1</v>
      </c>
      <c r="M23" s="74">
        <v>1</v>
      </c>
      <c r="N23" s="74">
        <v>1</v>
      </c>
      <c r="O23" s="74"/>
      <c r="P23" s="74"/>
      <c r="Q23" s="74"/>
      <c r="R23" s="74"/>
      <c r="S23" s="146">
        <f t="shared" si="4"/>
        <v>8</v>
      </c>
      <c r="T23" s="76">
        <v>1.3</v>
      </c>
      <c r="U23" s="77">
        <f t="shared" si="6"/>
        <v>10.4</v>
      </c>
      <c r="V23" s="78">
        <f t="shared" si="7"/>
        <v>8185.9700000000012</v>
      </c>
      <c r="W23" s="78">
        <f t="shared" si="8"/>
        <v>65487.760000000009</v>
      </c>
      <c r="X23" s="79">
        <f>(0/30)*10</f>
        <v>0</v>
      </c>
      <c r="Y23" s="79">
        <f t="shared" si="5"/>
        <v>0</v>
      </c>
      <c r="Z23" s="79">
        <f t="shared" si="9"/>
        <v>0</v>
      </c>
      <c r="AB23" s="87"/>
      <c r="AC23" s="59"/>
      <c r="AD23" s="58"/>
    </row>
    <row r="24" spans="2:30" x14ac:dyDescent="0.3">
      <c r="B24" s="254" t="s">
        <v>37</v>
      </c>
      <c r="C24" s="266" t="s">
        <v>43</v>
      </c>
      <c r="D24" s="134" t="s">
        <v>27</v>
      </c>
      <c r="E24" s="47">
        <v>2</v>
      </c>
      <c r="F24" s="47">
        <v>2</v>
      </c>
      <c r="G24" s="47"/>
      <c r="H24" s="47"/>
      <c r="I24" s="47"/>
      <c r="J24" s="47"/>
      <c r="K24" s="48"/>
      <c r="L24" s="47"/>
      <c r="M24" s="47"/>
      <c r="N24" s="47"/>
      <c r="O24" s="47"/>
      <c r="P24" s="47"/>
      <c r="Q24" s="47"/>
      <c r="R24" s="47"/>
      <c r="S24" s="147">
        <f t="shared" si="4"/>
        <v>4</v>
      </c>
      <c r="T24" s="71">
        <v>1.6</v>
      </c>
      <c r="U24" s="64">
        <f t="shared" si="6"/>
        <v>6.4</v>
      </c>
      <c r="V24" s="83">
        <f t="shared" si="7"/>
        <v>10075.040000000001</v>
      </c>
      <c r="W24" s="65">
        <f t="shared" si="8"/>
        <v>40300.160000000003</v>
      </c>
      <c r="X24" s="32">
        <v>390</v>
      </c>
      <c r="Y24" s="31">
        <f t="shared" ref="Y24:Y31" si="10">X24*S24</f>
        <v>1560</v>
      </c>
      <c r="Z24" s="31">
        <f t="shared" si="9"/>
        <v>38.709523733900802</v>
      </c>
      <c r="AB24" s="87"/>
      <c r="AC24" s="59"/>
      <c r="AD24" s="58"/>
    </row>
    <row r="25" spans="2:30" ht="15" thickBot="1" x14ac:dyDescent="0.35">
      <c r="B25" s="262"/>
      <c r="C25" s="267"/>
      <c r="D25" s="135" t="s">
        <v>28</v>
      </c>
      <c r="E25" s="49"/>
      <c r="F25" s="49"/>
      <c r="G25" s="49">
        <v>2</v>
      </c>
      <c r="H25" s="49">
        <v>2</v>
      </c>
      <c r="I25" s="49">
        <v>2</v>
      </c>
      <c r="J25" s="49"/>
      <c r="K25" s="50"/>
      <c r="L25" s="49">
        <v>2</v>
      </c>
      <c r="M25" s="49">
        <v>2</v>
      </c>
      <c r="N25" s="49">
        <v>2</v>
      </c>
      <c r="O25" s="49"/>
      <c r="P25" s="49"/>
      <c r="Q25" s="49"/>
      <c r="R25" s="49"/>
      <c r="S25" s="141">
        <f t="shared" si="4"/>
        <v>12</v>
      </c>
      <c r="T25" s="68">
        <v>1.6</v>
      </c>
      <c r="U25" s="69">
        <f t="shared" si="6"/>
        <v>19.200000000000003</v>
      </c>
      <c r="V25" s="70">
        <f t="shared" si="7"/>
        <v>10075.040000000001</v>
      </c>
      <c r="W25" s="70">
        <f t="shared" si="8"/>
        <v>120900.48000000001</v>
      </c>
      <c r="X25" s="33">
        <v>192</v>
      </c>
      <c r="Y25" s="21">
        <f t="shared" si="10"/>
        <v>2304</v>
      </c>
      <c r="Z25" s="21">
        <f t="shared" si="9"/>
        <v>19.056996299766549</v>
      </c>
      <c r="AB25" s="87"/>
      <c r="AC25" s="59"/>
      <c r="AD25" s="58"/>
    </row>
    <row r="26" spans="2:30" x14ac:dyDescent="0.3">
      <c r="B26" s="262"/>
      <c r="C26" s="266" t="s">
        <v>86</v>
      </c>
      <c r="D26" s="134" t="s">
        <v>27</v>
      </c>
      <c r="E26" s="47"/>
      <c r="F26" s="47"/>
      <c r="G26" s="47"/>
      <c r="H26" s="47"/>
      <c r="I26" s="47"/>
      <c r="J26" s="47"/>
      <c r="K26" s="48"/>
      <c r="L26" s="47"/>
      <c r="M26" s="47"/>
      <c r="N26" s="47"/>
      <c r="O26" s="47"/>
      <c r="P26" s="47"/>
      <c r="Q26" s="47"/>
      <c r="R26" s="47"/>
      <c r="S26" s="147">
        <f t="shared" si="4"/>
        <v>0</v>
      </c>
      <c r="T26" s="71">
        <v>8.6999999999999993</v>
      </c>
      <c r="U26" s="64">
        <f t="shared" si="6"/>
        <v>0</v>
      </c>
      <c r="V26" s="83">
        <f t="shared" si="7"/>
        <v>54783.03</v>
      </c>
      <c r="W26" s="65">
        <f t="shared" si="8"/>
        <v>0</v>
      </c>
      <c r="X26" s="32">
        <f>(4000/30)*20</f>
        <v>2666.666666666667</v>
      </c>
      <c r="Y26" s="31">
        <f t="shared" si="10"/>
        <v>0</v>
      </c>
      <c r="Z26" s="31">
        <f t="shared" si="9"/>
        <v>48.676874328905633</v>
      </c>
      <c r="AB26" s="87"/>
      <c r="AC26" s="59"/>
      <c r="AD26" s="58"/>
    </row>
    <row r="27" spans="2:30" ht="15" thickBot="1" x14ac:dyDescent="0.35">
      <c r="B27" s="262"/>
      <c r="C27" s="267"/>
      <c r="D27" s="135" t="s">
        <v>28</v>
      </c>
      <c r="E27" s="49">
        <v>1</v>
      </c>
      <c r="F27" s="49">
        <v>1</v>
      </c>
      <c r="G27" s="49"/>
      <c r="H27" s="49"/>
      <c r="I27" s="49"/>
      <c r="J27" s="49"/>
      <c r="K27" s="50"/>
      <c r="L27" s="49"/>
      <c r="M27" s="49"/>
      <c r="N27" s="49"/>
      <c r="O27" s="49"/>
      <c r="P27" s="49"/>
      <c r="Q27" s="49"/>
      <c r="R27" s="49"/>
      <c r="S27" s="141">
        <f t="shared" si="4"/>
        <v>2</v>
      </c>
      <c r="T27" s="68">
        <v>8.6999999999999993</v>
      </c>
      <c r="U27" s="69">
        <f t="shared" si="6"/>
        <v>17.399999999999999</v>
      </c>
      <c r="V27" s="70">
        <f t="shared" si="7"/>
        <v>54783.03</v>
      </c>
      <c r="W27" s="70">
        <f t="shared" si="8"/>
        <v>109566.06</v>
      </c>
      <c r="X27" s="33">
        <f>(4000/30)*10</f>
        <v>1333.3333333333335</v>
      </c>
      <c r="Y27" s="21">
        <f t="shared" si="10"/>
        <v>2666.666666666667</v>
      </c>
      <c r="Z27" s="21">
        <f t="shared" si="9"/>
        <v>24.338437164452817</v>
      </c>
      <c r="AB27" s="87"/>
      <c r="AC27" s="59"/>
      <c r="AD27" s="58"/>
    </row>
    <row r="28" spans="2:30" x14ac:dyDescent="0.3">
      <c r="B28" s="262"/>
      <c r="C28" s="266" t="s">
        <v>85</v>
      </c>
      <c r="D28" s="134" t="s">
        <v>27</v>
      </c>
      <c r="E28" s="47"/>
      <c r="F28" s="47"/>
      <c r="G28" s="47"/>
      <c r="H28" s="47"/>
      <c r="I28" s="47"/>
      <c r="J28" s="47"/>
      <c r="K28" s="48"/>
      <c r="L28" s="47"/>
      <c r="M28" s="47"/>
      <c r="N28" s="47"/>
      <c r="O28" s="47"/>
      <c r="P28" s="47"/>
      <c r="Q28" s="47"/>
      <c r="R28" s="47"/>
      <c r="S28" s="147">
        <f t="shared" si="4"/>
        <v>0</v>
      </c>
      <c r="T28" s="71">
        <v>11.8</v>
      </c>
      <c r="U28" s="64">
        <f t="shared" si="6"/>
        <v>0</v>
      </c>
      <c r="V28" s="83">
        <f t="shared" si="7"/>
        <v>74303.420000000013</v>
      </c>
      <c r="W28" s="65">
        <f t="shared" si="8"/>
        <v>0</v>
      </c>
      <c r="X28" s="32">
        <f>(7500/30)*20</f>
        <v>5000</v>
      </c>
      <c r="Y28" s="31">
        <f t="shared" si="10"/>
        <v>0</v>
      </c>
      <c r="Z28" s="31">
        <f t="shared" si="9"/>
        <v>67.291653600870575</v>
      </c>
      <c r="AB28" s="87"/>
      <c r="AC28" s="59"/>
      <c r="AD28" s="58"/>
    </row>
    <row r="29" spans="2:30" ht="15" thickBot="1" x14ac:dyDescent="0.35">
      <c r="B29" s="262"/>
      <c r="C29" s="267"/>
      <c r="D29" s="135" t="s">
        <v>28</v>
      </c>
      <c r="E29" s="49">
        <v>1</v>
      </c>
      <c r="F29" s="49">
        <v>1</v>
      </c>
      <c r="G29" s="49"/>
      <c r="H29" s="49"/>
      <c r="I29" s="49"/>
      <c r="J29" s="49"/>
      <c r="K29" s="50"/>
      <c r="L29" s="49"/>
      <c r="M29" s="49"/>
      <c r="N29" s="49"/>
      <c r="O29" s="49"/>
      <c r="P29" s="49"/>
      <c r="Q29" s="49"/>
      <c r="R29" s="49"/>
      <c r="S29" s="141">
        <f t="shared" si="4"/>
        <v>2</v>
      </c>
      <c r="T29" s="68">
        <v>11.8</v>
      </c>
      <c r="U29" s="69">
        <f t="shared" si="6"/>
        <v>23.6</v>
      </c>
      <c r="V29" s="70">
        <f t="shared" si="7"/>
        <v>74303.420000000013</v>
      </c>
      <c r="W29" s="70">
        <f t="shared" si="8"/>
        <v>148606.84000000003</v>
      </c>
      <c r="X29" s="33">
        <f>(7500/30)*10</f>
        <v>2500</v>
      </c>
      <c r="Y29" s="21">
        <f t="shared" si="10"/>
        <v>5000</v>
      </c>
      <c r="Z29" s="21">
        <f t="shared" si="9"/>
        <v>33.645826800435287</v>
      </c>
      <c r="AB29" s="87"/>
      <c r="AC29" s="59"/>
      <c r="AD29" s="58"/>
    </row>
    <row r="30" spans="2:30" x14ac:dyDescent="0.3">
      <c r="B30" s="262"/>
      <c r="C30" s="266" t="s">
        <v>92</v>
      </c>
      <c r="D30" s="134" t="s">
        <v>27</v>
      </c>
      <c r="E30" s="47"/>
      <c r="F30" s="47"/>
      <c r="G30" s="47"/>
      <c r="H30" s="47"/>
      <c r="I30" s="47"/>
      <c r="J30" s="47"/>
      <c r="K30" s="48"/>
      <c r="L30" s="47"/>
      <c r="M30" s="47"/>
      <c r="N30" s="47"/>
      <c r="O30" s="47"/>
      <c r="P30" s="47"/>
      <c r="Q30" s="47"/>
      <c r="R30" s="47"/>
      <c r="S30" s="147">
        <f t="shared" si="4"/>
        <v>0</v>
      </c>
      <c r="T30" s="71">
        <v>10.1</v>
      </c>
      <c r="U30" s="64">
        <f t="shared" si="6"/>
        <v>0</v>
      </c>
      <c r="V30" s="83">
        <f t="shared" si="7"/>
        <v>63598.69</v>
      </c>
      <c r="W30" s="65">
        <f t="shared" si="8"/>
        <v>0</v>
      </c>
      <c r="X30" s="32">
        <f>(5000/30)*20</f>
        <v>3333.333333333333</v>
      </c>
      <c r="Y30" s="31">
        <f t="shared" si="10"/>
        <v>0</v>
      </c>
      <c r="Z30" s="31">
        <f t="shared" si="9"/>
        <v>52.411981022460253</v>
      </c>
      <c r="AB30" s="87"/>
      <c r="AC30" s="59"/>
      <c r="AD30" s="58"/>
    </row>
    <row r="31" spans="2:30" ht="15" thickBot="1" x14ac:dyDescent="0.35">
      <c r="B31" s="262"/>
      <c r="C31" s="267"/>
      <c r="D31" s="135" t="s">
        <v>28</v>
      </c>
      <c r="E31" s="49">
        <v>1</v>
      </c>
      <c r="F31" s="49">
        <v>1</v>
      </c>
      <c r="G31" s="49"/>
      <c r="H31" s="49"/>
      <c r="I31" s="49"/>
      <c r="J31" s="49"/>
      <c r="K31" s="50"/>
      <c r="L31" s="49"/>
      <c r="M31" s="49"/>
      <c r="N31" s="49"/>
      <c r="O31" s="49"/>
      <c r="P31" s="49"/>
      <c r="Q31" s="49"/>
      <c r="R31" s="49"/>
      <c r="S31" s="141">
        <f t="shared" si="4"/>
        <v>2</v>
      </c>
      <c r="T31" s="68">
        <v>10.1</v>
      </c>
      <c r="U31" s="69">
        <f t="shared" si="6"/>
        <v>20.2</v>
      </c>
      <c r="V31" s="70">
        <f t="shared" si="7"/>
        <v>63598.69</v>
      </c>
      <c r="W31" s="70">
        <f t="shared" si="8"/>
        <v>127197.38</v>
      </c>
      <c r="X31" s="33">
        <f>(5000/30)*10</f>
        <v>1666.6666666666665</v>
      </c>
      <c r="Y31" s="21">
        <f t="shared" si="10"/>
        <v>3333.333333333333</v>
      </c>
      <c r="Z31" s="21">
        <f t="shared" si="9"/>
        <v>26.205990511230127</v>
      </c>
      <c r="AB31" s="87"/>
      <c r="AC31" s="59"/>
      <c r="AD31" s="58"/>
    </row>
    <row r="32" spans="2:30" x14ac:dyDescent="0.3">
      <c r="B32" s="262"/>
      <c r="C32" s="268" t="s">
        <v>93</v>
      </c>
      <c r="D32" s="138" t="s">
        <v>27</v>
      </c>
      <c r="E32" s="47"/>
      <c r="F32" s="47"/>
      <c r="G32" s="47"/>
      <c r="H32" s="47"/>
      <c r="I32" s="47"/>
      <c r="J32" s="85">
        <v>2</v>
      </c>
      <c r="K32" s="48"/>
      <c r="L32" s="47"/>
      <c r="M32" s="47"/>
      <c r="N32" s="47"/>
      <c r="O32" s="47"/>
      <c r="P32" s="47"/>
      <c r="Q32" s="85"/>
      <c r="R32" s="85"/>
      <c r="S32" s="148">
        <f t="shared" si="4"/>
        <v>2</v>
      </c>
      <c r="T32" s="89">
        <v>3.6</v>
      </c>
      <c r="U32" s="80">
        <f t="shared" si="6"/>
        <v>7.2</v>
      </c>
      <c r="V32" s="90">
        <f t="shared" si="7"/>
        <v>22668.840000000004</v>
      </c>
      <c r="W32" s="81">
        <f t="shared" si="8"/>
        <v>45337.680000000008</v>
      </c>
      <c r="X32" s="128">
        <f>(0/30)*20</f>
        <v>0</v>
      </c>
      <c r="Y32" s="129">
        <f>S32*X32</f>
        <v>0</v>
      </c>
      <c r="Z32" s="129">
        <f t="shared" si="9"/>
        <v>0</v>
      </c>
      <c r="AB32" s="87"/>
      <c r="AC32" s="59"/>
      <c r="AD32" s="58"/>
    </row>
    <row r="33" spans="2:31" ht="15" thickBot="1" x14ac:dyDescent="0.35">
      <c r="B33" s="262"/>
      <c r="C33" s="269"/>
      <c r="D33" s="137" t="s">
        <v>28</v>
      </c>
      <c r="E33" s="49"/>
      <c r="F33" s="49"/>
      <c r="G33" s="49"/>
      <c r="H33" s="49"/>
      <c r="I33" s="49"/>
      <c r="J33" s="74">
        <v>3</v>
      </c>
      <c r="K33" s="75"/>
      <c r="L33" s="49"/>
      <c r="M33" s="49"/>
      <c r="N33" s="49"/>
      <c r="O33" s="49"/>
      <c r="P33" s="49"/>
      <c r="Q33" s="74">
        <v>3</v>
      </c>
      <c r="R33" s="49"/>
      <c r="S33" s="146">
        <f t="shared" si="4"/>
        <v>6</v>
      </c>
      <c r="T33" s="76">
        <v>3.6</v>
      </c>
      <c r="U33" s="77">
        <f t="shared" si="6"/>
        <v>21.6</v>
      </c>
      <c r="V33" s="78">
        <f t="shared" si="7"/>
        <v>22668.840000000004</v>
      </c>
      <c r="W33" s="78">
        <f t="shared" si="8"/>
        <v>136013.04000000004</v>
      </c>
      <c r="X33" s="79">
        <f>(0/30)*10</f>
        <v>0</v>
      </c>
      <c r="Y33" s="130">
        <f>S33*X33</f>
        <v>0</v>
      </c>
      <c r="Z33" s="130">
        <f t="shared" si="9"/>
        <v>0</v>
      </c>
      <c r="AB33" s="87"/>
      <c r="AC33" s="59"/>
      <c r="AD33" s="58"/>
    </row>
    <row r="34" spans="2:31" x14ac:dyDescent="0.3">
      <c r="B34" s="262"/>
      <c r="C34" s="268" t="s">
        <v>82</v>
      </c>
      <c r="D34" s="138" t="s">
        <v>27</v>
      </c>
      <c r="E34" s="47"/>
      <c r="F34" s="47"/>
      <c r="G34" s="47"/>
      <c r="H34" s="47"/>
      <c r="I34" s="47"/>
      <c r="J34" s="47"/>
      <c r="K34" s="86">
        <v>2</v>
      </c>
      <c r="L34" s="47"/>
      <c r="M34" s="47"/>
      <c r="N34" s="47"/>
      <c r="O34" s="47"/>
      <c r="P34" s="47"/>
      <c r="Q34" s="47"/>
      <c r="R34" s="85"/>
      <c r="S34" s="148">
        <f t="shared" si="4"/>
        <v>2</v>
      </c>
      <c r="T34" s="89">
        <v>2.4</v>
      </c>
      <c r="U34" s="80">
        <f t="shared" si="6"/>
        <v>4.8</v>
      </c>
      <c r="V34" s="90">
        <f t="shared" si="7"/>
        <v>15112.56</v>
      </c>
      <c r="W34" s="81">
        <f t="shared" si="8"/>
        <v>30225.119999999999</v>
      </c>
      <c r="X34" s="128">
        <f>(0/30)*20</f>
        <v>0</v>
      </c>
      <c r="Y34" s="129">
        <f>S34*X34</f>
        <v>0</v>
      </c>
      <c r="Z34" s="129">
        <f t="shared" si="9"/>
        <v>0</v>
      </c>
      <c r="AB34" s="87"/>
      <c r="AC34" s="59"/>
      <c r="AD34" s="58"/>
    </row>
    <row r="35" spans="2:31" ht="15" thickBot="1" x14ac:dyDescent="0.35">
      <c r="B35" s="262"/>
      <c r="C35" s="269"/>
      <c r="D35" s="137" t="s">
        <v>28</v>
      </c>
      <c r="E35" s="49"/>
      <c r="F35" s="49"/>
      <c r="G35" s="49"/>
      <c r="H35" s="49"/>
      <c r="I35" s="49"/>
      <c r="J35" s="74"/>
      <c r="K35" s="75">
        <v>3</v>
      </c>
      <c r="L35" s="49"/>
      <c r="M35" s="49"/>
      <c r="N35" s="49"/>
      <c r="O35" s="49"/>
      <c r="P35" s="49"/>
      <c r="Q35" s="74"/>
      <c r="R35" s="74">
        <v>3</v>
      </c>
      <c r="S35" s="146">
        <f t="shared" si="4"/>
        <v>6</v>
      </c>
      <c r="T35" s="76">
        <v>2.4</v>
      </c>
      <c r="U35" s="77">
        <f t="shared" si="6"/>
        <v>14.399999999999999</v>
      </c>
      <c r="V35" s="78">
        <f t="shared" si="7"/>
        <v>15112.56</v>
      </c>
      <c r="W35" s="78">
        <f t="shared" si="8"/>
        <v>90675.36</v>
      </c>
      <c r="X35" s="79">
        <f>(0/30)*10</f>
        <v>0</v>
      </c>
      <c r="Y35" s="130">
        <f>S35*X35</f>
        <v>0</v>
      </c>
      <c r="Z35" s="130">
        <f t="shared" si="9"/>
        <v>0</v>
      </c>
      <c r="AB35" s="87"/>
      <c r="AC35" s="59"/>
      <c r="AD35" s="58"/>
    </row>
    <row r="36" spans="2:31" x14ac:dyDescent="0.3">
      <c r="B36" s="254" t="s">
        <v>39</v>
      </c>
      <c r="C36" s="263" t="s">
        <v>38</v>
      </c>
      <c r="D36" s="134" t="s">
        <v>27</v>
      </c>
      <c r="E36" s="47"/>
      <c r="F36" s="47"/>
      <c r="G36" s="47"/>
      <c r="H36" s="47"/>
      <c r="I36" s="47"/>
      <c r="J36" s="47"/>
      <c r="K36" s="48"/>
      <c r="L36" s="47"/>
      <c r="M36" s="47"/>
      <c r="N36" s="47"/>
      <c r="O36" s="47"/>
      <c r="P36" s="47"/>
      <c r="Q36" s="47"/>
      <c r="R36" s="47"/>
      <c r="S36" s="142">
        <f t="shared" si="4"/>
        <v>0</v>
      </c>
      <c r="T36" s="54">
        <v>3.5</v>
      </c>
      <c r="U36" s="43">
        <f t="shared" si="6"/>
        <v>0</v>
      </c>
      <c r="V36" s="30">
        <f t="shared" si="7"/>
        <v>22039.149999999998</v>
      </c>
      <c r="W36" s="30">
        <f t="shared" si="8"/>
        <v>0</v>
      </c>
      <c r="X36" s="32">
        <f>(2400/30)*20</f>
        <v>1600</v>
      </c>
      <c r="Y36" s="31">
        <f t="shared" ref="Y36:Y47" si="11">S36*X36</f>
        <v>0</v>
      </c>
      <c r="Z36" s="31">
        <f t="shared" ref="Z36:Z41" si="12">+X36*1000/V36</f>
        <v>72.598081141967825</v>
      </c>
      <c r="AB36" s="87"/>
      <c r="AC36" s="59"/>
      <c r="AD36" s="58"/>
    </row>
    <row r="37" spans="2:31" ht="15" thickBot="1" x14ac:dyDescent="0.35">
      <c r="B37" s="262"/>
      <c r="C37" s="264"/>
      <c r="D37" s="135" t="s">
        <v>28</v>
      </c>
      <c r="E37" s="49">
        <v>1</v>
      </c>
      <c r="F37" s="49">
        <v>1</v>
      </c>
      <c r="G37" s="49">
        <v>1</v>
      </c>
      <c r="H37" s="49">
        <v>1</v>
      </c>
      <c r="I37" s="49"/>
      <c r="J37" s="49"/>
      <c r="K37" s="50"/>
      <c r="L37" s="49">
        <v>1</v>
      </c>
      <c r="M37" s="49">
        <v>1</v>
      </c>
      <c r="N37" s="49"/>
      <c r="O37" s="49"/>
      <c r="P37" s="49"/>
      <c r="Q37" s="49"/>
      <c r="R37" s="49"/>
      <c r="S37" s="143">
        <f t="shared" si="4"/>
        <v>6</v>
      </c>
      <c r="T37" s="55">
        <v>3.5</v>
      </c>
      <c r="U37" s="44">
        <f t="shared" si="6"/>
        <v>21</v>
      </c>
      <c r="V37" s="20">
        <f t="shared" si="7"/>
        <v>22039.149999999998</v>
      </c>
      <c r="W37" s="20">
        <f t="shared" si="8"/>
        <v>132234.9</v>
      </c>
      <c r="X37" s="33">
        <f>(2400/30)*10</f>
        <v>800</v>
      </c>
      <c r="Y37" s="28">
        <f t="shared" si="11"/>
        <v>4800</v>
      </c>
      <c r="Z37" s="21">
        <f t="shared" si="12"/>
        <v>36.299040570983912</v>
      </c>
      <c r="AB37" s="87"/>
      <c r="AC37" s="59"/>
      <c r="AD37" s="58"/>
    </row>
    <row r="38" spans="2:31" x14ac:dyDescent="0.3">
      <c r="B38" s="262"/>
      <c r="C38" s="263" t="s">
        <v>94</v>
      </c>
      <c r="D38" s="134" t="s">
        <v>27</v>
      </c>
      <c r="E38" s="47"/>
      <c r="F38" s="47"/>
      <c r="G38" s="47"/>
      <c r="H38" s="47"/>
      <c r="I38" s="47"/>
      <c r="J38" s="47"/>
      <c r="K38" s="48"/>
      <c r="L38" s="47"/>
      <c r="M38" s="47"/>
      <c r="N38" s="47"/>
      <c r="O38" s="47"/>
      <c r="P38" s="47"/>
      <c r="Q38" s="47"/>
      <c r="R38" s="47"/>
      <c r="S38" s="142">
        <f t="shared" si="4"/>
        <v>0</v>
      </c>
      <c r="T38" s="54">
        <v>1.8</v>
      </c>
      <c r="U38" s="43">
        <f t="shared" si="6"/>
        <v>0</v>
      </c>
      <c r="V38" s="30">
        <f t="shared" si="7"/>
        <v>11334.420000000002</v>
      </c>
      <c r="W38" s="30">
        <f t="shared" si="8"/>
        <v>0</v>
      </c>
      <c r="X38" s="32">
        <f>(2500/30)*20</f>
        <v>1666.6666666666665</v>
      </c>
      <c r="Y38" s="31">
        <f t="shared" si="11"/>
        <v>0</v>
      </c>
      <c r="Z38" s="31">
        <f t="shared" si="12"/>
        <v>147.0447245352357</v>
      </c>
      <c r="AB38" s="87"/>
      <c r="AC38" s="59"/>
      <c r="AD38" s="58"/>
    </row>
    <row r="39" spans="2:31" ht="15" thickBot="1" x14ac:dyDescent="0.35">
      <c r="B39" s="255"/>
      <c r="C39" s="264"/>
      <c r="D39" s="135" t="s">
        <v>28</v>
      </c>
      <c r="E39" s="49"/>
      <c r="F39" s="49"/>
      <c r="G39" s="49"/>
      <c r="H39" s="49"/>
      <c r="I39" s="49"/>
      <c r="J39" s="49"/>
      <c r="K39" s="50">
        <v>1</v>
      </c>
      <c r="L39" s="49"/>
      <c r="M39" s="49"/>
      <c r="N39" s="49"/>
      <c r="O39" s="49"/>
      <c r="P39" s="49"/>
      <c r="Q39" s="49"/>
      <c r="R39" s="49"/>
      <c r="S39" s="143">
        <f t="shared" si="4"/>
        <v>1</v>
      </c>
      <c r="T39" s="55">
        <v>1.8</v>
      </c>
      <c r="U39" s="44">
        <f t="shared" si="6"/>
        <v>1.8</v>
      </c>
      <c r="V39" s="20">
        <f t="shared" si="7"/>
        <v>11334.420000000002</v>
      </c>
      <c r="W39" s="20">
        <f t="shared" si="8"/>
        <v>11334.420000000002</v>
      </c>
      <c r="X39" s="33">
        <f>(2500/30)*10</f>
        <v>833.33333333333326</v>
      </c>
      <c r="Y39" s="28">
        <f t="shared" si="11"/>
        <v>833.33333333333326</v>
      </c>
      <c r="Z39" s="21">
        <f t="shared" si="12"/>
        <v>73.522362267617851</v>
      </c>
      <c r="AB39" s="87"/>
      <c r="AC39" s="59"/>
      <c r="AD39" s="58"/>
    </row>
    <row r="40" spans="2:31" ht="15.75" customHeight="1" x14ac:dyDescent="0.3">
      <c r="B40" s="254" t="s">
        <v>33</v>
      </c>
      <c r="C40" s="256" t="s">
        <v>72</v>
      </c>
      <c r="D40" s="139" t="s">
        <v>27</v>
      </c>
      <c r="E40" s="47">
        <v>3</v>
      </c>
      <c r="F40" s="47">
        <v>3</v>
      </c>
      <c r="G40" s="47">
        <v>3</v>
      </c>
      <c r="H40" s="47">
        <v>3</v>
      </c>
      <c r="I40" s="47"/>
      <c r="J40" s="47"/>
      <c r="K40" s="48"/>
      <c r="L40" s="47"/>
      <c r="M40" s="47"/>
      <c r="N40" s="47"/>
      <c r="O40" s="47"/>
      <c r="P40" s="47"/>
      <c r="Q40" s="47"/>
      <c r="R40" s="47"/>
      <c r="S40" s="142">
        <f t="shared" si="4"/>
        <v>12</v>
      </c>
      <c r="T40" s="54">
        <v>1.3</v>
      </c>
      <c r="U40" s="43">
        <f t="shared" si="6"/>
        <v>15.600000000000001</v>
      </c>
      <c r="V40" s="30">
        <f t="shared" si="7"/>
        <v>8185.9700000000012</v>
      </c>
      <c r="W40" s="30">
        <f t="shared" si="8"/>
        <v>98231.640000000014</v>
      </c>
      <c r="X40" s="31">
        <f>(150/30)*20</f>
        <v>100</v>
      </c>
      <c r="Y40" s="31">
        <f t="shared" si="11"/>
        <v>1200</v>
      </c>
      <c r="Z40" s="31">
        <f t="shared" si="12"/>
        <v>12.216023269081122</v>
      </c>
      <c r="AB40" s="87"/>
      <c r="AC40" s="59"/>
      <c r="AD40" s="58"/>
    </row>
    <row r="41" spans="2:31" ht="15" thickBot="1" x14ac:dyDescent="0.35">
      <c r="B41" s="255"/>
      <c r="C41" s="257"/>
      <c r="D41" s="135" t="s">
        <v>28</v>
      </c>
      <c r="E41" s="49">
        <v>2</v>
      </c>
      <c r="F41" s="49">
        <v>2</v>
      </c>
      <c r="G41" s="49">
        <v>2</v>
      </c>
      <c r="H41" s="49">
        <v>2</v>
      </c>
      <c r="I41" s="49">
        <v>5</v>
      </c>
      <c r="J41" s="49">
        <v>5</v>
      </c>
      <c r="K41" s="50">
        <v>5</v>
      </c>
      <c r="L41" s="49">
        <v>5</v>
      </c>
      <c r="M41" s="49">
        <v>5</v>
      </c>
      <c r="N41" s="49">
        <v>5</v>
      </c>
      <c r="O41" s="49"/>
      <c r="P41" s="49"/>
      <c r="Q41" s="49"/>
      <c r="R41" s="49"/>
      <c r="S41" s="143">
        <f t="shared" si="4"/>
        <v>38</v>
      </c>
      <c r="T41" s="55">
        <v>1.3</v>
      </c>
      <c r="U41" s="44">
        <f t="shared" si="6"/>
        <v>49.4</v>
      </c>
      <c r="V41" s="20">
        <f t="shared" si="7"/>
        <v>8185.9700000000012</v>
      </c>
      <c r="W41" s="20">
        <f t="shared" si="8"/>
        <v>311066.86000000004</v>
      </c>
      <c r="X41" s="21">
        <f>(150/30)*10</f>
        <v>50</v>
      </c>
      <c r="Y41" s="21">
        <f t="shared" si="11"/>
        <v>1900</v>
      </c>
      <c r="Z41" s="21">
        <f t="shared" si="12"/>
        <v>6.1080116345405608</v>
      </c>
      <c r="AB41" s="87"/>
      <c r="AC41" s="59"/>
      <c r="AD41" s="58"/>
    </row>
    <row r="42" spans="2:31" ht="12.75" customHeight="1" x14ac:dyDescent="0.3">
      <c r="B42" s="265" t="s">
        <v>26</v>
      </c>
      <c r="C42" s="256" t="s">
        <v>72</v>
      </c>
      <c r="D42" s="134" t="s">
        <v>27</v>
      </c>
      <c r="E42" s="47">
        <v>3</v>
      </c>
      <c r="F42" s="47">
        <v>3</v>
      </c>
      <c r="G42" s="47">
        <v>3</v>
      </c>
      <c r="H42" s="47">
        <v>3</v>
      </c>
      <c r="I42" s="47"/>
      <c r="J42" s="47"/>
      <c r="K42" s="48"/>
      <c r="L42" s="47"/>
      <c r="M42" s="47"/>
      <c r="N42" s="47"/>
      <c r="O42" s="47"/>
      <c r="P42" s="47"/>
      <c r="Q42" s="47"/>
      <c r="R42" s="47"/>
      <c r="S42" s="142">
        <f t="shared" si="4"/>
        <v>12</v>
      </c>
      <c r="T42" s="54">
        <v>1.4</v>
      </c>
      <c r="U42" s="43">
        <f t="shared" si="6"/>
        <v>16.799999999999997</v>
      </c>
      <c r="V42" s="30">
        <f t="shared" si="7"/>
        <v>8815.6600000000017</v>
      </c>
      <c r="W42" s="30">
        <f t="shared" si="8"/>
        <v>105787.92000000001</v>
      </c>
      <c r="X42" s="31">
        <f>(180/30)*20</f>
        <v>120</v>
      </c>
      <c r="Y42" s="31">
        <f t="shared" si="11"/>
        <v>1440</v>
      </c>
      <c r="Z42" s="31">
        <f t="shared" ref="Z42:Z47" si="13">+X42*1000/V42</f>
        <v>13.612140214118963</v>
      </c>
      <c r="AB42" s="87"/>
      <c r="AC42" s="59"/>
      <c r="AD42" s="58"/>
    </row>
    <row r="43" spans="2:31" ht="15" thickBot="1" x14ac:dyDescent="0.35">
      <c r="B43" s="265"/>
      <c r="C43" s="257"/>
      <c r="D43" s="135" t="s">
        <v>28</v>
      </c>
      <c r="E43" s="49">
        <v>2</v>
      </c>
      <c r="F43" s="49">
        <v>2</v>
      </c>
      <c r="G43" s="49">
        <v>2</v>
      </c>
      <c r="H43" s="49">
        <v>2</v>
      </c>
      <c r="I43" s="49">
        <v>5</v>
      </c>
      <c r="J43" s="49">
        <v>5</v>
      </c>
      <c r="K43" s="50">
        <v>5</v>
      </c>
      <c r="L43" s="49">
        <v>5</v>
      </c>
      <c r="M43" s="49">
        <v>5</v>
      </c>
      <c r="N43" s="49">
        <v>5</v>
      </c>
      <c r="O43" s="49"/>
      <c r="P43" s="49"/>
      <c r="Q43" s="49"/>
      <c r="R43" s="49"/>
      <c r="S43" s="143">
        <f t="shared" si="4"/>
        <v>38</v>
      </c>
      <c r="T43" s="55">
        <v>1.4</v>
      </c>
      <c r="U43" s="44">
        <f t="shared" si="6"/>
        <v>53.199999999999996</v>
      </c>
      <c r="V43" s="20">
        <f t="shared" si="7"/>
        <v>8815.6600000000017</v>
      </c>
      <c r="W43" s="20">
        <f t="shared" si="8"/>
        <v>334995.08000000007</v>
      </c>
      <c r="X43" s="61">
        <f>(180/30)*10</f>
        <v>60</v>
      </c>
      <c r="Y43" s="21">
        <f t="shared" si="11"/>
        <v>2280</v>
      </c>
      <c r="Z43" s="21">
        <f t="shared" si="13"/>
        <v>6.8060701070594813</v>
      </c>
      <c r="AB43" s="87"/>
      <c r="AC43" s="59"/>
      <c r="AD43" s="58"/>
    </row>
    <row r="44" spans="2:31" ht="15" customHeight="1" x14ac:dyDescent="0.3">
      <c r="B44" s="254" t="s">
        <v>34</v>
      </c>
      <c r="C44" s="256" t="s">
        <v>72</v>
      </c>
      <c r="D44" s="134" t="s">
        <v>27</v>
      </c>
      <c r="E44" s="47">
        <v>3</v>
      </c>
      <c r="F44" s="47">
        <v>3</v>
      </c>
      <c r="G44" s="47">
        <v>3</v>
      </c>
      <c r="H44" s="47">
        <v>3</v>
      </c>
      <c r="I44" s="47"/>
      <c r="J44" s="47"/>
      <c r="K44" s="48"/>
      <c r="L44" s="47"/>
      <c r="M44" s="47"/>
      <c r="N44" s="47"/>
      <c r="O44" s="47"/>
      <c r="P44" s="47"/>
      <c r="Q44" s="47"/>
      <c r="R44" s="47"/>
      <c r="S44" s="142">
        <f t="shared" si="4"/>
        <v>12</v>
      </c>
      <c r="T44" s="54">
        <v>0.9</v>
      </c>
      <c r="U44" s="43">
        <f t="shared" si="6"/>
        <v>10.8</v>
      </c>
      <c r="V44" s="30">
        <f t="shared" si="7"/>
        <v>5667.2100000000009</v>
      </c>
      <c r="W44" s="30">
        <f t="shared" si="8"/>
        <v>68006.520000000019</v>
      </c>
      <c r="X44" s="31">
        <f>(150/30)*20</f>
        <v>100</v>
      </c>
      <c r="Y44" s="31">
        <f t="shared" si="11"/>
        <v>1200</v>
      </c>
      <c r="Z44" s="31">
        <f t="shared" si="13"/>
        <v>17.645366944228286</v>
      </c>
      <c r="AB44" s="87"/>
      <c r="AC44" s="59"/>
      <c r="AD44" s="58"/>
    </row>
    <row r="45" spans="2:31" ht="15" thickBot="1" x14ac:dyDescent="0.35">
      <c r="B45" s="255"/>
      <c r="C45" s="257"/>
      <c r="D45" s="135" t="s">
        <v>28</v>
      </c>
      <c r="E45" s="49">
        <v>2</v>
      </c>
      <c r="F45" s="49">
        <v>2</v>
      </c>
      <c r="G45" s="49">
        <v>2</v>
      </c>
      <c r="H45" s="49">
        <v>2</v>
      </c>
      <c r="I45" s="49">
        <v>5</v>
      </c>
      <c r="J45" s="49">
        <v>5</v>
      </c>
      <c r="K45" s="50">
        <v>5</v>
      </c>
      <c r="L45" s="49">
        <v>5</v>
      </c>
      <c r="M45" s="49">
        <v>5</v>
      </c>
      <c r="N45" s="49">
        <v>5</v>
      </c>
      <c r="O45" s="49"/>
      <c r="P45" s="49"/>
      <c r="Q45" s="49"/>
      <c r="R45" s="49"/>
      <c r="S45" s="143">
        <f t="shared" si="4"/>
        <v>38</v>
      </c>
      <c r="T45" s="55">
        <v>0.9</v>
      </c>
      <c r="U45" s="44">
        <f t="shared" si="6"/>
        <v>34.200000000000003</v>
      </c>
      <c r="V45" s="20">
        <f t="shared" si="7"/>
        <v>5667.2100000000009</v>
      </c>
      <c r="W45" s="20">
        <f t="shared" si="8"/>
        <v>215353.98000000004</v>
      </c>
      <c r="X45" s="61">
        <f>(150/30)*10</f>
        <v>50</v>
      </c>
      <c r="Y45" s="21">
        <f t="shared" si="11"/>
        <v>1900</v>
      </c>
      <c r="Z45" s="21">
        <f t="shared" si="13"/>
        <v>8.8226834721141429</v>
      </c>
      <c r="AB45" s="87"/>
      <c r="AC45" s="59"/>
      <c r="AD45" s="58"/>
      <c r="AE45" s="58"/>
    </row>
    <row r="46" spans="2:31" ht="15" customHeight="1" x14ac:dyDescent="0.3">
      <c r="B46" s="258" t="s">
        <v>65</v>
      </c>
      <c r="C46" s="260" t="s">
        <v>66</v>
      </c>
      <c r="D46" s="134" t="s">
        <v>27</v>
      </c>
      <c r="E46" s="51">
        <v>3</v>
      </c>
      <c r="F46" s="51">
        <v>3</v>
      </c>
      <c r="G46" s="51">
        <v>3</v>
      </c>
      <c r="H46" s="51">
        <v>3</v>
      </c>
      <c r="I46" s="51"/>
      <c r="J46" s="51"/>
      <c r="K46" s="52"/>
      <c r="L46" s="51"/>
      <c r="M46" s="51"/>
      <c r="N46" s="51"/>
      <c r="O46" s="51"/>
      <c r="P46" s="51"/>
      <c r="Q46" s="51"/>
      <c r="R46" s="51"/>
      <c r="S46" s="142">
        <f t="shared" si="4"/>
        <v>12</v>
      </c>
      <c r="T46" s="54">
        <v>0.3</v>
      </c>
      <c r="U46" s="43">
        <f t="shared" si="6"/>
        <v>3.5999999999999996</v>
      </c>
      <c r="V46" s="30">
        <f t="shared" si="7"/>
        <v>1889.07</v>
      </c>
      <c r="W46" s="30">
        <f t="shared" si="8"/>
        <v>22668.84</v>
      </c>
      <c r="X46" s="31">
        <f>(145/30)*20</f>
        <v>96.666666666666657</v>
      </c>
      <c r="Y46" s="31">
        <f t="shared" si="11"/>
        <v>1160</v>
      </c>
      <c r="Z46" s="31">
        <f t="shared" si="13"/>
        <v>51.171564138262035</v>
      </c>
      <c r="AB46" s="87"/>
      <c r="AC46" s="59"/>
      <c r="AD46" s="58"/>
      <c r="AE46" s="58"/>
    </row>
    <row r="47" spans="2:31" ht="15" thickBot="1" x14ac:dyDescent="0.35">
      <c r="B47" s="259"/>
      <c r="C47" s="261"/>
      <c r="D47" s="135" t="s">
        <v>28</v>
      </c>
      <c r="E47" s="49">
        <v>2</v>
      </c>
      <c r="F47" s="49">
        <v>2</v>
      </c>
      <c r="G47" s="49">
        <v>2</v>
      </c>
      <c r="H47" s="49">
        <v>2</v>
      </c>
      <c r="I47" s="49">
        <v>5</v>
      </c>
      <c r="J47" s="49">
        <v>5</v>
      </c>
      <c r="K47" s="50">
        <v>5</v>
      </c>
      <c r="L47" s="49">
        <v>5</v>
      </c>
      <c r="M47" s="49">
        <v>5</v>
      </c>
      <c r="N47" s="49">
        <v>5</v>
      </c>
      <c r="O47" s="49"/>
      <c r="P47" s="49"/>
      <c r="Q47" s="49"/>
      <c r="R47" s="49"/>
      <c r="S47" s="143">
        <f t="shared" si="4"/>
        <v>38</v>
      </c>
      <c r="T47" s="55">
        <v>0.3</v>
      </c>
      <c r="U47" s="44">
        <f t="shared" si="6"/>
        <v>11.4</v>
      </c>
      <c r="V47" s="20">
        <f t="shared" si="7"/>
        <v>1889.07</v>
      </c>
      <c r="W47" s="20">
        <f t="shared" si="8"/>
        <v>71784.66</v>
      </c>
      <c r="X47" s="61">
        <f>(145/30)*10</f>
        <v>48.333333333333329</v>
      </c>
      <c r="Y47" s="21">
        <f t="shared" si="11"/>
        <v>1836.6666666666665</v>
      </c>
      <c r="Z47" s="21">
        <f t="shared" si="13"/>
        <v>25.585782069131017</v>
      </c>
      <c r="AA47" s="59"/>
      <c r="AB47" s="87"/>
      <c r="AC47" s="59"/>
      <c r="AD47" s="58"/>
    </row>
    <row r="48" spans="2:31" s="40" customFormat="1" ht="20.25" customHeight="1" thickBot="1" x14ac:dyDescent="0.3">
      <c r="B48" s="22"/>
      <c r="C48" s="23"/>
      <c r="D48" s="34"/>
      <c r="E48" s="150">
        <f>SUM(E13:E47)</f>
        <v>30</v>
      </c>
      <c r="F48" s="150">
        <f>SUM(F13:F47)</f>
        <v>29</v>
      </c>
      <c r="G48" s="150">
        <f>SUM(G13:G47)</f>
        <v>26</v>
      </c>
      <c r="H48" s="150">
        <f>SUM(H13:H47)</f>
        <v>25</v>
      </c>
      <c r="I48" s="63">
        <f t="shared" ref="I48:R48" si="14">SUM(I13:I47)</f>
        <v>24</v>
      </c>
      <c r="J48" s="63">
        <f t="shared" si="14"/>
        <v>26</v>
      </c>
      <c r="K48" s="63">
        <f t="shared" si="14"/>
        <v>27</v>
      </c>
      <c r="L48" s="62">
        <f t="shared" si="14"/>
        <v>25</v>
      </c>
      <c r="M48" s="63">
        <f t="shared" si="14"/>
        <v>24</v>
      </c>
      <c r="N48" s="63">
        <f t="shared" si="14"/>
        <v>23</v>
      </c>
      <c r="O48" s="63">
        <f t="shared" si="14"/>
        <v>0</v>
      </c>
      <c r="P48" s="63">
        <f t="shared" si="14"/>
        <v>0</v>
      </c>
      <c r="Q48" s="63">
        <f t="shared" si="14"/>
        <v>3</v>
      </c>
      <c r="R48" s="63">
        <f t="shared" si="14"/>
        <v>3</v>
      </c>
      <c r="S48" s="149">
        <f>SUM(S13:S47)</f>
        <v>265</v>
      </c>
      <c r="T48" s="35"/>
      <c r="U48" s="36">
        <f>SUM(U13:U47)</f>
        <v>408.09999999999997</v>
      </c>
      <c r="V48" s="37"/>
      <c r="W48" s="38">
        <f>SUM(W13:W47)</f>
        <v>2569764.8900000006</v>
      </c>
      <c r="X48" s="39"/>
      <c r="Y48" s="41">
        <f>SUM(Y13:Y47)</f>
        <v>42800.666666666664</v>
      </c>
      <c r="AB48" s="60"/>
    </row>
    <row r="49" spans="2:25" x14ac:dyDescent="0.3">
      <c r="B49" s="22"/>
      <c r="C49" s="23" t="s">
        <v>36</v>
      </c>
      <c r="D49" s="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8"/>
      <c r="T49" s="4"/>
      <c r="U49" s="8"/>
      <c r="V49" s="5"/>
      <c r="W49" s="9"/>
      <c r="X49" s="6"/>
      <c r="Y49" s="10"/>
    </row>
    <row r="50" spans="2:25" x14ac:dyDescent="0.3">
      <c r="B50" s="22"/>
      <c r="C50" s="23" t="s">
        <v>35</v>
      </c>
      <c r="D50" s="11">
        <v>450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8"/>
      <c r="T50" s="4"/>
      <c r="U50" s="8"/>
      <c r="V50" s="5"/>
      <c r="W50" s="9"/>
      <c r="X50" s="6"/>
      <c r="Y50" s="10"/>
    </row>
    <row r="51" spans="2:25" x14ac:dyDescent="0.3">
      <c r="B51" s="22"/>
      <c r="C51" s="24"/>
      <c r="D51" s="1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8"/>
      <c r="T51" s="4"/>
      <c r="U51" s="8"/>
      <c r="V51" s="5"/>
      <c r="W51" s="9"/>
      <c r="X51" s="6"/>
      <c r="Y51" s="10"/>
    </row>
    <row r="52" spans="2:25" ht="15.6" x14ac:dyDescent="0.3">
      <c r="B52" s="25"/>
      <c r="C52" s="26" t="s">
        <v>32</v>
      </c>
      <c r="D52" s="42">
        <f>+Y48+D50</f>
        <v>43250.666666666664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100"/>
      <c r="T52" s="4"/>
      <c r="U52" s="6"/>
      <c r="V52" s="5"/>
      <c r="W52" s="45"/>
      <c r="X52" s="6"/>
      <c r="Y52" s="10"/>
    </row>
    <row r="53" spans="2:25" x14ac:dyDescent="0.3">
      <c r="C53" s="23"/>
      <c r="Y53" s="29"/>
    </row>
    <row r="54" spans="2:25" x14ac:dyDescent="0.3">
      <c r="U54" s="29"/>
      <c r="Y54" s="46"/>
    </row>
  </sheetData>
  <mergeCells count="39">
    <mergeCell ref="B10:D10"/>
    <mergeCell ref="S11:S12"/>
    <mergeCell ref="T11:T12"/>
    <mergeCell ref="U11:U12"/>
    <mergeCell ref="T4:U4"/>
    <mergeCell ref="T7:U7"/>
    <mergeCell ref="I8:K8"/>
    <mergeCell ref="T8:U8"/>
    <mergeCell ref="I9:R9"/>
    <mergeCell ref="E10:R10"/>
    <mergeCell ref="V11:V12"/>
    <mergeCell ref="Z11:Z12"/>
    <mergeCell ref="B13:B23"/>
    <mergeCell ref="C13:C14"/>
    <mergeCell ref="C15:C16"/>
    <mergeCell ref="C17:C18"/>
    <mergeCell ref="C19:C20"/>
    <mergeCell ref="C22:C23"/>
    <mergeCell ref="B11:B12"/>
    <mergeCell ref="D11:D12"/>
    <mergeCell ref="C11:C12"/>
    <mergeCell ref="B24:B35"/>
    <mergeCell ref="C24:C25"/>
    <mergeCell ref="C26:C27"/>
    <mergeCell ref="C28:C29"/>
    <mergeCell ref="C30:C31"/>
    <mergeCell ref="C32:C33"/>
    <mergeCell ref="C34:C35"/>
    <mergeCell ref="B44:B45"/>
    <mergeCell ref="C44:C45"/>
    <mergeCell ref="B46:B47"/>
    <mergeCell ref="C46:C47"/>
    <mergeCell ref="B36:B39"/>
    <mergeCell ref="C36:C37"/>
    <mergeCell ref="C38:C39"/>
    <mergeCell ref="B40:B41"/>
    <mergeCell ref="C40:C41"/>
    <mergeCell ref="B42:B43"/>
    <mergeCell ref="C42:C43"/>
  </mergeCells>
  <pageMargins left="0.70866141732283472" right="0.70866141732283472" top="0.74803149606299213" bottom="0.74803149606299213" header="0.31496062992125984" footer="0.31496062992125984"/>
  <pageSetup paperSize="9" scale="43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Pauta Digital</vt:lpstr>
      <vt:lpstr>Porcentaje</vt:lpstr>
      <vt:lpstr>PAUTA (HM 25-45)</vt:lpstr>
      <vt:lpstr>PAUTA (H 07-15)</vt:lpstr>
      <vt:lpstr>Hoja1</vt:lpstr>
      <vt:lpstr>Hoja3</vt:lpstr>
    </vt:vector>
  </TitlesOfParts>
  <Company>ATMOSFERA WEB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AdPeru</cp:lastModifiedBy>
  <cp:lastPrinted>2018-12-10T20:51:31Z</cp:lastPrinted>
  <dcterms:created xsi:type="dcterms:W3CDTF">2005-07-27T16:29:32Z</dcterms:created>
  <dcterms:modified xsi:type="dcterms:W3CDTF">2019-10-24T21:19:17Z</dcterms:modified>
</cp:coreProperties>
</file>