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8D9CEF1-AB64-4468-B184-CED39C139ED0}" xr6:coauthVersionLast="47" xr6:coauthVersionMax="47" xr10:uidLastSave="{00000000-0000-0000-0000-000000000000}"/>
  <bookViews>
    <workbookView xWindow="-120" yWindow="-120" windowWidth="20730" windowHeight="11040" tabRatio="815" firstSheet="1" activeTab="8" xr2:uid="{00000000-000D-0000-FFFF-FFFF00000000}"/>
  </bookViews>
  <sheets>
    <sheet name="Assumptions" sheetId="1" r:id="rId1"/>
    <sheet name="Converter" sheetId="19" r:id="rId2"/>
    <sheet name="Monthly Revenue" sheetId="9" r:id="rId3"/>
    <sheet name="Monthly P&amp;L" sheetId="10" r:id="rId4"/>
    <sheet name="Capital Structure" sheetId="16" r:id="rId5"/>
    <sheet name="Fixed Assets Schedule" sheetId="11" r:id="rId6"/>
    <sheet name="Annual P&amp;L" sheetId="13" r:id="rId7"/>
    <sheet name="Working Capital" sheetId="20" r:id="rId8"/>
    <sheet name="Balance Sheet" sheetId="21" r:id="rId9"/>
    <sheet name="Cashflow Statement" sheetId="22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Cwvu.REPORT.">#REF!</definedName>
    <definedName name="anscount" hidden="1">1</definedName>
    <definedName name="area">'[1]Assumptions Spa Resort 1'!$D$92</definedName>
    <definedName name="b">'[1]Bal Sh Spa Resort 1'!$H$22</definedName>
    <definedName name="BLPH1">#REF!</definedName>
    <definedName name="BLPH2">#REF!</definedName>
    <definedName name="circ">#REF!</definedName>
    <definedName name="cur">#REF!</definedName>
    <definedName name="den">Converter!$D$1</definedName>
    <definedName name="denti">#REF!</definedName>
    <definedName name="f">#REF!</definedName>
    <definedName name="FUNDFLOW">'[2]DETAIL SALES HASINA'!#REF!</definedName>
    <definedName name="inCR">10000000</definedName>
    <definedName name="inMN">#REF!</definedName>
    <definedName name="k">#REF!</definedName>
    <definedName name="Lakh">[3]Assumptions!$C$10</definedName>
    <definedName name="list1">'[4]WB 1'!$A$1:$E$1</definedName>
    <definedName name="M">#REF!</definedName>
    <definedName name="million">[5]Assumptions!$D$7</definedName>
    <definedName name="n">#REF!</definedName>
    <definedName name="OP">#REF!</definedName>
    <definedName name="p">'[1]Assumptions Spa Resort 1'!$A$1</definedName>
    <definedName name="po">#REF!</definedName>
    <definedName name="pr">#REF!</definedName>
    <definedName name="presnt">#REF!</definedName>
    <definedName name="_xlnm.Print_Area">#REF!</definedName>
    <definedName name="PRINT_AREA_MI">#REF!</definedName>
    <definedName name="PROJCOST">'[2]DETAIL SALES HASINA'!#REF!</definedName>
    <definedName name="PROJMEANS">'[2]DETAIL SALES HASINA'!#REF!</definedName>
    <definedName name="q">#REF!</definedName>
    <definedName name="s">#REF!</definedName>
    <definedName name="Swvu.REPORT.">#REF!</definedName>
    <definedName name="TY">#REF!</definedName>
    <definedName name="WCASSESMENT">'[2]DETAIL SALES HASINA'!#REF!</definedName>
    <definedName name="wrn.ALL.">#REF!</definedName>
    <definedName name="wrn.Complete._.Report.">#REF!</definedName>
    <definedName name="wrn.CompleteReport.">#REF!</definedName>
    <definedName name="wrn.FINANCIALS.">#REF!</definedName>
    <definedName name="wrn.TRAFFIC.">#REF!</definedName>
    <definedName name="wvu.REPORT.">#REF!</definedName>
  </definedNames>
  <calcPr calcId="191029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21" l="1"/>
  <c r="A34" i="21"/>
  <c r="A35" i="21"/>
  <c r="A32" i="21"/>
  <c r="A25" i="21"/>
  <c r="A26" i="21"/>
  <c r="A27" i="21"/>
  <c r="A24" i="21"/>
  <c r="A15" i="21"/>
  <c r="A14" i="21"/>
  <c r="E4" i="21"/>
  <c r="F4" i="21" s="1"/>
  <c r="G4" i="21" s="1"/>
  <c r="B1" i="21"/>
  <c r="G19" i="22"/>
  <c r="F19" i="22"/>
  <c r="B1" i="22"/>
  <c r="E4" i="22"/>
  <c r="F4" i="22" s="1"/>
  <c r="G4" i="22" s="1"/>
  <c r="A16" i="20"/>
  <c r="A17" i="20"/>
  <c r="A15" i="20"/>
  <c r="A8" i="20"/>
  <c r="A9" i="20"/>
  <c r="A7" i="20"/>
  <c r="E4" i="20"/>
  <c r="F4" i="20" s="1"/>
  <c r="G4" i="20" s="1"/>
  <c r="B1" i="20"/>
  <c r="D4" i="13"/>
  <c r="A28" i="13"/>
  <c r="A27" i="13"/>
  <c r="A26" i="13"/>
  <c r="A25" i="13"/>
  <c r="A24" i="13"/>
  <c r="A23" i="13"/>
  <c r="A22" i="13"/>
  <c r="A21" i="13"/>
  <c r="A20" i="13"/>
  <c r="A14" i="13"/>
  <c r="A13" i="13"/>
  <c r="A12" i="13"/>
  <c r="A9" i="13"/>
  <c r="A8" i="13"/>
  <c r="A7" i="13"/>
  <c r="A6" i="13"/>
  <c r="A26" i="11"/>
  <c r="A19" i="11"/>
  <c r="A12" i="11"/>
  <c r="A5" i="11"/>
  <c r="B18" i="16"/>
  <c r="B17" i="16"/>
  <c r="A7" i="16"/>
  <c r="A8" i="16"/>
  <c r="A9" i="16"/>
  <c r="A6" i="16"/>
  <c r="AH43" i="9"/>
  <c r="K24" i="9"/>
  <c r="M24" i="9"/>
  <c r="B10" i="1"/>
  <c r="E22" i="10"/>
  <c r="F22" i="10" s="1"/>
  <c r="G22" i="10" s="1"/>
  <c r="E24" i="10"/>
  <c r="E23" i="10"/>
  <c r="E25" i="10"/>
  <c r="E26" i="10"/>
  <c r="E19" i="10"/>
  <c r="E15" i="10"/>
  <c r="A21" i="10"/>
  <c r="A22" i="10"/>
  <c r="A23" i="10"/>
  <c r="A24" i="10"/>
  <c r="A25" i="10"/>
  <c r="A26" i="10"/>
  <c r="A27" i="10"/>
  <c r="A28" i="10"/>
  <c r="A20" i="10"/>
  <c r="A13" i="10"/>
  <c r="A14" i="10"/>
  <c r="A12" i="10"/>
  <c r="A9" i="10"/>
  <c r="A6" i="10"/>
  <c r="A7" i="10"/>
  <c r="A8" i="10"/>
  <c r="AN43" i="9"/>
  <c r="AM43" i="9"/>
  <c r="AL43" i="9"/>
  <c r="AK43" i="9"/>
  <c r="AJ43" i="9"/>
  <c r="AI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H30" i="9"/>
  <c r="H24" i="9"/>
  <c r="J24" i="9"/>
  <c r="L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F3" i="9"/>
  <c r="G3" i="9" s="1"/>
  <c r="H3" i="9" s="1"/>
  <c r="E4" i="9"/>
  <c r="F4" i="9" s="1"/>
  <c r="E4" i="13"/>
  <c r="E4" i="11"/>
  <c r="F4" i="11" s="1"/>
  <c r="G4" i="11" s="1"/>
  <c r="F4" i="13"/>
  <c r="G4" i="13" s="1"/>
  <c r="B1" i="13"/>
  <c r="B1" i="11"/>
  <c r="C4" i="16"/>
  <c r="B1" i="16"/>
  <c r="F3" i="10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B1" i="10"/>
  <c r="B1" i="9"/>
  <c r="D1" i="19"/>
  <c r="AL70" i="9" s="1"/>
  <c r="F10" i="1"/>
  <c r="C6" i="16" l="1"/>
  <c r="C7" i="16"/>
  <c r="E14" i="11" s="1"/>
  <c r="E16" i="11" s="1"/>
  <c r="E17" i="11" s="1"/>
  <c r="C8" i="16"/>
  <c r="E21" i="11" s="1"/>
  <c r="E23" i="11" s="1"/>
  <c r="H22" i="10"/>
  <c r="I22" i="10" s="1"/>
  <c r="J22" i="10" s="1"/>
  <c r="K22" i="10" s="1"/>
  <c r="L22" i="10" s="1"/>
  <c r="M22" i="10" s="1"/>
  <c r="N22" i="10" s="1"/>
  <c r="O22" i="10" s="1"/>
  <c r="P22" i="10" s="1"/>
  <c r="Q22" i="10" s="1"/>
  <c r="R22" i="10" s="1"/>
  <c r="S22" i="10" s="1"/>
  <c r="T22" i="10" s="1"/>
  <c r="U22" i="10" s="1"/>
  <c r="V22" i="10" s="1"/>
  <c r="W22" i="10" s="1"/>
  <c r="X22" i="10" s="1"/>
  <c r="Y22" i="10" s="1"/>
  <c r="Z22" i="10" s="1"/>
  <c r="AA22" i="10" s="1"/>
  <c r="AB22" i="10" s="1"/>
  <c r="AC22" i="10" s="1"/>
  <c r="AD22" i="10" s="1"/>
  <c r="AE22" i="10" s="1"/>
  <c r="AF22" i="10" s="1"/>
  <c r="AG22" i="10" s="1"/>
  <c r="AH22" i="10" s="1"/>
  <c r="AI22" i="10" s="1"/>
  <c r="AJ22" i="10" s="1"/>
  <c r="AK22" i="10" s="1"/>
  <c r="AL22" i="10" s="1"/>
  <c r="AM22" i="10" s="1"/>
  <c r="AN22" i="10" s="1"/>
  <c r="C9" i="16"/>
  <c r="E28" i="11" s="1"/>
  <c r="E30" i="11" s="1"/>
  <c r="C11" i="16"/>
  <c r="C12" i="16"/>
  <c r="E17" i="13"/>
  <c r="G30" i="13"/>
  <c r="G18" i="13"/>
  <c r="G10" i="13"/>
  <c r="F30" i="13"/>
  <c r="F18" i="13"/>
  <c r="F10" i="13"/>
  <c r="G11" i="13"/>
  <c r="F11" i="13"/>
  <c r="E11" i="13"/>
  <c r="E30" i="13"/>
  <c r="E18" i="13"/>
  <c r="E10" i="13"/>
  <c r="G17" i="13"/>
  <c r="F17" i="13"/>
  <c r="F25" i="10"/>
  <c r="G25" i="10" s="1"/>
  <c r="H25" i="10" s="1"/>
  <c r="I25" i="10" s="1"/>
  <c r="J25" i="10" s="1"/>
  <c r="K25" i="10" s="1"/>
  <c r="L25" i="10" s="1"/>
  <c r="M25" i="10" s="1"/>
  <c r="N25" i="10" s="1"/>
  <c r="O25" i="10" s="1"/>
  <c r="P25" i="10" s="1"/>
  <c r="Q25" i="10" s="1"/>
  <c r="R25" i="10" s="1"/>
  <c r="S25" i="10" s="1"/>
  <c r="T25" i="10" s="1"/>
  <c r="U25" i="10" s="1"/>
  <c r="V25" i="10" s="1"/>
  <c r="W25" i="10" s="1"/>
  <c r="X25" i="10" s="1"/>
  <c r="Y25" i="10" s="1"/>
  <c r="Z25" i="10" s="1"/>
  <c r="AA25" i="10" s="1"/>
  <c r="AB25" i="10" s="1"/>
  <c r="AC25" i="10" s="1"/>
  <c r="AD25" i="10" s="1"/>
  <c r="AE25" i="10" s="1"/>
  <c r="AF25" i="10" s="1"/>
  <c r="AG25" i="10" s="1"/>
  <c r="AH25" i="10" s="1"/>
  <c r="AI25" i="10" s="1"/>
  <c r="AJ25" i="10" s="1"/>
  <c r="AK25" i="10" s="1"/>
  <c r="AL25" i="10" s="1"/>
  <c r="AM25" i="10" s="1"/>
  <c r="AN25" i="10" s="1"/>
  <c r="F19" i="10"/>
  <c r="G19" i="10" s="1"/>
  <c r="H19" i="10" s="1"/>
  <c r="I19" i="10" s="1"/>
  <c r="J19" i="10" s="1"/>
  <c r="K19" i="10" s="1"/>
  <c r="L19" i="10" s="1"/>
  <c r="M19" i="10" s="1"/>
  <c r="N19" i="10" s="1"/>
  <c r="O19" i="10" s="1"/>
  <c r="P19" i="10" s="1"/>
  <c r="Q19" i="10" s="1"/>
  <c r="R19" i="10" s="1"/>
  <c r="S19" i="10" s="1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AG19" i="10" s="1"/>
  <c r="AH19" i="10" s="1"/>
  <c r="AI19" i="10" s="1"/>
  <c r="AJ19" i="10" s="1"/>
  <c r="AK19" i="10" s="1"/>
  <c r="AL19" i="10" s="1"/>
  <c r="AM19" i="10" s="1"/>
  <c r="AN19" i="10" s="1"/>
  <c r="F23" i="10"/>
  <c r="G23" i="10" s="1"/>
  <c r="H23" i="10" s="1"/>
  <c r="I23" i="10" s="1"/>
  <c r="J23" i="10" s="1"/>
  <c r="K23" i="10" s="1"/>
  <c r="L23" i="10" s="1"/>
  <c r="M23" i="10" s="1"/>
  <c r="N23" i="10" s="1"/>
  <c r="O23" i="10" s="1"/>
  <c r="P23" i="10" s="1"/>
  <c r="Q23" i="10" s="1"/>
  <c r="R23" i="10" s="1"/>
  <c r="S23" i="10" s="1"/>
  <c r="T23" i="10" s="1"/>
  <c r="U23" i="10" s="1"/>
  <c r="V23" i="10" s="1"/>
  <c r="W23" i="10" s="1"/>
  <c r="X23" i="10" s="1"/>
  <c r="Y23" i="10" s="1"/>
  <c r="Z23" i="10" s="1"/>
  <c r="AA23" i="10" s="1"/>
  <c r="AB23" i="10" s="1"/>
  <c r="AC23" i="10" s="1"/>
  <c r="AD23" i="10" s="1"/>
  <c r="AE23" i="10" s="1"/>
  <c r="AF23" i="10" s="1"/>
  <c r="AG23" i="10" s="1"/>
  <c r="AH23" i="10" s="1"/>
  <c r="AI23" i="10" s="1"/>
  <c r="AJ23" i="10" s="1"/>
  <c r="AK23" i="10" s="1"/>
  <c r="AL23" i="10" s="1"/>
  <c r="AM23" i="10" s="1"/>
  <c r="AN23" i="10" s="1"/>
  <c r="F26" i="10"/>
  <c r="G26" i="10" s="1"/>
  <c r="H26" i="10" s="1"/>
  <c r="I26" i="10" s="1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V26" i="10" s="1"/>
  <c r="W26" i="10" s="1"/>
  <c r="X26" i="10" s="1"/>
  <c r="Y26" i="10" s="1"/>
  <c r="Z26" i="10" s="1"/>
  <c r="AA26" i="10" s="1"/>
  <c r="AB26" i="10" s="1"/>
  <c r="AC26" i="10" s="1"/>
  <c r="AD26" i="10" s="1"/>
  <c r="AE26" i="10" s="1"/>
  <c r="AF26" i="10" s="1"/>
  <c r="AG26" i="10" s="1"/>
  <c r="AH26" i="10" s="1"/>
  <c r="AI26" i="10" s="1"/>
  <c r="AJ26" i="10" s="1"/>
  <c r="AK26" i="10" s="1"/>
  <c r="AL26" i="10" s="1"/>
  <c r="AM26" i="10" s="1"/>
  <c r="AN26" i="10" s="1"/>
  <c r="F24" i="10"/>
  <c r="F15" i="10"/>
  <c r="I71" i="9"/>
  <c r="AL71" i="9"/>
  <c r="V72" i="9"/>
  <c r="AL72" i="9"/>
  <c r="V71" i="9"/>
  <c r="I70" i="9"/>
  <c r="Y71" i="9"/>
  <c r="I72" i="9"/>
  <c r="Y72" i="9"/>
  <c r="V70" i="9"/>
  <c r="Y70" i="9"/>
  <c r="E50" i="9"/>
  <c r="AE72" i="9"/>
  <c r="S72" i="9"/>
  <c r="G72" i="9"/>
  <c r="AE71" i="9"/>
  <c r="S71" i="9"/>
  <c r="G71" i="9"/>
  <c r="AE70" i="9"/>
  <c r="S70" i="9"/>
  <c r="G70" i="9"/>
  <c r="AC72" i="9"/>
  <c r="Q72" i="9"/>
  <c r="E72" i="9"/>
  <c r="AC71" i="9"/>
  <c r="Q71" i="9"/>
  <c r="E71" i="9"/>
  <c r="AC70" i="9"/>
  <c r="Q70" i="9"/>
  <c r="E70" i="9"/>
  <c r="AN72" i="9"/>
  <c r="AN71" i="9"/>
  <c r="P71" i="9"/>
  <c r="AB70" i="9"/>
  <c r="AM72" i="9"/>
  <c r="O72" i="9"/>
  <c r="AA71" i="9"/>
  <c r="AM70" i="9"/>
  <c r="O70" i="9"/>
  <c r="AB72" i="9"/>
  <c r="P72" i="9"/>
  <c r="AB71" i="9"/>
  <c r="AN70" i="9"/>
  <c r="P70" i="9"/>
  <c r="AA72" i="9"/>
  <c r="AM71" i="9"/>
  <c r="O71" i="9"/>
  <c r="AA70" i="9"/>
  <c r="L70" i="9"/>
  <c r="AF70" i="9"/>
  <c r="L71" i="9"/>
  <c r="L72" i="9"/>
  <c r="AF72" i="9"/>
  <c r="M71" i="9"/>
  <c r="N70" i="9"/>
  <c r="AH70" i="9"/>
  <c r="AH71" i="9"/>
  <c r="N72" i="9"/>
  <c r="AH72" i="9"/>
  <c r="R72" i="9"/>
  <c r="T70" i="9"/>
  <c r="AJ70" i="9"/>
  <c r="T71" i="9"/>
  <c r="AJ71" i="9"/>
  <c r="T72" i="9"/>
  <c r="AJ72" i="9"/>
  <c r="J70" i="9"/>
  <c r="Z70" i="9"/>
  <c r="J71" i="9"/>
  <c r="Z71" i="9"/>
  <c r="J72" i="9"/>
  <c r="Z72" i="9"/>
  <c r="K70" i="9"/>
  <c r="AD70" i="9"/>
  <c r="K71" i="9"/>
  <c r="AD71" i="9"/>
  <c r="K72" i="9"/>
  <c r="AD72" i="9"/>
  <c r="AF71" i="9"/>
  <c r="M70" i="9"/>
  <c r="AG70" i="9"/>
  <c r="AG71" i="9"/>
  <c r="M72" i="9"/>
  <c r="AG72" i="9"/>
  <c r="N71" i="9"/>
  <c r="R70" i="9"/>
  <c r="AI70" i="9"/>
  <c r="R71" i="9"/>
  <c r="AI71" i="9"/>
  <c r="AI72" i="9"/>
  <c r="U70" i="9"/>
  <c r="AK70" i="9"/>
  <c r="U71" i="9"/>
  <c r="AK71" i="9"/>
  <c r="U72" i="9"/>
  <c r="AK72" i="9"/>
  <c r="F70" i="9"/>
  <c r="W70" i="9"/>
  <c r="F71" i="9"/>
  <c r="W71" i="9"/>
  <c r="F72" i="9"/>
  <c r="W72" i="9"/>
  <c r="H70" i="9"/>
  <c r="X70" i="9"/>
  <c r="H71" i="9"/>
  <c r="X71" i="9"/>
  <c r="H72" i="9"/>
  <c r="X72" i="9"/>
  <c r="K56" i="9"/>
  <c r="U58" i="9"/>
  <c r="L56" i="9"/>
  <c r="F58" i="9"/>
  <c r="F65" i="9"/>
  <c r="Y57" i="9"/>
  <c r="Q65" i="9"/>
  <c r="AF56" i="9"/>
  <c r="K57" i="9"/>
  <c r="X58" i="9"/>
  <c r="R56" i="9"/>
  <c r="I58" i="9"/>
  <c r="S56" i="9"/>
  <c r="M57" i="9"/>
  <c r="AD58" i="9"/>
  <c r="T56" i="9"/>
  <c r="Q57" i="9"/>
  <c r="K58" i="9"/>
  <c r="F56" i="9"/>
  <c r="U56" i="9"/>
  <c r="AJ56" i="9"/>
  <c r="R57" i="9"/>
  <c r="AG57" i="9"/>
  <c r="L58" i="9"/>
  <c r="AF58" i="9"/>
  <c r="F64" i="9"/>
  <c r="H57" i="9"/>
  <c r="E58" i="9"/>
  <c r="AD56" i="9"/>
  <c r="X57" i="9"/>
  <c r="M56" i="9"/>
  <c r="AG56" i="9"/>
  <c r="AD57" i="9"/>
  <c r="AC65" i="9"/>
  <c r="AH56" i="9"/>
  <c r="J58" i="9"/>
  <c r="E56" i="9"/>
  <c r="AI56" i="9"/>
  <c r="AF57" i="9"/>
  <c r="AE58" i="9"/>
  <c r="V56" i="9"/>
  <c r="AK56" i="9"/>
  <c r="AH57" i="9"/>
  <c r="Q58" i="9"/>
  <c r="AG58" i="9"/>
  <c r="AC56" i="9"/>
  <c r="I57" i="9"/>
  <c r="V58" i="9"/>
  <c r="AE56" i="9"/>
  <c r="G58" i="9"/>
  <c r="Q56" i="9"/>
  <c r="H58" i="9"/>
  <c r="R65" i="9"/>
  <c r="AC58" i="9"/>
  <c r="AE57" i="9"/>
  <c r="G56" i="9"/>
  <c r="S57" i="9"/>
  <c r="H56" i="9"/>
  <c r="W56" i="9"/>
  <c r="E57" i="9"/>
  <c r="T57" i="9"/>
  <c r="AI57" i="9"/>
  <c r="R58" i="9"/>
  <c r="AH58" i="9"/>
  <c r="W57" i="9"/>
  <c r="E65" i="9"/>
  <c r="J57" i="9"/>
  <c r="W58" i="9"/>
  <c r="AC57" i="9"/>
  <c r="L57" i="9"/>
  <c r="X56" i="9"/>
  <c r="F57" i="9"/>
  <c r="U57" i="9"/>
  <c r="AJ57" i="9"/>
  <c r="S58" i="9"/>
  <c r="AI58" i="9"/>
  <c r="E64" i="9"/>
  <c r="J56" i="9"/>
  <c r="Y56" i="9"/>
  <c r="G57" i="9"/>
  <c r="V57" i="9"/>
  <c r="AK57" i="9"/>
  <c r="T58" i="9"/>
  <c r="AJ58" i="9"/>
  <c r="M58" i="9"/>
  <c r="Y58" i="9"/>
  <c r="AK58" i="9"/>
  <c r="AD65" i="9"/>
  <c r="N56" i="9"/>
  <c r="Z56" i="9"/>
  <c r="AL56" i="9"/>
  <c r="N57" i="9"/>
  <c r="Z57" i="9"/>
  <c r="AL57" i="9"/>
  <c r="N58" i="9"/>
  <c r="Z58" i="9"/>
  <c r="AL58" i="9"/>
  <c r="E66" i="9"/>
  <c r="O56" i="9"/>
  <c r="AA56" i="9"/>
  <c r="AM56" i="9"/>
  <c r="O57" i="9"/>
  <c r="AA57" i="9"/>
  <c r="AM57" i="9"/>
  <c r="O58" i="9"/>
  <c r="AA58" i="9"/>
  <c r="AM58" i="9"/>
  <c r="F66" i="9"/>
  <c r="P56" i="9"/>
  <c r="AB56" i="9"/>
  <c r="AN56" i="9"/>
  <c r="P57" i="9"/>
  <c r="AB57" i="9"/>
  <c r="AN57" i="9"/>
  <c r="P58" i="9"/>
  <c r="AB58" i="9"/>
  <c r="AN58" i="9"/>
  <c r="AC64" i="9"/>
  <c r="AC66" i="9"/>
  <c r="Q64" i="9"/>
  <c r="Q66" i="9"/>
  <c r="R64" i="9"/>
  <c r="R66" i="9"/>
  <c r="AD64" i="9"/>
  <c r="AD66" i="9"/>
  <c r="G64" i="9"/>
  <c r="S64" i="9"/>
  <c r="G65" i="9"/>
  <c r="S65" i="9"/>
  <c r="AE65" i="9"/>
  <c r="G66" i="9"/>
  <c r="AE66" i="9"/>
  <c r="H64" i="9"/>
  <c r="AF64" i="9"/>
  <c r="T66" i="9"/>
  <c r="U64" i="9"/>
  <c r="U65" i="9"/>
  <c r="AG66" i="9"/>
  <c r="AH64" i="9"/>
  <c r="V65" i="9"/>
  <c r="AH65" i="9"/>
  <c r="AH66" i="9"/>
  <c r="K65" i="9"/>
  <c r="AI65" i="9"/>
  <c r="AI66" i="9"/>
  <c r="X64" i="9"/>
  <c r="AJ64" i="9"/>
  <c r="X65" i="9"/>
  <c r="AJ65" i="9"/>
  <c r="L66" i="9"/>
  <c r="AJ66" i="9"/>
  <c r="M64" i="9"/>
  <c r="Y64" i="9"/>
  <c r="AK64" i="9"/>
  <c r="M65" i="9"/>
  <c r="Y65" i="9"/>
  <c r="AK65" i="9"/>
  <c r="M66" i="9"/>
  <c r="Y66" i="9"/>
  <c r="AK66" i="9"/>
  <c r="T64" i="9"/>
  <c r="H65" i="9"/>
  <c r="T65" i="9"/>
  <c r="AF65" i="9"/>
  <c r="AF66" i="9"/>
  <c r="I64" i="9"/>
  <c r="I65" i="9"/>
  <c r="I66" i="9"/>
  <c r="J64" i="9"/>
  <c r="J65" i="9"/>
  <c r="V66" i="9"/>
  <c r="W64" i="9"/>
  <c r="K66" i="9"/>
  <c r="L64" i="9"/>
  <c r="L65" i="9"/>
  <c r="X66" i="9"/>
  <c r="N64" i="9"/>
  <c r="Z64" i="9"/>
  <c r="AL64" i="9"/>
  <c r="N65" i="9"/>
  <c r="Z65" i="9"/>
  <c r="AL65" i="9"/>
  <c r="N66" i="9"/>
  <c r="Z66" i="9"/>
  <c r="AL66" i="9"/>
  <c r="AG64" i="9"/>
  <c r="AG65" i="9"/>
  <c r="U66" i="9"/>
  <c r="V64" i="9"/>
  <c r="J66" i="9"/>
  <c r="K64" i="9"/>
  <c r="AI64" i="9"/>
  <c r="W65" i="9"/>
  <c r="W66" i="9"/>
  <c r="O64" i="9"/>
  <c r="AA64" i="9"/>
  <c r="AM64" i="9"/>
  <c r="O65" i="9"/>
  <c r="AA65" i="9"/>
  <c r="AM65" i="9"/>
  <c r="O66" i="9"/>
  <c r="AA66" i="9"/>
  <c r="AM66" i="9"/>
  <c r="AE64" i="9"/>
  <c r="S66" i="9"/>
  <c r="H66" i="9"/>
  <c r="P64" i="9"/>
  <c r="AB64" i="9"/>
  <c r="AN64" i="9"/>
  <c r="P65" i="9"/>
  <c r="AB65" i="9"/>
  <c r="AN65" i="9"/>
  <c r="P66" i="9"/>
  <c r="AB66" i="9"/>
  <c r="AN66" i="9"/>
  <c r="AM50" i="9"/>
  <c r="R51" i="9"/>
  <c r="AD52" i="9"/>
  <c r="G50" i="9"/>
  <c r="AN50" i="9"/>
  <c r="S51" i="9"/>
  <c r="AK51" i="9"/>
  <c r="AE52" i="9"/>
  <c r="E51" i="9"/>
  <c r="F51" i="9"/>
  <c r="AM51" i="9"/>
  <c r="AB50" i="9"/>
  <c r="G51" i="9"/>
  <c r="AN51" i="9"/>
  <c r="S52" i="9"/>
  <c r="N50" i="9"/>
  <c r="AC50" i="9"/>
  <c r="H51" i="9"/>
  <c r="Z51" i="9"/>
  <c r="E52" i="9"/>
  <c r="T52" i="9"/>
  <c r="AL52" i="9"/>
  <c r="O50" i="9"/>
  <c r="I51" i="9"/>
  <c r="AA51" i="9"/>
  <c r="F52" i="9"/>
  <c r="AM52" i="9"/>
  <c r="AE50" i="9"/>
  <c r="G52" i="9"/>
  <c r="Z52" i="9"/>
  <c r="U50" i="9"/>
  <c r="O52" i="9"/>
  <c r="Y50" i="9"/>
  <c r="P52" i="9"/>
  <c r="H50" i="9"/>
  <c r="AL51" i="9"/>
  <c r="R52" i="9"/>
  <c r="M50" i="9"/>
  <c r="Y51" i="9"/>
  <c r="AK52" i="9"/>
  <c r="AD50" i="9"/>
  <c r="U52" i="9"/>
  <c r="P50" i="9"/>
  <c r="M51" i="9"/>
  <c r="AB51" i="9"/>
  <c r="Y52" i="9"/>
  <c r="AN52" i="9"/>
  <c r="Q50" i="9"/>
  <c r="AF50" i="9"/>
  <c r="N51" i="9"/>
  <c r="AC51" i="9"/>
  <c r="H52" i="9"/>
  <c r="R50" i="9"/>
  <c r="AG50" i="9"/>
  <c r="O51" i="9"/>
  <c r="AD51" i="9"/>
  <c r="I52" i="9"/>
  <c r="AA52" i="9"/>
  <c r="S50" i="9"/>
  <c r="AK50" i="9"/>
  <c r="P51" i="9"/>
  <c r="AE51" i="9"/>
  <c r="M52" i="9"/>
  <c r="AB52" i="9"/>
  <c r="F50" i="9"/>
  <c r="AG51" i="9"/>
  <c r="Z50" i="9"/>
  <c r="T51" i="9"/>
  <c r="Q52" i="9"/>
  <c r="AF52" i="9"/>
  <c r="AA50" i="9"/>
  <c r="U51" i="9"/>
  <c r="AG52" i="9"/>
  <c r="T50" i="9"/>
  <c r="AL50" i="9"/>
  <c r="Q51" i="9"/>
  <c r="AF51" i="9"/>
  <c r="N52" i="9"/>
  <c r="AC52" i="9"/>
  <c r="J50" i="9"/>
  <c r="V50" i="9"/>
  <c r="AH50" i="9"/>
  <c r="J51" i="9"/>
  <c r="V51" i="9"/>
  <c r="AH51" i="9"/>
  <c r="J52" i="9"/>
  <c r="V52" i="9"/>
  <c r="AH52" i="9"/>
  <c r="K50" i="9"/>
  <c r="W50" i="9"/>
  <c r="AI50" i="9"/>
  <c r="K51" i="9"/>
  <c r="W51" i="9"/>
  <c r="AI51" i="9"/>
  <c r="K52" i="9"/>
  <c r="W52" i="9"/>
  <c r="AI52" i="9"/>
  <c r="L50" i="9"/>
  <c r="X50" i="9"/>
  <c r="AJ50" i="9"/>
  <c r="L51" i="9"/>
  <c r="X51" i="9"/>
  <c r="AJ51" i="9"/>
  <c r="L52" i="9"/>
  <c r="X52" i="9"/>
  <c r="AJ52" i="9"/>
  <c r="E5" i="9"/>
  <c r="E6" i="9" s="1"/>
  <c r="E12" i="9" s="1"/>
  <c r="F5" i="9"/>
  <c r="G4" i="9"/>
  <c r="I3" i="9"/>
  <c r="G5" i="1"/>
  <c r="G101" i="1"/>
  <c r="E29" i="21" l="1"/>
  <c r="F29" i="21" s="1"/>
  <c r="G29" i="21" s="1"/>
  <c r="E14" i="22"/>
  <c r="F59" i="9"/>
  <c r="AE73" i="9"/>
  <c r="J76" i="9"/>
  <c r="J6" i="10" s="1"/>
  <c r="J12" i="10" s="1"/>
  <c r="AE78" i="9"/>
  <c r="AE8" i="10" s="1"/>
  <c r="AE14" i="10" s="1"/>
  <c r="AJ77" i="9"/>
  <c r="AJ7" i="10" s="1"/>
  <c r="AJ13" i="10" s="1"/>
  <c r="AI76" i="9"/>
  <c r="AI6" i="10" s="1"/>
  <c r="AI12" i="10" s="1"/>
  <c r="F13" i="11"/>
  <c r="E25" i="21"/>
  <c r="E31" i="11"/>
  <c r="AI77" i="9"/>
  <c r="AI7" i="10" s="1"/>
  <c r="AI13" i="10" s="1"/>
  <c r="Y78" i="9"/>
  <c r="Y8" i="10" s="1"/>
  <c r="Y14" i="10" s="1"/>
  <c r="AL78" i="9"/>
  <c r="AL8" i="10" s="1"/>
  <c r="AL14" i="10" s="1"/>
  <c r="F77" i="9"/>
  <c r="F7" i="10" s="1"/>
  <c r="F13" i="10" s="1"/>
  <c r="V67" i="9"/>
  <c r="Y67" i="9"/>
  <c r="W77" i="9"/>
  <c r="W7" i="10" s="1"/>
  <c r="W13" i="10" s="1"/>
  <c r="AJ78" i="9"/>
  <c r="AJ8" i="10" s="1"/>
  <c r="AJ14" i="10" s="1"/>
  <c r="G73" i="9"/>
  <c r="P78" i="9"/>
  <c r="P8" i="10" s="1"/>
  <c r="P14" i="10" s="1"/>
  <c r="E9" i="20" s="1"/>
  <c r="E35" i="21" s="1"/>
  <c r="AB77" i="9"/>
  <c r="AB7" i="10" s="1"/>
  <c r="AB13" i="10" s="1"/>
  <c r="F8" i="20" s="1"/>
  <c r="F34" i="21" s="1"/>
  <c r="U59" i="9"/>
  <c r="S73" i="9"/>
  <c r="E26" i="13"/>
  <c r="R59" i="9"/>
  <c r="E24" i="11"/>
  <c r="G22" i="13"/>
  <c r="G26" i="13"/>
  <c r="G19" i="13"/>
  <c r="E22" i="13"/>
  <c r="F19" i="13"/>
  <c r="F23" i="13"/>
  <c r="E25" i="13"/>
  <c r="AL73" i="9"/>
  <c r="F25" i="13"/>
  <c r="G23" i="13"/>
  <c r="E67" i="9"/>
  <c r="E19" i="13"/>
  <c r="G25" i="13"/>
  <c r="E23" i="13"/>
  <c r="AH76" i="9"/>
  <c r="AH6" i="10" s="1"/>
  <c r="AH12" i="10" s="1"/>
  <c r="F22" i="13"/>
  <c r="F26" i="13"/>
  <c r="E7" i="11"/>
  <c r="C10" i="16"/>
  <c r="F16" i="11"/>
  <c r="F17" i="11" s="1"/>
  <c r="Y73" i="9"/>
  <c r="AB73" i="9"/>
  <c r="V73" i="9"/>
  <c r="O76" i="9"/>
  <c r="O6" i="10" s="1"/>
  <c r="O12" i="10" s="1"/>
  <c r="AK67" i="9"/>
  <c r="V76" i="9"/>
  <c r="V6" i="10" s="1"/>
  <c r="V12" i="10" s="1"/>
  <c r="Z67" i="9"/>
  <c r="AC67" i="9"/>
  <c r="T77" i="9"/>
  <c r="T7" i="10" s="1"/>
  <c r="T13" i="10" s="1"/>
  <c r="I67" i="9"/>
  <c r="N67" i="9"/>
  <c r="H76" i="9"/>
  <c r="H6" i="10" s="1"/>
  <c r="H12" i="10" s="1"/>
  <c r="W59" i="9"/>
  <c r="AC59" i="9"/>
  <c r="I78" i="9"/>
  <c r="I8" i="10" s="1"/>
  <c r="I14" i="10" s="1"/>
  <c r="P76" i="9"/>
  <c r="P6" i="10" s="1"/>
  <c r="P12" i="10" s="1"/>
  <c r="AH59" i="9"/>
  <c r="AM77" i="9"/>
  <c r="AM7" i="10" s="1"/>
  <c r="AM13" i="10" s="1"/>
  <c r="AF78" i="9"/>
  <c r="AF8" i="10" s="1"/>
  <c r="AF14" i="10" s="1"/>
  <c r="AF59" i="9"/>
  <c r="AA78" i="9"/>
  <c r="AA8" i="10" s="1"/>
  <c r="AA14" i="10" s="1"/>
  <c r="X78" i="9"/>
  <c r="X8" i="10" s="1"/>
  <c r="X14" i="10" s="1"/>
  <c r="AD77" i="9"/>
  <c r="AD7" i="10" s="1"/>
  <c r="AD13" i="10" s="1"/>
  <c r="AD76" i="9"/>
  <c r="AD6" i="10" s="1"/>
  <c r="AD12" i="10" s="1"/>
  <c r="G24" i="10"/>
  <c r="G15" i="10"/>
  <c r="T78" i="9"/>
  <c r="T8" i="10" s="1"/>
  <c r="T14" i="10" s="1"/>
  <c r="Z78" i="9"/>
  <c r="Z8" i="10" s="1"/>
  <c r="Z14" i="10" s="1"/>
  <c r="L78" i="9"/>
  <c r="L8" i="10" s="1"/>
  <c r="L14" i="10" s="1"/>
  <c r="K77" i="9"/>
  <c r="K7" i="10" s="1"/>
  <c r="K13" i="10" s="1"/>
  <c r="M77" i="9"/>
  <c r="M7" i="10" s="1"/>
  <c r="M13" i="10" s="1"/>
  <c r="M67" i="9"/>
  <c r="E78" i="9"/>
  <c r="E8" i="10" s="1"/>
  <c r="E73" i="9"/>
  <c r="W67" i="9"/>
  <c r="K76" i="9"/>
  <c r="K6" i="10" s="1"/>
  <c r="K12" i="10" s="1"/>
  <c r="AK78" i="9"/>
  <c r="AK8" i="10" s="1"/>
  <c r="AK14" i="10" s="1"/>
  <c r="V78" i="9"/>
  <c r="V8" i="10" s="1"/>
  <c r="V14" i="10" s="1"/>
  <c r="T59" i="9"/>
  <c r="I73" i="9"/>
  <c r="G78" i="9"/>
  <c r="G8" i="10" s="1"/>
  <c r="G14" i="10" s="1"/>
  <c r="R78" i="9"/>
  <c r="R8" i="10" s="1"/>
  <c r="R14" i="10" s="1"/>
  <c r="O77" i="9"/>
  <c r="O7" i="10" s="1"/>
  <c r="O13" i="10" s="1"/>
  <c r="S67" i="9"/>
  <c r="AG59" i="9"/>
  <c r="AK73" i="9"/>
  <c r="AH73" i="9"/>
  <c r="P73" i="9"/>
  <c r="X77" i="9"/>
  <c r="X7" i="10" s="1"/>
  <c r="X13" i="10" s="1"/>
  <c r="AG77" i="9"/>
  <c r="AG7" i="10" s="1"/>
  <c r="AG13" i="10" s="1"/>
  <c r="U76" i="9"/>
  <c r="L67" i="9"/>
  <c r="G67" i="9"/>
  <c r="H73" i="9"/>
  <c r="F76" i="9"/>
  <c r="H77" i="9"/>
  <c r="H7" i="10" s="1"/>
  <c r="H13" i="10" s="1"/>
  <c r="AN67" i="9"/>
  <c r="T67" i="9"/>
  <c r="AH78" i="9"/>
  <c r="AH8" i="10" s="1"/>
  <c r="AH14" i="10" s="1"/>
  <c r="AB78" i="9"/>
  <c r="AB8" i="10" s="1"/>
  <c r="AB14" i="10" s="1"/>
  <c r="AC76" i="9"/>
  <c r="AB67" i="9"/>
  <c r="AD67" i="9"/>
  <c r="Q73" i="9"/>
  <c r="M78" i="9"/>
  <c r="M8" i="10" s="1"/>
  <c r="M14" i="10" s="1"/>
  <c r="AC77" i="9"/>
  <c r="AC7" i="10" s="1"/>
  <c r="Y77" i="9"/>
  <c r="Y7" i="10" s="1"/>
  <c r="Y13" i="10" s="1"/>
  <c r="AE76" i="9"/>
  <c r="N76" i="9"/>
  <c r="G76" i="9"/>
  <c r="P67" i="9"/>
  <c r="O67" i="9"/>
  <c r="AJ67" i="9"/>
  <c r="AC73" i="9"/>
  <c r="L76" i="9"/>
  <c r="J78" i="9"/>
  <c r="J8" i="10" s="1"/>
  <c r="J14" i="10" s="1"/>
  <c r="T76" i="9"/>
  <c r="AE77" i="9"/>
  <c r="AE7" i="10" s="1"/>
  <c r="AE13" i="10" s="1"/>
  <c r="N77" i="9"/>
  <c r="N7" i="10" s="1"/>
  <c r="N13" i="10" s="1"/>
  <c r="M76" i="9"/>
  <c r="AM78" i="9"/>
  <c r="AM8" i="10" s="1"/>
  <c r="AM14" i="10" s="1"/>
  <c r="S78" i="9"/>
  <c r="S8" i="10" s="1"/>
  <c r="S14" i="10" s="1"/>
  <c r="AD78" i="9"/>
  <c r="AD8" i="10" s="1"/>
  <c r="AD14" i="10" s="1"/>
  <c r="X67" i="9"/>
  <c r="AF67" i="9"/>
  <c r="R67" i="9"/>
  <c r="AI73" i="9"/>
  <c r="O73" i="9"/>
  <c r="E53" i="9"/>
  <c r="E77" i="9"/>
  <c r="E7" i="10" s="1"/>
  <c r="Z76" i="9"/>
  <c r="O78" i="9"/>
  <c r="O8" i="10" s="1"/>
  <c r="O14" i="10" s="1"/>
  <c r="AH67" i="9"/>
  <c r="G59" i="9"/>
  <c r="X73" i="9"/>
  <c r="Z73" i="9"/>
  <c r="N78" i="9"/>
  <c r="N8" i="10" s="1"/>
  <c r="N14" i="10" s="1"/>
  <c r="U78" i="9"/>
  <c r="U8" i="10" s="1"/>
  <c r="U14" i="10" s="1"/>
  <c r="Z77" i="9"/>
  <c r="Z7" i="10" s="1"/>
  <c r="Z13" i="10" s="1"/>
  <c r="AF77" i="9"/>
  <c r="AF7" i="10" s="1"/>
  <c r="AF13" i="10" s="1"/>
  <c r="R76" i="9"/>
  <c r="S77" i="9"/>
  <c r="S7" i="10" s="1"/>
  <c r="S13" i="10" s="1"/>
  <c r="AM67" i="9"/>
  <c r="AJ76" i="9"/>
  <c r="Q77" i="9"/>
  <c r="Q7" i="10" s="1"/>
  <c r="H78" i="9"/>
  <c r="H8" i="10" s="1"/>
  <c r="H14" i="10" s="1"/>
  <c r="AN76" i="9"/>
  <c r="AA67" i="9"/>
  <c r="U67" i="9"/>
  <c r="X76" i="9"/>
  <c r="AL76" i="9"/>
  <c r="AI78" i="9"/>
  <c r="AI8" i="10" s="1"/>
  <c r="AI14" i="10" s="1"/>
  <c r="AH77" i="9"/>
  <c r="AH7" i="10" s="1"/>
  <c r="AH13" i="10" s="1"/>
  <c r="AG78" i="9"/>
  <c r="AG8" i="10" s="1"/>
  <c r="AG14" i="10" s="1"/>
  <c r="P77" i="9"/>
  <c r="P7" i="10" s="1"/>
  <c r="P13" i="10" s="1"/>
  <c r="AF76" i="9"/>
  <c r="F78" i="9"/>
  <c r="F8" i="10" s="1"/>
  <c r="F14" i="10" s="1"/>
  <c r="R77" i="9"/>
  <c r="R7" i="10" s="1"/>
  <c r="R13" i="10" s="1"/>
  <c r="J67" i="9"/>
  <c r="F67" i="9"/>
  <c r="W73" i="9"/>
  <c r="AD73" i="9"/>
  <c r="W78" i="9"/>
  <c r="W8" i="10" s="1"/>
  <c r="W14" i="10" s="1"/>
  <c r="V77" i="9"/>
  <c r="V7" i="10" s="1"/>
  <c r="V13" i="10" s="1"/>
  <c r="U77" i="9"/>
  <c r="U7" i="10" s="1"/>
  <c r="U13" i="10" s="1"/>
  <c r="AK76" i="9"/>
  <c r="Q76" i="9"/>
  <c r="AA77" i="9"/>
  <c r="AA7" i="10" s="1"/>
  <c r="AA13" i="10" s="1"/>
  <c r="G77" i="9"/>
  <c r="G7" i="10" s="1"/>
  <c r="G13" i="10" s="1"/>
  <c r="AM76" i="9"/>
  <c r="AE67" i="9"/>
  <c r="AI67" i="9"/>
  <c r="Q67" i="9"/>
  <c r="F73" i="9"/>
  <c r="K73" i="9"/>
  <c r="T73" i="9"/>
  <c r="L73" i="9"/>
  <c r="Q78" i="9"/>
  <c r="Q8" i="10" s="1"/>
  <c r="Y76" i="9"/>
  <c r="AG73" i="9"/>
  <c r="AC78" i="9"/>
  <c r="AC8" i="10" s="1"/>
  <c r="M73" i="9"/>
  <c r="W76" i="9"/>
  <c r="AG76" i="9"/>
  <c r="AK77" i="9"/>
  <c r="AK7" i="10" s="1"/>
  <c r="AK13" i="10" s="1"/>
  <c r="AG67" i="9"/>
  <c r="U73" i="9"/>
  <c r="J73" i="9"/>
  <c r="N73" i="9"/>
  <c r="AN73" i="9"/>
  <c r="L77" i="9"/>
  <c r="L7" i="10" s="1"/>
  <c r="L13" i="10" s="1"/>
  <c r="AN77" i="9"/>
  <c r="AN7" i="10" s="1"/>
  <c r="AN13" i="10" s="1"/>
  <c r="H67" i="9"/>
  <c r="R73" i="9"/>
  <c r="AJ73" i="9"/>
  <c r="AF73" i="9"/>
  <c r="AM73" i="9"/>
  <c r="K78" i="9"/>
  <c r="K8" i="10" s="1"/>
  <c r="K14" i="10" s="1"/>
  <c r="J77" i="9"/>
  <c r="J7" i="10" s="1"/>
  <c r="J13" i="10" s="1"/>
  <c r="AA76" i="9"/>
  <c r="S76" i="9"/>
  <c r="AN78" i="9"/>
  <c r="AN8" i="10" s="1"/>
  <c r="AN14" i="10" s="1"/>
  <c r="AL77" i="9"/>
  <c r="AL7" i="10" s="1"/>
  <c r="AL13" i="10" s="1"/>
  <c r="I77" i="9"/>
  <c r="I7" i="10" s="1"/>
  <c r="I13" i="10" s="1"/>
  <c r="AB76" i="9"/>
  <c r="K67" i="9"/>
  <c r="AL67" i="9"/>
  <c r="X59" i="9"/>
  <c r="AA73" i="9"/>
  <c r="E76" i="9"/>
  <c r="H59" i="9"/>
  <c r="AJ59" i="9"/>
  <c r="J59" i="9"/>
  <c r="V59" i="9"/>
  <c r="AD59" i="9"/>
  <c r="Y59" i="9"/>
  <c r="Q59" i="9"/>
  <c r="M59" i="9"/>
  <c r="AI59" i="9"/>
  <c r="AK59" i="9"/>
  <c r="L59" i="9"/>
  <c r="O53" i="9"/>
  <c r="AE59" i="9"/>
  <c r="E59" i="9"/>
  <c r="S59" i="9"/>
  <c r="K59" i="9"/>
  <c r="AJ53" i="9"/>
  <c r="AE53" i="9"/>
  <c r="N59" i="9"/>
  <c r="AB59" i="9"/>
  <c r="O59" i="9"/>
  <c r="AL59" i="9"/>
  <c r="AN53" i="9"/>
  <c r="Z59" i="9"/>
  <c r="AA59" i="9"/>
  <c r="P59" i="9"/>
  <c r="AC53" i="9"/>
  <c r="AM59" i="9"/>
  <c r="N53" i="9"/>
  <c r="AN59" i="9"/>
  <c r="Z53" i="9"/>
  <c r="X53" i="9"/>
  <c r="AL53" i="9"/>
  <c r="L53" i="9"/>
  <c r="T53" i="9"/>
  <c r="AF53" i="9"/>
  <c r="Q53" i="9"/>
  <c r="AM53" i="9"/>
  <c r="AA53" i="9"/>
  <c r="V53" i="9"/>
  <c r="Y53" i="9"/>
  <c r="AI53" i="9"/>
  <c r="P53" i="9"/>
  <c r="G53" i="9"/>
  <c r="S53" i="9"/>
  <c r="AH53" i="9"/>
  <c r="J53" i="9"/>
  <c r="AG53" i="9"/>
  <c r="U53" i="9"/>
  <c r="M53" i="9"/>
  <c r="AK53" i="9"/>
  <c r="AB53" i="9"/>
  <c r="H53" i="9"/>
  <c r="W53" i="9"/>
  <c r="K53" i="9"/>
  <c r="F53" i="9"/>
  <c r="R53" i="9"/>
  <c r="AD53" i="9"/>
  <c r="E42" i="9"/>
  <c r="E35" i="9"/>
  <c r="E41" i="9"/>
  <c r="E34" i="9"/>
  <c r="E40" i="9"/>
  <c r="E36" i="9"/>
  <c r="E29" i="9"/>
  <c r="E28" i="9"/>
  <c r="E27" i="9"/>
  <c r="E30" i="9" s="1"/>
  <c r="E23" i="9"/>
  <c r="E22" i="9"/>
  <c r="E21" i="9"/>
  <c r="E11" i="9"/>
  <c r="E7" i="9"/>
  <c r="E16" i="9" s="1"/>
  <c r="J3" i="9"/>
  <c r="G5" i="9"/>
  <c r="H4" i="9"/>
  <c r="F6" i="9"/>
  <c r="F7" i="9"/>
  <c r="G87" i="1"/>
  <c r="G67" i="1"/>
  <c r="J66" i="1" s="1"/>
  <c r="G40" i="1"/>
  <c r="G50" i="1"/>
  <c r="G10" i="1"/>
  <c r="C10" i="1"/>
  <c r="G13" i="11" l="1"/>
  <c r="G16" i="11" s="1"/>
  <c r="G17" i="11" s="1"/>
  <c r="G25" i="21" s="1"/>
  <c r="F25" i="21"/>
  <c r="C14" i="16"/>
  <c r="E13" i="22"/>
  <c r="E15" i="22" s="1"/>
  <c r="F27" i="11"/>
  <c r="E27" i="21"/>
  <c r="F20" i="11"/>
  <c r="F23" i="11" s="1"/>
  <c r="E26" i="21"/>
  <c r="E17" i="20"/>
  <c r="E16" i="21" s="1"/>
  <c r="F16" i="20"/>
  <c r="F15" i="21" s="1"/>
  <c r="F24" i="11"/>
  <c r="G9" i="20"/>
  <c r="G35" i="21" s="1"/>
  <c r="G17" i="20"/>
  <c r="G16" i="21" s="1"/>
  <c r="Q14" i="10"/>
  <c r="F14" i="13" s="1"/>
  <c r="F8" i="13"/>
  <c r="E16" i="20"/>
  <c r="E15" i="21" s="1"/>
  <c r="E8" i="20"/>
  <c r="E34" i="21" s="1"/>
  <c r="E14" i="10"/>
  <c r="E14" i="13" s="1"/>
  <c r="E8" i="13"/>
  <c r="E13" i="10"/>
  <c r="E13" i="13" s="1"/>
  <c r="E7" i="13"/>
  <c r="AC13" i="10"/>
  <c r="G13" i="13" s="1"/>
  <c r="G7" i="13"/>
  <c r="C18" i="16"/>
  <c r="C17" i="16"/>
  <c r="E7" i="20"/>
  <c r="E33" i="21" s="1"/>
  <c r="E15" i="20"/>
  <c r="E14" i="21" s="1"/>
  <c r="AC14" i="10"/>
  <c r="G14" i="13" s="1"/>
  <c r="G8" i="13"/>
  <c r="E9" i="11"/>
  <c r="E32" i="13" s="1"/>
  <c r="E7" i="22" s="1"/>
  <c r="F9" i="20"/>
  <c r="F35" i="21" s="1"/>
  <c r="F17" i="20"/>
  <c r="F16" i="21" s="1"/>
  <c r="G16" i="20"/>
  <c r="G15" i="21" s="1"/>
  <c r="G8" i="20"/>
  <c r="G34" i="21" s="1"/>
  <c r="Q13" i="10"/>
  <c r="F13" i="13" s="1"/>
  <c r="F7" i="13"/>
  <c r="I24" i="9"/>
  <c r="I50" i="9"/>
  <c r="I30" i="9"/>
  <c r="I56" i="9"/>
  <c r="I59" i="9" s="1"/>
  <c r="H24" i="10"/>
  <c r="H15" i="10"/>
  <c r="J79" i="9"/>
  <c r="J9" i="10" s="1"/>
  <c r="E79" i="9"/>
  <c r="E9" i="10" s="1"/>
  <c r="E6" i="10"/>
  <c r="Z79" i="9"/>
  <c r="Z9" i="10" s="1"/>
  <c r="Z6" i="10"/>
  <c r="Z12" i="10" s="1"/>
  <c r="L6" i="10"/>
  <c r="L12" i="10" s="1"/>
  <c r="L79" i="9"/>
  <c r="L9" i="10" s="1"/>
  <c r="V79" i="9"/>
  <c r="V9" i="10" s="1"/>
  <c r="AG6" i="10"/>
  <c r="AG12" i="10" s="1"/>
  <c r="AG79" i="9"/>
  <c r="AG9" i="10" s="1"/>
  <c r="AL79" i="9"/>
  <c r="AL9" i="10" s="1"/>
  <c r="AL6" i="10"/>
  <c r="AL12" i="10" s="1"/>
  <c r="AC79" i="9"/>
  <c r="AC9" i="10" s="1"/>
  <c r="AC6" i="10"/>
  <c r="G6" i="10"/>
  <c r="G12" i="10" s="1"/>
  <c r="G16" i="10" s="1"/>
  <c r="G79" i="9"/>
  <c r="G9" i="10" s="1"/>
  <c r="AN79" i="9"/>
  <c r="AN9" i="10" s="1"/>
  <c r="AN6" i="10"/>
  <c r="AN12" i="10" s="1"/>
  <c r="N79" i="9"/>
  <c r="N9" i="10" s="1"/>
  <c r="N6" i="10"/>
  <c r="N12" i="10" s="1"/>
  <c r="Y6" i="10"/>
  <c r="Y12" i="10" s="1"/>
  <c r="Y79" i="9"/>
  <c r="Y9" i="10" s="1"/>
  <c r="O79" i="9"/>
  <c r="O9" i="10" s="1"/>
  <c r="S6" i="10"/>
  <c r="S12" i="10" s="1"/>
  <c r="S79" i="9"/>
  <c r="S9" i="10" s="1"/>
  <c r="H79" i="9"/>
  <c r="H9" i="10" s="1"/>
  <c r="AJ6" i="10"/>
  <c r="AJ12" i="10" s="1"/>
  <c r="AJ79" i="9"/>
  <c r="AJ9" i="10" s="1"/>
  <c r="AD79" i="9"/>
  <c r="AD9" i="10" s="1"/>
  <c r="R79" i="9"/>
  <c r="R9" i="10" s="1"/>
  <c r="R6" i="10"/>
  <c r="R12" i="10" s="1"/>
  <c r="AI79" i="9"/>
  <c r="AI9" i="10" s="1"/>
  <c r="W6" i="10"/>
  <c r="W12" i="10" s="1"/>
  <c r="W79" i="9"/>
  <c r="W9" i="10" s="1"/>
  <c r="X6" i="10"/>
  <c r="X12" i="10" s="1"/>
  <c r="X79" i="9"/>
  <c r="X9" i="10" s="1"/>
  <c r="U6" i="10"/>
  <c r="U12" i="10" s="1"/>
  <c r="U79" i="9"/>
  <c r="U9" i="10" s="1"/>
  <c r="AB79" i="9"/>
  <c r="AB9" i="10" s="1"/>
  <c r="AB6" i="10"/>
  <c r="AB12" i="10" s="1"/>
  <c r="AM79" i="9"/>
  <c r="AM9" i="10" s="1"/>
  <c r="AM6" i="10"/>
  <c r="AM12" i="10" s="1"/>
  <c r="M6" i="10"/>
  <c r="M12" i="10" s="1"/>
  <c r="M79" i="9"/>
  <c r="M9" i="10" s="1"/>
  <c r="AE6" i="10"/>
  <c r="AE12" i="10" s="1"/>
  <c r="AE79" i="9"/>
  <c r="AE9" i="10" s="1"/>
  <c r="AF6" i="10"/>
  <c r="AF12" i="10" s="1"/>
  <c r="AF79" i="9"/>
  <c r="AF9" i="10" s="1"/>
  <c r="AH79" i="9"/>
  <c r="AH9" i="10" s="1"/>
  <c r="AA79" i="9"/>
  <c r="AA9" i="10" s="1"/>
  <c r="AA6" i="10"/>
  <c r="AA12" i="10" s="1"/>
  <c r="Q79" i="9"/>
  <c r="Q9" i="10" s="1"/>
  <c r="Q6" i="10"/>
  <c r="T79" i="9"/>
  <c r="T9" i="10" s="1"/>
  <c r="T6" i="10"/>
  <c r="T12" i="10" s="1"/>
  <c r="F79" i="9"/>
  <c r="F9" i="10" s="1"/>
  <c r="F6" i="10"/>
  <c r="F12" i="10" s="1"/>
  <c r="F16" i="10" s="1"/>
  <c r="AK79" i="9"/>
  <c r="AK9" i="10" s="1"/>
  <c r="AK6" i="10"/>
  <c r="AK12" i="10" s="1"/>
  <c r="P79" i="9"/>
  <c r="P9" i="10" s="1"/>
  <c r="K79" i="9"/>
  <c r="K9" i="10" s="1"/>
  <c r="F42" i="9"/>
  <c r="F35" i="9"/>
  <c r="F41" i="9"/>
  <c r="F34" i="9"/>
  <c r="F40" i="9"/>
  <c r="F36" i="9"/>
  <c r="E43" i="9"/>
  <c r="E37" i="9"/>
  <c r="E24" i="9"/>
  <c r="F29" i="9"/>
  <c r="F28" i="9"/>
  <c r="F27" i="9"/>
  <c r="F30" i="9" s="1"/>
  <c r="E15" i="9"/>
  <c r="F23" i="9"/>
  <c r="F22" i="9"/>
  <c r="F21" i="9"/>
  <c r="F15" i="9"/>
  <c r="F16" i="9"/>
  <c r="F11" i="9"/>
  <c r="F12" i="9"/>
  <c r="H5" i="9"/>
  <c r="I4" i="9"/>
  <c r="G6" i="9"/>
  <c r="G7" i="9"/>
  <c r="K3" i="9"/>
  <c r="E18" i="22" l="1"/>
  <c r="E19" i="22" s="1"/>
  <c r="G7" i="21"/>
  <c r="F7" i="21"/>
  <c r="E7" i="21"/>
  <c r="G20" i="11"/>
  <c r="F26" i="21"/>
  <c r="F30" i="11"/>
  <c r="F31" i="11"/>
  <c r="E10" i="11"/>
  <c r="AC12" i="10"/>
  <c r="G12" i="13" s="1"/>
  <c r="G6" i="13"/>
  <c r="F9" i="13"/>
  <c r="F15" i="20"/>
  <c r="F14" i="21" s="1"/>
  <c r="F7" i="20"/>
  <c r="E12" i="10"/>
  <c r="E10" i="20"/>
  <c r="Q12" i="10"/>
  <c r="F12" i="13" s="1"/>
  <c r="F6" i="13"/>
  <c r="G7" i="20"/>
  <c r="G15" i="20"/>
  <c r="G14" i="21" s="1"/>
  <c r="G9" i="13"/>
  <c r="C20" i="16"/>
  <c r="F28" i="10"/>
  <c r="F27" i="10"/>
  <c r="F20" i="10"/>
  <c r="F21" i="10"/>
  <c r="G28" i="10"/>
  <c r="G21" i="10"/>
  <c r="G27" i="10"/>
  <c r="G20" i="10"/>
  <c r="E20" i="10"/>
  <c r="E28" i="10"/>
  <c r="E21" i="10"/>
  <c r="E27" i="10"/>
  <c r="AM20" i="10"/>
  <c r="AM21" i="10"/>
  <c r="AM28" i="10"/>
  <c r="AM27" i="10"/>
  <c r="AN20" i="10"/>
  <c r="AN21" i="10"/>
  <c r="AN28" i="10"/>
  <c r="AN27" i="10"/>
  <c r="AJ20" i="10"/>
  <c r="AJ21" i="10"/>
  <c r="AJ28" i="10"/>
  <c r="AJ27" i="10"/>
  <c r="AH28" i="10"/>
  <c r="AH27" i="10"/>
  <c r="AH20" i="10"/>
  <c r="AH21" i="10"/>
  <c r="AL20" i="10"/>
  <c r="AL21" i="10"/>
  <c r="AL28" i="10"/>
  <c r="AL27" i="10"/>
  <c r="AK20" i="10"/>
  <c r="AK21" i="10"/>
  <c r="AK28" i="10"/>
  <c r="AK27" i="10"/>
  <c r="AG28" i="10"/>
  <c r="AG27" i="10"/>
  <c r="AG20" i="10"/>
  <c r="AG21" i="10"/>
  <c r="AI28" i="10"/>
  <c r="AI27" i="10"/>
  <c r="AI20" i="10"/>
  <c r="AI21" i="10"/>
  <c r="AF28" i="10"/>
  <c r="AF27" i="10"/>
  <c r="AF21" i="10"/>
  <c r="AF20" i="10"/>
  <c r="AD20" i="10"/>
  <c r="AD28" i="10"/>
  <c r="AD21" i="10"/>
  <c r="AD27" i="10"/>
  <c r="AB27" i="10"/>
  <c r="AB20" i="10"/>
  <c r="AB28" i="10"/>
  <c r="AB21" i="10"/>
  <c r="AC20" i="10"/>
  <c r="AC28" i="10"/>
  <c r="AC21" i="10"/>
  <c r="AC27" i="10"/>
  <c r="AE20" i="10"/>
  <c r="AE28" i="10"/>
  <c r="AE21" i="10"/>
  <c r="AE27" i="10"/>
  <c r="Z21" i="10"/>
  <c r="Z27" i="10"/>
  <c r="Z28" i="10"/>
  <c r="Z20" i="10"/>
  <c r="AA21" i="10"/>
  <c r="AA27" i="10"/>
  <c r="AA28" i="10"/>
  <c r="AA20" i="10"/>
  <c r="X20" i="10"/>
  <c r="X21" i="10"/>
  <c r="X27" i="10"/>
  <c r="X28" i="10"/>
  <c r="W28" i="10"/>
  <c r="W20" i="10"/>
  <c r="W21" i="10"/>
  <c r="W27" i="10"/>
  <c r="Y20" i="10"/>
  <c r="Y21" i="10"/>
  <c r="Y27" i="10"/>
  <c r="Y28" i="10"/>
  <c r="V27" i="10"/>
  <c r="V28" i="10"/>
  <c r="V20" i="10"/>
  <c r="V21" i="10"/>
  <c r="U20" i="10"/>
  <c r="U21" i="10"/>
  <c r="U28" i="10"/>
  <c r="U27" i="10"/>
  <c r="T27" i="10"/>
  <c r="T21" i="10"/>
  <c r="T20" i="10"/>
  <c r="T28" i="10"/>
  <c r="Q27" i="10"/>
  <c r="Q21" i="10"/>
  <c r="Q28" i="10"/>
  <c r="Q20" i="10"/>
  <c r="S21" i="10"/>
  <c r="S28" i="10"/>
  <c r="S20" i="10"/>
  <c r="S27" i="10"/>
  <c r="P27" i="10"/>
  <c r="P21" i="10"/>
  <c r="P28" i="10"/>
  <c r="P20" i="10"/>
  <c r="O27" i="10"/>
  <c r="O21" i="10"/>
  <c r="O28" i="10"/>
  <c r="O20" i="10"/>
  <c r="N27" i="10"/>
  <c r="N21" i="10"/>
  <c r="N28" i="10"/>
  <c r="N20" i="10"/>
  <c r="R27" i="10"/>
  <c r="R21" i="10"/>
  <c r="R28" i="10"/>
  <c r="R20" i="10"/>
  <c r="M27" i="10"/>
  <c r="M28" i="10"/>
  <c r="M20" i="10"/>
  <c r="M21" i="10"/>
  <c r="L27" i="10"/>
  <c r="L28" i="10"/>
  <c r="L20" i="10"/>
  <c r="L21" i="10"/>
  <c r="K27" i="10"/>
  <c r="K28" i="10"/>
  <c r="K20" i="10"/>
  <c r="K21" i="10"/>
  <c r="J27" i="10"/>
  <c r="J28" i="10"/>
  <c r="J20" i="10"/>
  <c r="J21" i="10"/>
  <c r="H20" i="10"/>
  <c r="H21" i="10"/>
  <c r="H28" i="10"/>
  <c r="H27" i="10"/>
  <c r="I76" i="9"/>
  <c r="I53" i="9"/>
  <c r="I24" i="10"/>
  <c r="I15" i="10"/>
  <c r="H16" i="10"/>
  <c r="G42" i="9"/>
  <c r="G35" i="9"/>
  <c r="G41" i="9"/>
  <c r="G34" i="9"/>
  <c r="G40" i="9"/>
  <c r="G36" i="9"/>
  <c r="F43" i="9"/>
  <c r="F37" i="9"/>
  <c r="F24" i="9"/>
  <c r="G29" i="9"/>
  <c r="G28" i="9"/>
  <c r="G27" i="9"/>
  <c r="G30" i="9" s="1"/>
  <c r="G23" i="9"/>
  <c r="G21" i="9"/>
  <c r="G22" i="9"/>
  <c r="H6" i="9"/>
  <c r="H7" i="9" s="1"/>
  <c r="L3" i="9"/>
  <c r="G15" i="9"/>
  <c r="G16" i="9"/>
  <c r="G11" i="9"/>
  <c r="G12" i="9"/>
  <c r="I5" i="9"/>
  <c r="J4" i="9"/>
  <c r="G23" i="11" l="1"/>
  <c r="G24" i="11" s="1"/>
  <c r="G26" i="21" s="1"/>
  <c r="F6" i="11"/>
  <c r="F9" i="11" s="1"/>
  <c r="F32" i="13" s="1"/>
  <c r="F7" i="22" s="1"/>
  <c r="E24" i="21"/>
  <c r="G10" i="20"/>
  <c r="G33" i="21"/>
  <c r="G27" i="11"/>
  <c r="F27" i="21"/>
  <c r="F10" i="20"/>
  <c r="F33" i="21"/>
  <c r="F20" i="13"/>
  <c r="F21" i="13"/>
  <c r="E16" i="10"/>
  <c r="G27" i="13"/>
  <c r="G21" i="13"/>
  <c r="G28" i="13"/>
  <c r="G20" i="13"/>
  <c r="G29" i="10"/>
  <c r="G31" i="10" s="1"/>
  <c r="G33" i="10" s="1"/>
  <c r="F28" i="13"/>
  <c r="F27" i="13"/>
  <c r="F29" i="10"/>
  <c r="F31" i="10" s="1"/>
  <c r="F33" i="10" s="1"/>
  <c r="E29" i="10"/>
  <c r="H29" i="10"/>
  <c r="H31" i="10" s="1"/>
  <c r="H33" i="10" s="1"/>
  <c r="I6" i="10"/>
  <c r="I79" i="9"/>
  <c r="I9" i="10" s="1"/>
  <c r="E9" i="13" s="1"/>
  <c r="J24" i="10"/>
  <c r="J15" i="10"/>
  <c r="G43" i="9"/>
  <c r="G37" i="9"/>
  <c r="G24" i="9"/>
  <c r="H15" i="9"/>
  <c r="H16" i="9"/>
  <c r="J5" i="9"/>
  <c r="K4" i="9"/>
  <c r="H11" i="9"/>
  <c r="H12" i="9"/>
  <c r="I6" i="9"/>
  <c r="I7" i="9" s="1"/>
  <c r="M3" i="9"/>
  <c r="G30" i="11" l="1"/>
  <c r="G31" i="11" s="1"/>
  <c r="G27" i="21" s="1"/>
  <c r="F10" i="11"/>
  <c r="I12" i="10"/>
  <c r="E6" i="13"/>
  <c r="E31" i="10"/>
  <c r="I21" i="10"/>
  <c r="E21" i="13" s="1"/>
  <c r="I20" i="10"/>
  <c r="E20" i="13" s="1"/>
  <c r="I28" i="10"/>
  <c r="E28" i="13" s="1"/>
  <c r="I27" i="10"/>
  <c r="E27" i="13" s="1"/>
  <c r="K24" i="10"/>
  <c r="J29" i="10"/>
  <c r="K15" i="10"/>
  <c r="J16" i="10"/>
  <c r="I15" i="9"/>
  <c r="I16" i="9"/>
  <c r="N3" i="9"/>
  <c r="K5" i="9"/>
  <c r="L4" i="9"/>
  <c r="I11" i="9"/>
  <c r="I12" i="9"/>
  <c r="J6" i="9"/>
  <c r="J7" i="9" s="1"/>
  <c r="G6" i="11" l="1"/>
  <c r="F24" i="21"/>
  <c r="E33" i="10"/>
  <c r="I16" i="10"/>
  <c r="E12" i="13"/>
  <c r="J31" i="10"/>
  <c r="J33" i="10" s="1"/>
  <c r="I29" i="10"/>
  <c r="L24" i="10"/>
  <c r="K29" i="10"/>
  <c r="L15" i="10"/>
  <c r="K16" i="10"/>
  <c r="O3" i="9"/>
  <c r="J15" i="9"/>
  <c r="J16" i="9"/>
  <c r="J11" i="9"/>
  <c r="J12" i="9"/>
  <c r="L5" i="9"/>
  <c r="M4" i="9"/>
  <c r="K6" i="9"/>
  <c r="K7" i="9" s="1"/>
  <c r="G9" i="11" l="1"/>
  <c r="G32" i="13" s="1"/>
  <c r="G7" i="22" s="1"/>
  <c r="G10" i="11"/>
  <c r="G24" i="21" s="1"/>
  <c r="I31" i="10"/>
  <c r="K31" i="10"/>
  <c r="K33" i="10" s="1"/>
  <c r="M24" i="10"/>
  <c r="L29" i="10"/>
  <c r="M15" i="10"/>
  <c r="L16" i="10"/>
  <c r="P3" i="9"/>
  <c r="K15" i="9"/>
  <c r="K16" i="9"/>
  <c r="K11" i="9"/>
  <c r="K12" i="9"/>
  <c r="N4" i="9"/>
  <c r="M5" i="9"/>
  <c r="L6" i="9"/>
  <c r="L7" i="9" s="1"/>
  <c r="I33" i="10" l="1"/>
  <c r="L31" i="10"/>
  <c r="L33" i="10" s="1"/>
  <c r="N24" i="10"/>
  <c r="M29" i="10"/>
  <c r="N15" i="10"/>
  <c r="M16" i="10"/>
  <c r="L15" i="9"/>
  <c r="L16" i="9"/>
  <c r="L11" i="9"/>
  <c r="L12" i="9"/>
  <c r="M6" i="9"/>
  <c r="O4" i="9"/>
  <c r="N5" i="9"/>
  <c r="Q3" i="9"/>
  <c r="M31" i="10" l="1"/>
  <c r="M33" i="10" s="1"/>
  <c r="O24" i="10"/>
  <c r="N29" i="10"/>
  <c r="O15" i="10"/>
  <c r="N16" i="10"/>
  <c r="R3" i="9"/>
  <c r="N6" i="9"/>
  <c r="N7" i="9"/>
  <c r="P4" i="9"/>
  <c r="O5" i="9"/>
  <c r="M11" i="9"/>
  <c r="M12" i="9"/>
  <c r="M7" i="9"/>
  <c r="N31" i="10" l="1"/>
  <c r="N33" i="10" s="1"/>
  <c r="P24" i="10"/>
  <c r="O29" i="10"/>
  <c r="P15" i="10"/>
  <c r="O16" i="10"/>
  <c r="O6" i="9"/>
  <c r="O7" i="9" s="1"/>
  <c r="M16" i="9"/>
  <c r="N16" i="9" s="1"/>
  <c r="M15" i="9"/>
  <c r="N15" i="9" s="1"/>
  <c r="Q4" i="9"/>
  <c r="P5" i="9"/>
  <c r="N11" i="9"/>
  <c r="N12" i="9"/>
  <c r="S3" i="9"/>
  <c r="O31" i="10" l="1"/>
  <c r="O33" i="10" s="1"/>
  <c r="Q24" i="10"/>
  <c r="P29" i="10"/>
  <c r="E13" i="20" s="1"/>
  <c r="Q15" i="10"/>
  <c r="P16" i="10"/>
  <c r="O15" i="9"/>
  <c r="O16" i="9"/>
  <c r="P6" i="9"/>
  <c r="P7" i="9" s="1"/>
  <c r="R4" i="9"/>
  <c r="Q5" i="9"/>
  <c r="T3" i="9"/>
  <c r="O11" i="9"/>
  <c r="O12" i="9"/>
  <c r="E18" i="20" l="1"/>
  <c r="E20" i="20" s="1"/>
  <c r="E21" i="20" s="1"/>
  <c r="E9" i="22" s="1"/>
  <c r="E12" i="21"/>
  <c r="E18" i="21" s="1"/>
  <c r="P31" i="10"/>
  <c r="P33" i="10" s="1"/>
  <c r="R24" i="10"/>
  <c r="Q29" i="10"/>
  <c r="R15" i="10"/>
  <c r="Q16" i="10"/>
  <c r="P15" i="9"/>
  <c r="P16" i="9"/>
  <c r="U3" i="9"/>
  <c r="Q6" i="9"/>
  <c r="Q7" i="9" s="1"/>
  <c r="P11" i="9"/>
  <c r="P12" i="9"/>
  <c r="R5" i="9"/>
  <c r="S4" i="9"/>
  <c r="Q31" i="10" l="1"/>
  <c r="S24" i="10"/>
  <c r="R29" i="10"/>
  <c r="S15" i="10"/>
  <c r="R16" i="10"/>
  <c r="Q15" i="9"/>
  <c r="Q16" i="9"/>
  <c r="S5" i="9"/>
  <c r="T4" i="9"/>
  <c r="R6" i="9"/>
  <c r="V3" i="9"/>
  <c r="Q12" i="9"/>
  <c r="Q11" i="9"/>
  <c r="Q33" i="10" l="1"/>
  <c r="R31" i="10"/>
  <c r="R33" i="10" s="1"/>
  <c r="T24" i="10"/>
  <c r="S29" i="10"/>
  <c r="T15" i="10"/>
  <c r="S16" i="10"/>
  <c r="R11" i="9"/>
  <c r="R12" i="9"/>
  <c r="T5" i="9"/>
  <c r="U4" i="9"/>
  <c r="W3" i="9"/>
  <c r="R7" i="9"/>
  <c r="S6" i="9"/>
  <c r="S7" i="9" s="1"/>
  <c r="S31" i="10" l="1"/>
  <c r="U24" i="10"/>
  <c r="T29" i="10"/>
  <c r="U15" i="10"/>
  <c r="T16" i="10"/>
  <c r="X3" i="9"/>
  <c r="S11" i="9"/>
  <c r="S12" i="9"/>
  <c r="R15" i="9"/>
  <c r="S15" i="9" s="1"/>
  <c r="R16" i="9"/>
  <c r="S16" i="9" s="1"/>
  <c r="U5" i="9"/>
  <c r="V4" i="9"/>
  <c r="T6" i="9"/>
  <c r="T7" i="9" s="1"/>
  <c r="S33" i="10" l="1"/>
  <c r="T31" i="10"/>
  <c r="T33" i="10" s="1"/>
  <c r="V24" i="10"/>
  <c r="U29" i="10"/>
  <c r="V15" i="10"/>
  <c r="U16" i="10"/>
  <c r="T15" i="9"/>
  <c r="T16" i="9"/>
  <c r="V5" i="9"/>
  <c r="W4" i="9"/>
  <c r="U6" i="9"/>
  <c r="U7" i="9" s="1"/>
  <c r="T11" i="9"/>
  <c r="T12" i="9"/>
  <c r="Y3" i="9"/>
  <c r="U31" i="10" l="1"/>
  <c r="W24" i="10"/>
  <c r="V29" i="10"/>
  <c r="W15" i="10"/>
  <c r="V16" i="10"/>
  <c r="U15" i="9"/>
  <c r="U16" i="9"/>
  <c r="U11" i="9"/>
  <c r="U12" i="9"/>
  <c r="V6" i="9"/>
  <c r="V7" i="9" s="1"/>
  <c r="Z3" i="9"/>
  <c r="W5" i="9"/>
  <c r="X4" i="9"/>
  <c r="U33" i="10" l="1"/>
  <c r="V31" i="10"/>
  <c r="V33" i="10" s="1"/>
  <c r="X24" i="10"/>
  <c r="W29" i="10"/>
  <c r="X15" i="10"/>
  <c r="W16" i="10"/>
  <c r="AA3" i="9"/>
  <c r="X5" i="9"/>
  <c r="Y4" i="9"/>
  <c r="V15" i="9"/>
  <c r="V16" i="9"/>
  <c r="W6" i="9"/>
  <c r="W7" i="9" s="1"/>
  <c r="V11" i="9"/>
  <c r="V12" i="9"/>
  <c r="W31" i="10" l="1"/>
  <c r="Y24" i="10"/>
  <c r="X29" i="10"/>
  <c r="Y15" i="10"/>
  <c r="X16" i="10"/>
  <c r="W15" i="9"/>
  <c r="W16" i="9"/>
  <c r="W11" i="9"/>
  <c r="W12" i="9"/>
  <c r="X6" i="9"/>
  <c r="X7" i="9" s="1"/>
  <c r="Y5" i="9"/>
  <c r="Z4" i="9"/>
  <c r="AB3" i="9"/>
  <c r="W33" i="10" l="1"/>
  <c r="X31" i="10"/>
  <c r="X33" i="10" s="1"/>
  <c r="Z24" i="10"/>
  <c r="Y29" i="10"/>
  <c r="Z15" i="10"/>
  <c r="Y16" i="10"/>
  <c r="Y6" i="9"/>
  <c r="Y7" i="9" s="1"/>
  <c r="AC3" i="9"/>
  <c r="X15" i="9"/>
  <c r="X16" i="9"/>
  <c r="AA4" i="9"/>
  <c r="Z5" i="9"/>
  <c r="X11" i="9"/>
  <c r="X12" i="9"/>
  <c r="Y31" i="10" l="1"/>
  <c r="AA24" i="10"/>
  <c r="Z29" i="10"/>
  <c r="AA15" i="10"/>
  <c r="Z16" i="10"/>
  <c r="Z6" i="9"/>
  <c r="Z7" i="9" s="1"/>
  <c r="AB4" i="9"/>
  <c r="AA5" i="9"/>
  <c r="AD3" i="9"/>
  <c r="Y15" i="9"/>
  <c r="Y16" i="9"/>
  <c r="Y12" i="9"/>
  <c r="Y11" i="9"/>
  <c r="Y33" i="10" l="1"/>
  <c r="Z31" i="10"/>
  <c r="Z33" i="10" s="1"/>
  <c r="AB24" i="10"/>
  <c r="AA29" i="10"/>
  <c r="AB15" i="10"/>
  <c r="AA16" i="10"/>
  <c r="AE3" i="9"/>
  <c r="AA6" i="9"/>
  <c r="AA7" i="9" s="1"/>
  <c r="AC4" i="9"/>
  <c r="AB5" i="9"/>
  <c r="Z16" i="9"/>
  <c r="Z15" i="9"/>
  <c r="Z12" i="9"/>
  <c r="Z11" i="9"/>
  <c r="AA31" i="10" l="1"/>
  <c r="AA33" i="10" s="1"/>
  <c r="AC24" i="10"/>
  <c r="AB29" i="10"/>
  <c r="F13" i="20" s="1"/>
  <c r="AC15" i="10"/>
  <c r="AB16" i="10"/>
  <c r="AB6" i="9"/>
  <c r="AB7" i="9" s="1"/>
  <c r="AD4" i="9"/>
  <c r="AC5" i="9"/>
  <c r="AA15" i="9"/>
  <c r="AA16" i="9"/>
  <c r="AA11" i="9"/>
  <c r="AA12" i="9"/>
  <c r="AF3" i="9"/>
  <c r="F18" i="20" l="1"/>
  <c r="F20" i="20" s="1"/>
  <c r="F21" i="20" s="1"/>
  <c r="F9" i="22" s="1"/>
  <c r="F12" i="21"/>
  <c r="F18" i="21" s="1"/>
  <c r="AB31" i="10"/>
  <c r="AB33" i="10" s="1"/>
  <c r="AD24" i="10"/>
  <c r="AC29" i="10"/>
  <c r="AD15" i="10"/>
  <c r="AC16" i="10"/>
  <c r="AG3" i="9"/>
  <c r="AC6" i="9"/>
  <c r="AC7" i="9" s="1"/>
  <c r="AD5" i="9"/>
  <c r="AE4" i="9"/>
  <c r="AB15" i="9"/>
  <c r="AB16" i="9"/>
  <c r="AB11" i="9"/>
  <c r="AB12" i="9"/>
  <c r="AC31" i="10" l="1"/>
  <c r="AE24" i="10"/>
  <c r="AD29" i="10"/>
  <c r="AE15" i="10"/>
  <c r="AD16" i="10"/>
  <c r="AE5" i="9"/>
  <c r="AF4" i="9"/>
  <c r="AD6" i="9"/>
  <c r="AD7" i="9" s="1"/>
  <c r="AC16" i="9"/>
  <c r="AC15" i="9"/>
  <c r="AC11" i="9"/>
  <c r="AC12" i="9"/>
  <c r="AH3" i="9"/>
  <c r="AC33" i="10" l="1"/>
  <c r="AD31" i="10"/>
  <c r="AD33" i="10" s="1"/>
  <c r="AF24" i="10"/>
  <c r="AE29" i="10"/>
  <c r="AF15" i="10"/>
  <c r="AE16" i="10"/>
  <c r="AI3" i="9"/>
  <c r="AD15" i="9"/>
  <c r="AD16" i="9"/>
  <c r="AF5" i="9"/>
  <c r="AG4" i="9"/>
  <c r="AD11" i="9"/>
  <c r="AD12" i="9"/>
  <c r="AE6" i="9"/>
  <c r="AE7" i="9" s="1"/>
  <c r="AE31" i="10" l="1"/>
  <c r="AE33" i="10" s="1"/>
  <c r="AG24" i="10"/>
  <c r="AF29" i="10"/>
  <c r="AG15" i="10"/>
  <c r="AF16" i="10"/>
  <c r="AE15" i="9"/>
  <c r="AE16" i="9"/>
  <c r="AE11" i="9"/>
  <c r="AE12" i="9"/>
  <c r="AG5" i="9"/>
  <c r="AH4" i="9"/>
  <c r="AF6" i="9"/>
  <c r="AF7" i="9"/>
  <c r="AJ3" i="9"/>
  <c r="AF31" i="10" l="1"/>
  <c r="AF33" i="10" s="1"/>
  <c r="AH24" i="10"/>
  <c r="AG29" i="10"/>
  <c r="AH15" i="10"/>
  <c r="AG16" i="10"/>
  <c r="AK3" i="9"/>
  <c r="AF15" i="9"/>
  <c r="AF16" i="9"/>
  <c r="AF11" i="9"/>
  <c r="AF12" i="9"/>
  <c r="AH5" i="9"/>
  <c r="AI4" i="9"/>
  <c r="AG6" i="9"/>
  <c r="AG7" i="9"/>
  <c r="AG31" i="10" l="1"/>
  <c r="AI24" i="10"/>
  <c r="AH29" i="10"/>
  <c r="AI15" i="10"/>
  <c r="AH16" i="10"/>
  <c r="AG15" i="9"/>
  <c r="AG16" i="9"/>
  <c r="AG11" i="9"/>
  <c r="AG12" i="9"/>
  <c r="AI5" i="9"/>
  <c r="AJ4" i="9"/>
  <c r="AH6" i="9"/>
  <c r="AH7" i="9"/>
  <c r="AL3" i="9"/>
  <c r="AG33" i="10" l="1"/>
  <c r="AH31" i="10"/>
  <c r="AH33" i="10" s="1"/>
  <c r="AJ24" i="10"/>
  <c r="AI29" i="10"/>
  <c r="AJ15" i="10"/>
  <c r="AI16" i="10"/>
  <c r="AM3" i="9"/>
  <c r="AH15" i="9"/>
  <c r="AH16" i="9"/>
  <c r="AH11" i="9"/>
  <c r="AH12" i="9"/>
  <c r="AJ5" i="9"/>
  <c r="AK4" i="9"/>
  <c r="AI6" i="9"/>
  <c r="AI7" i="9" s="1"/>
  <c r="AI31" i="10" l="1"/>
  <c r="AK24" i="10"/>
  <c r="AJ29" i="10"/>
  <c r="AK15" i="10"/>
  <c r="AJ16" i="10"/>
  <c r="AI15" i="9"/>
  <c r="AI16" i="9"/>
  <c r="AI11" i="9"/>
  <c r="AI12" i="9"/>
  <c r="AL4" i="9"/>
  <c r="AK5" i="9"/>
  <c r="AJ6" i="9"/>
  <c r="AJ7" i="9" s="1"/>
  <c r="AN3" i="9"/>
  <c r="AI33" i="10" l="1"/>
  <c r="AJ31" i="10"/>
  <c r="AJ33" i="10" s="1"/>
  <c r="AL24" i="10"/>
  <c r="AK29" i="10"/>
  <c r="AL15" i="10"/>
  <c r="AK16" i="10"/>
  <c r="AJ15" i="9"/>
  <c r="AJ16" i="9"/>
  <c r="AJ11" i="9"/>
  <c r="AJ12" i="9"/>
  <c r="AK6" i="9"/>
  <c r="AM4" i="9"/>
  <c r="AL5" i="9"/>
  <c r="AK31" i="10" l="1"/>
  <c r="AK33" i="10" s="1"/>
  <c r="AM24" i="10"/>
  <c r="AL29" i="10"/>
  <c r="AM15" i="10"/>
  <c r="AL16" i="10"/>
  <c r="AN4" i="9"/>
  <c r="AN5" i="9" s="1"/>
  <c r="AM5" i="9"/>
  <c r="AK11" i="9"/>
  <c r="AK12" i="9"/>
  <c r="AK7" i="9"/>
  <c r="AL6" i="9"/>
  <c r="AL31" i="10" l="1"/>
  <c r="AL33" i="10" s="1"/>
  <c r="AN24" i="10"/>
  <c r="AM29" i="10"/>
  <c r="AN15" i="10"/>
  <c r="AM16" i="10"/>
  <c r="AN6" i="9"/>
  <c r="AN7" i="9" s="1"/>
  <c r="AL11" i="9"/>
  <c r="AL12" i="9"/>
  <c r="AL7" i="9"/>
  <c r="AK16" i="9"/>
  <c r="AK15" i="9"/>
  <c r="AM6" i="9"/>
  <c r="AN16" i="10" l="1"/>
  <c r="E15" i="13"/>
  <c r="F15" i="13"/>
  <c r="G15" i="13"/>
  <c r="AN29" i="10"/>
  <c r="E24" i="13"/>
  <c r="F24" i="13"/>
  <c r="G24" i="13"/>
  <c r="AM31" i="10"/>
  <c r="AM33" i="10" s="1"/>
  <c r="AM11" i="9"/>
  <c r="AN11" i="9" s="1"/>
  <c r="AM12" i="9"/>
  <c r="AN12" i="9" s="1"/>
  <c r="AM7" i="9"/>
  <c r="AL16" i="9"/>
  <c r="AL15" i="9"/>
  <c r="AN31" i="10" l="1"/>
  <c r="G31" i="13" s="1"/>
  <c r="G34" i="13" s="1"/>
  <c r="G37" i="13" s="1"/>
  <c r="G38" i="13" s="1"/>
  <c r="G39" i="13" s="1"/>
  <c r="AN33" i="10"/>
  <c r="E31" i="13"/>
  <c r="E34" i="13" s="1"/>
  <c r="E37" i="13" s="1"/>
  <c r="E39" i="13" s="1"/>
  <c r="F31" i="13"/>
  <c r="F34" i="13" s="1"/>
  <c r="F37" i="13" s="1"/>
  <c r="G13" i="20"/>
  <c r="E29" i="13"/>
  <c r="F29" i="13"/>
  <c r="G29" i="13"/>
  <c r="E16" i="13"/>
  <c r="F16" i="13"/>
  <c r="G16" i="13"/>
  <c r="AM16" i="9"/>
  <c r="AN16" i="9" s="1"/>
  <c r="AM15" i="9"/>
  <c r="AN15" i="9" s="1"/>
  <c r="G42" i="13" l="1"/>
  <c r="G6" i="22"/>
  <c r="G8" i="22" s="1"/>
  <c r="G18" i="20"/>
  <c r="G20" i="20" s="1"/>
  <c r="G21" i="20" s="1"/>
  <c r="G9" i="22" s="1"/>
  <c r="G12" i="21"/>
  <c r="G18" i="21" s="1"/>
  <c r="E42" i="13"/>
  <c r="E6" i="22"/>
  <c r="E8" i="22" s="1"/>
  <c r="E10" i="22" s="1"/>
  <c r="E21" i="22" s="1"/>
  <c r="E23" i="22" s="1"/>
  <c r="E8" i="21"/>
  <c r="F38" i="13"/>
  <c r="F39" i="13" s="1"/>
  <c r="F8" i="21" l="1"/>
  <c r="E9" i="21"/>
  <c r="E20" i="21" s="1"/>
  <c r="F42" i="13"/>
  <c r="F6" i="22"/>
  <c r="F8" i="22" s="1"/>
  <c r="F10" i="22" s="1"/>
  <c r="F21" i="22" s="1"/>
  <c r="F22" i="22"/>
  <c r="E36" i="21"/>
  <c r="E38" i="21" s="1"/>
  <c r="G10" i="22"/>
  <c r="G21" i="22" s="1"/>
  <c r="F23" i="22" l="1"/>
  <c r="G22" i="22" s="1"/>
  <c r="G23" i="22" s="1"/>
  <c r="G36" i="21" s="1"/>
  <c r="G38" i="21" s="1"/>
  <c r="G8" i="21"/>
  <c r="G9" i="21" s="1"/>
  <c r="G20" i="21" s="1"/>
  <c r="F9" i="21"/>
  <c r="F20" i="21" s="1"/>
  <c r="F36" i="21" l="1"/>
  <c r="F38" i="21" s="1"/>
</calcChain>
</file>

<file path=xl/sharedStrings.xml><?xml version="1.0" encoding="utf-8"?>
<sst xmlns="http://schemas.openxmlformats.org/spreadsheetml/2006/main" count="299" uniqueCount="175">
  <si>
    <t>Revenue</t>
  </si>
  <si>
    <t>Particulars</t>
  </si>
  <si>
    <t>Weekdays</t>
  </si>
  <si>
    <t>Weekend</t>
  </si>
  <si>
    <t>Lunch</t>
  </si>
  <si>
    <t>APC</t>
  </si>
  <si>
    <t>Alcoholic Beverages</t>
  </si>
  <si>
    <t>Non Alcoholic Beverages</t>
  </si>
  <si>
    <t>Food</t>
  </si>
  <si>
    <t>Y-O-Y Growth price rate</t>
  </si>
  <si>
    <t>Occupancy</t>
  </si>
  <si>
    <t>Number of Covers Available</t>
  </si>
  <si>
    <t>Number of Rounds Available</t>
  </si>
  <si>
    <t>Number of Covers Occupied/ Round</t>
  </si>
  <si>
    <t>MoM growth</t>
  </si>
  <si>
    <t>Maximum Occupancy/Round</t>
  </si>
  <si>
    <t>Dinner</t>
  </si>
  <si>
    <t>Y-O-Y Price Growth rate</t>
  </si>
  <si>
    <t xml:space="preserve">Direct Expenses </t>
  </si>
  <si>
    <t>Alcoholic Beverage cost (% of revenue)</t>
  </si>
  <si>
    <t>Non Alcoholic Beverages (% of revenue)</t>
  </si>
  <si>
    <t>Food (% of revenue)</t>
  </si>
  <si>
    <t>Members of Team</t>
  </si>
  <si>
    <t>Number of Employees</t>
  </si>
  <si>
    <t>Salary</t>
  </si>
  <si>
    <t>Receptionist</t>
  </si>
  <si>
    <t>Restaurants Manager</t>
  </si>
  <si>
    <t>Waiters</t>
  </si>
  <si>
    <t>Head Chef</t>
  </si>
  <si>
    <t>Chefs</t>
  </si>
  <si>
    <t>Assistant Chef</t>
  </si>
  <si>
    <t>Valet Parking</t>
  </si>
  <si>
    <t>Cleaners</t>
  </si>
  <si>
    <t>Bartender</t>
  </si>
  <si>
    <t>Salary / M</t>
  </si>
  <si>
    <t>Indirect Expenses</t>
  </si>
  <si>
    <t>Rent (as per contract) (% of revenue)</t>
  </si>
  <si>
    <t>Conversion Rate</t>
  </si>
  <si>
    <t>Serving Area (% of carpet area)</t>
  </si>
  <si>
    <t>Serving Area</t>
  </si>
  <si>
    <t>Kitchen Area</t>
  </si>
  <si>
    <t>Area per cover (Sq.Ft.)</t>
  </si>
  <si>
    <t>Covers</t>
  </si>
  <si>
    <t>Sitting per table</t>
  </si>
  <si>
    <t>Number of Tables</t>
  </si>
  <si>
    <t>Housekeeping  &amp; Consumables (% of revenue)</t>
  </si>
  <si>
    <t>Payment Settlement Charges (% or revenue)</t>
  </si>
  <si>
    <t>HR Manager</t>
  </si>
  <si>
    <t>Assistant Manager</t>
  </si>
  <si>
    <t>Security</t>
  </si>
  <si>
    <t>Purchase Manager</t>
  </si>
  <si>
    <t>Accountant</t>
  </si>
  <si>
    <t xml:space="preserve"> Others </t>
  </si>
  <si>
    <t xml:space="preserve"> Indirect expenses will increase Y-o-Y basis </t>
  </si>
  <si>
    <t>Total</t>
  </si>
  <si>
    <t>Numbers of Tables  occupied opting for card payment</t>
  </si>
  <si>
    <t>Electricity (Based on area Rs./sq. Ft.)</t>
  </si>
  <si>
    <t>Area specifications</t>
  </si>
  <si>
    <t>Capital Expenditure</t>
  </si>
  <si>
    <t>Equipments</t>
  </si>
  <si>
    <t>Furniture &amp; Fixtures</t>
  </si>
  <si>
    <t>Restaurants Décor</t>
  </si>
  <si>
    <t>Rate per Sq Ft</t>
  </si>
  <si>
    <t>Working capital</t>
  </si>
  <si>
    <t>Inventory</t>
  </si>
  <si>
    <t>Non-Alcoholic Beverages</t>
  </si>
  <si>
    <t>Creditor For Raw material</t>
  </si>
  <si>
    <t>Creditor For Expenses</t>
  </si>
  <si>
    <t>Days</t>
  </si>
  <si>
    <t>Maintenance (per month)</t>
  </si>
  <si>
    <t>Water Cost (per month)</t>
  </si>
  <si>
    <t>Marketing cost (per month)</t>
  </si>
  <si>
    <t>Phone and internet (per month)</t>
  </si>
  <si>
    <t xml:space="preserve">Depreciation </t>
  </si>
  <si>
    <t xml:space="preserve"> Equipments </t>
  </si>
  <si>
    <t xml:space="preserve"> Furniture &amp; Fixtures and Restaurant  décor </t>
  </si>
  <si>
    <t>Capital Structure</t>
  </si>
  <si>
    <t>Equity</t>
  </si>
  <si>
    <t>Debt</t>
  </si>
  <si>
    <t>Tax Rate</t>
  </si>
  <si>
    <t>Period of Construction of restaurant – 3 Months.</t>
  </si>
  <si>
    <t>Start of  Construction</t>
  </si>
  <si>
    <t>Construction period</t>
  </si>
  <si>
    <t>3 Months</t>
  </si>
  <si>
    <t>Date of Operations</t>
  </si>
  <si>
    <t>Rotalty to brand (% Of Revenue)</t>
  </si>
  <si>
    <t xml:space="preserve"> Staff salary will increase Y-o-Y basis </t>
  </si>
  <si>
    <t>Carpet Area required (Sq. ft.)</t>
  </si>
  <si>
    <t>Super Built up area to be rented (Sq. ft.)</t>
  </si>
  <si>
    <t>Kitchen Equipments and cutlery</t>
  </si>
  <si>
    <t>Initial working capital introduced</t>
  </si>
  <si>
    <t>End of sheet</t>
  </si>
  <si>
    <t>Cash credit limit will be availed if required</t>
  </si>
  <si>
    <t>Rate of Interest on CC Limit</t>
  </si>
  <si>
    <t xml:space="preserve">Rent Deposits </t>
  </si>
  <si>
    <t>Refrigeration Equipments</t>
  </si>
  <si>
    <t xml:space="preserve"> Currency in INR </t>
  </si>
  <si>
    <t xml:space="preserve"> Model In: </t>
  </si>
  <si>
    <t xml:space="preserve"> Ones </t>
  </si>
  <si>
    <t xml:space="preserve"> Tens </t>
  </si>
  <si>
    <t xml:space="preserve"> Hundred </t>
  </si>
  <si>
    <t xml:space="preserve"> Thousand </t>
  </si>
  <si>
    <t xml:space="preserve"> Ten thousand </t>
  </si>
  <si>
    <t xml:space="preserve"> Lakh </t>
  </si>
  <si>
    <t xml:space="preserve"> Millions </t>
  </si>
  <si>
    <t xml:space="preserve"> Crores </t>
  </si>
  <si>
    <t>All Final Values In:</t>
  </si>
  <si>
    <t>Operating Days</t>
  </si>
  <si>
    <t>No. of Weekends</t>
  </si>
  <si>
    <t>No. of Weekdays in a month</t>
  </si>
  <si>
    <t>Weekends</t>
  </si>
  <si>
    <t>NO. OF GUESTS / DAY</t>
  </si>
  <si>
    <t xml:space="preserve">Weekends </t>
  </si>
  <si>
    <t>REVENUE/MONTH</t>
  </si>
  <si>
    <t>TOTAL REVENUE FOR THE MONTH</t>
  </si>
  <si>
    <t>End of Sheet</t>
  </si>
  <si>
    <t xml:space="preserve">REVENUE </t>
  </si>
  <si>
    <t>LESS: DIRECT EXP</t>
  </si>
  <si>
    <t>Staff Salary</t>
  </si>
  <si>
    <t>TOTAL DIRECT EXP</t>
  </si>
  <si>
    <t>LESS: INDIRECT EXPENSES</t>
  </si>
  <si>
    <t>Other Staff Salary</t>
  </si>
  <si>
    <t>TOTAL INDIRECT EXP</t>
  </si>
  <si>
    <t>EBITDA</t>
  </si>
  <si>
    <t>EBITDA MARGIN %</t>
  </si>
  <si>
    <t>Fixed Assets</t>
  </si>
  <si>
    <t>Add: Rent Deposits</t>
  </si>
  <si>
    <t>Add: Working Capital</t>
  </si>
  <si>
    <t xml:space="preserve">Total Funds Required </t>
  </si>
  <si>
    <t>Sources Of Funds</t>
  </si>
  <si>
    <t>Equity Capital</t>
  </si>
  <si>
    <t>Total Funds Contributed</t>
  </si>
  <si>
    <t>Opening Balance</t>
  </si>
  <si>
    <t>Add: Purchases</t>
  </si>
  <si>
    <t>Less: Sales</t>
  </si>
  <si>
    <t>Less: Depreciation</t>
  </si>
  <si>
    <t>Closing Balance</t>
  </si>
  <si>
    <t>EBIT</t>
  </si>
  <si>
    <t>Less: Interest</t>
  </si>
  <si>
    <t>EBT</t>
  </si>
  <si>
    <t xml:space="preserve">Less: Tax </t>
  </si>
  <si>
    <t>EAT</t>
  </si>
  <si>
    <t>(Transferred to Reserve)</t>
  </si>
  <si>
    <t>Net Profit Margin</t>
  </si>
  <si>
    <t>Current Assets</t>
  </si>
  <si>
    <t>Current Liabilities</t>
  </si>
  <si>
    <t>Creditors for expenses</t>
  </si>
  <si>
    <t>Creditors for raw materials</t>
  </si>
  <si>
    <t>Working Capital</t>
  </si>
  <si>
    <t>Changes in Working Capital</t>
  </si>
  <si>
    <t>Operating Activities</t>
  </si>
  <si>
    <t>Add: Non Cash Items</t>
  </si>
  <si>
    <t>Cash from operations before w.c changes</t>
  </si>
  <si>
    <t>Add/Less: Changes in Working Capital</t>
  </si>
  <si>
    <t>Cash from operations</t>
  </si>
  <si>
    <t>Investing Activities</t>
  </si>
  <si>
    <t>Purchase of fixed asset</t>
  </si>
  <si>
    <t>Rent deposit</t>
  </si>
  <si>
    <t>Financing Activities</t>
  </si>
  <si>
    <t>Equity Share Capital</t>
  </si>
  <si>
    <t>Cash from investing activities</t>
  </si>
  <si>
    <t>Cash from financing activities</t>
  </si>
  <si>
    <t>Cash generated during operations</t>
  </si>
  <si>
    <t>Add: Opening balance</t>
  </si>
  <si>
    <t>Closing balance</t>
  </si>
  <si>
    <t>Equity &amp; Liabilities</t>
  </si>
  <si>
    <t xml:space="preserve">Share Capital </t>
  </si>
  <si>
    <t>Reserve &amp; Surplus</t>
  </si>
  <si>
    <t>Total Shareholders Funds</t>
  </si>
  <si>
    <t>Total Current Liabilities</t>
  </si>
  <si>
    <t>Total Liabilities</t>
  </si>
  <si>
    <t>Assets</t>
  </si>
  <si>
    <t>Rent Deposits</t>
  </si>
  <si>
    <t>Cash and cash equivalents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</si>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</sst>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[$₹-4009]\ * #,##0.00_ ;_ [$₹-4009]\ * \-#,##0.00_ ;_ [$₹-4009]\ * &quot;-&quot;??_ ;_ @_ "/>
    <numFmt numFmtId="166" formatCode="_ * #,##0_ ;_ * \-#,##0_ ;_ * &quot;-&quot;??_ ;_ @_ "/>
    <numFmt numFmtId="167" formatCode="[$-409]d\-mmm\-yyyy;@"/>
    <numFmt numFmtId="168" formatCode="&quot;Month&quot;\ 0"/>
    <numFmt numFmtId="169" formatCode="&quot;Year&quot;\ 0"/>
    <numFmt numFmtId="170" formatCode="_ * #,##0.0_ ;_ * \-#,##0.0_ ;_ * &quot;-&quot;??_ ;_ @_ "/>
    <numFmt numFmtId="171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0" fontId="10" fillId="0" borderId="0"/>
    <xf numFmtId="9" fontId="6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0" xfId="0" applyFont="1"/>
    <xf numFmtId="0" fontId="2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3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9" fontId="0" fillId="0" borderId="14" xfId="0" applyNumberFormat="1" applyBorder="1" applyAlignment="1">
      <alignment horizontal="right" vertical="center"/>
    </xf>
    <xf numFmtId="9" fontId="0" fillId="0" borderId="8" xfId="0" applyNumberFormat="1" applyBorder="1" applyAlignment="1">
      <alignment horizontal="right" vertical="center"/>
    </xf>
    <xf numFmtId="10" fontId="0" fillId="0" borderId="2" xfId="0" applyNumberFormat="1" applyBorder="1"/>
    <xf numFmtId="15" fontId="4" fillId="0" borderId="9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0" fontId="0" fillId="0" borderId="13" xfId="0" applyBorder="1"/>
    <xf numFmtId="15" fontId="4" fillId="0" borderId="10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9" xfId="0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65" fontId="0" fillId="0" borderId="8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0" fontId="0" fillId="5" borderId="0" xfId="0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166" fontId="0" fillId="0" borderId="0" xfId="1" applyNumberFormat="1" applyFont="1"/>
    <xf numFmtId="3" fontId="0" fillId="2" borderId="8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4" fontId="9" fillId="0" borderId="0" xfId="0" applyNumberFormat="1" applyFont="1" applyAlignment="1">
      <alignment horizontal="right" vertical="center"/>
    </xf>
    <xf numFmtId="0" fontId="9" fillId="0" borderId="0" xfId="0" applyFont="1"/>
    <xf numFmtId="9" fontId="9" fillId="0" borderId="0" xfId="0" applyNumberFormat="1" applyFont="1" applyAlignment="1">
      <alignment horizontal="center"/>
    </xf>
    <xf numFmtId="4" fontId="7" fillId="0" borderId="5" xfId="0" applyNumberFormat="1" applyFont="1" applyBorder="1" applyAlignment="1">
      <alignment horizontal="center" vertical="center"/>
    </xf>
    <xf numFmtId="15" fontId="4" fillId="6" borderId="12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3" fontId="0" fillId="0" borderId="0" xfId="0" applyNumberFormat="1"/>
    <xf numFmtId="0" fontId="0" fillId="8" borderId="0" xfId="0" applyFill="1"/>
    <xf numFmtId="168" fontId="11" fillId="9" borderId="0" xfId="0" applyNumberFormat="1" applyFont="1" applyFill="1"/>
    <xf numFmtId="167" fontId="11" fillId="9" borderId="0" xfId="0" applyNumberFormat="1" applyFont="1" applyFill="1"/>
    <xf numFmtId="0" fontId="0" fillId="10" borderId="0" xfId="0" applyFill="1"/>
    <xf numFmtId="164" fontId="0" fillId="0" borderId="0" xfId="1" applyFont="1"/>
    <xf numFmtId="168" fontId="0" fillId="9" borderId="0" xfId="0" applyNumberFormat="1" applyFill="1"/>
    <xf numFmtId="167" fontId="0" fillId="9" borderId="0" xfId="0" applyNumberFormat="1" applyFill="1"/>
    <xf numFmtId="169" fontId="0" fillId="9" borderId="0" xfId="0" applyNumberFormat="1" applyFill="1"/>
    <xf numFmtId="0" fontId="0" fillId="0" borderId="0" xfId="0" applyAlignment="1">
      <alignment horizontal="left"/>
    </xf>
    <xf numFmtId="166" fontId="12" fillId="0" borderId="0" xfId="1" applyNumberFormat="1" applyFont="1" applyFill="1"/>
    <xf numFmtId="0" fontId="1" fillId="0" borderId="0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center" indent="2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/>
    </xf>
    <xf numFmtId="166" fontId="6" fillId="0" borderId="0" xfId="1" applyNumberFormat="1" applyFont="1"/>
    <xf numFmtId="166" fontId="0" fillId="0" borderId="0" xfId="1" applyNumberFormat="1" applyFont="1" applyAlignment="1">
      <alignment horizontal="left"/>
    </xf>
    <xf numFmtId="0" fontId="0" fillId="13" borderId="0" xfId="0" applyFill="1"/>
    <xf numFmtId="166" fontId="0" fillId="13" borderId="0" xfId="1" applyNumberFormat="1" applyFont="1" applyFill="1"/>
    <xf numFmtId="164" fontId="0" fillId="13" borderId="0" xfId="1" applyFont="1" applyFill="1"/>
    <xf numFmtId="0" fontId="0" fillId="13" borderId="0" xfId="0" applyFill="1" applyAlignment="1">
      <alignment horizontal="left" indent="2"/>
    </xf>
    <xf numFmtId="0" fontId="1" fillId="12" borderId="0" xfId="0" applyFont="1" applyFill="1"/>
    <xf numFmtId="0" fontId="1" fillId="11" borderId="0" xfId="0" applyFont="1" applyFill="1" applyBorder="1" applyAlignment="1">
      <alignment vertical="center"/>
    </xf>
    <xf numFmtId="170" fontId="0" fillId="0" borderId="0" xfId="1" applyNumberFormat="1" applyFont="1"/>
    <xf numFmtId="0" fontId="0" fillId="0" borderId="0" xfId="0" applyFont="1"/>
    <xf numFmtId="0" fontId="1" fillId="0" borderId="16" xfId="0" applyFont="1" applyBorder="1" applyAlignment="1">
      <alignment horizontal="left" vertical="center" indent="2"/>
    </xf>
    <xf numFmtId="0" fontId="1" fillId="0" borderId="17" xfId="0" applyFont="1" applyBorder="1"/>
    <xf numFmtId="170" fontId="1" fillId="0" borderId="17" xfId="1" applyNumberFormat="1" applyFont="1" applyBorder="1"/>
    <xf numFmtId="164" fontId="1" fillId="0" borderId="17" xfId="1" applyFont="1" applyBorder="1"/>
    <xf numFmtId="0" fontId="1" fillId="0" borderId="17" xfId="0" applyFont="1" applyBorder="1" applyAlignment="1">
      <alignment horizontal="left" vertical="center" indent="2"/>
    </xf>
    <xf numFmtId="166" fontId="1" fillId="0" borderId="17" xfId="1" applyNumberFormat="1" applyFont="1" applyBorder="1"/>
    <xf numFmtId="0" fontId="0" fillId="0" borderId="17" xfId="0" applyBorder="1"/>
    <xf numFmtId="164" fontId="0" fillId="0" borderId="17" xfId="1" applyFont="1" applyBorder="1"/>
    <xf numFmtId="0" fontId="2" fillId="0" borderId="0" xfId="0" applyFont="1" applyAlignment="1">
      <alignment wrapText="1"/>
    </xf>
    <xf numFmtId="170" fontId="0" fillId="0" borderId="0" xfId="1" applyNumberFormat="1" applyFont="1" applyAlignment="1">
      <alignment horizontal="left" indent="1"/>
    </xf>
    <xf numFmtId="170" fontId="1" fillId="0" borderId="0" xfId="1" applyNumberFormat="1" applyFont="1"/>
    <xf numFmtId="164" fontId="1" fillId="0" borderId="0" xfId="1" applyFont="1"/>
    <xf numFmtId="170" fontId="1" fillId="0" borderId="0" xfId="1" applyNumberFormat="1" applyFont="1" applyAlignment="1">
      <alignment horizontal="left" indent="1"/>
    </xf>
    <xf numFmtId="170" fontId="6" fillId="0" borderId="0" xfId="1" applyNumberFormat="1" applyFont="1"/>
    <xf numFmtId="170" fontId="1" fillId="0" borderId="17" xfId="1" applyNumberFormat="1" applyFont="1" applyBorder="1" applyAlignment="1">
      <alignment horizontal="center"/>
    </xf>
    <xf numFmtId="10" fontId="6" fillId="0" borderId="0" xfId="3" applyNumberFormat="1" applyFont="1"/>
    <xf numFmtId="164" fontId="6" fillId="0" borderId="0" xfId="1" applyFont="1"/>
    <xf numFmtId="0" fontId="1" fillId="0" borderId="18" xfId="0" applyFont="1" applyBorder="1"/>
    <xf numFmtId="171" fontId="0" fillId="0" borderId="0" xfId="0" applyNumberFormat="1"/>
    <xf numFmtId="171" fontId="1" fillId="0" borderId="18" xfId="0" applyNumberFormat="1" applyFont="1" applyBorder="1"/>
    <xf numFmtId="171" fontId="1" fillId="0" borderId="17" xfId="0" applyNumberFormat="1" applyFont="1" applyBorder="1"/>
    <xf numFmtId="9" fontId="0" fillId="0" borderId="0" xfId="0" applyNumberFormat="1"/>
    <xf numFmtId="170" fontId="0" fillId="0" borderId="0" xfId="0" applyNumberFormat="1"/>
    <xf numFmtId="9" fontId="1" fillId="0" borderId="17" xfId="3" applyFont="1" applyBorder="1"/>
    <xf numFmtId="0" fontId="2" fillId="0" borderId="0" xfId="0" applyFont="1"/>
    <xf numFmtId="15" fontId="13" fillId="0" borderId="0" xfId="0" applyNumberFormat="1" applyFont="1"/>
    <xf numFmtId="9" fontId="1" fillId="0" borderId="0" xfId="3" applyFont="1"/>
    <xf numFmtId="0" fontId="0" fillId="0" borderId="18" xfId="0" applyBorder="1"/>
    <xf numFmtId="170" fontId="1" fillId="0" borderId="18" xfId="1" applyNumberFormat="1" applyFont="1" applyBorder="1"/>
    <xf numFmtId="0" fontId="2" fillId="0" borderId="0" xfId="0" applyFont="1" applyFill="1" applyBorder="1"/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9" xfId="0" applyFont="1" applyBorder="1"/>
    <xf numFmtId="170" fontId="1" fillId="0" borderId="19" xfId="1" applyNumberFormat="1" applyFont="1" applyBorder="1"/>
    <xf numFmtId="0" fontId="0" fillId="0" borderId="19" xfId="0" applyBorder="1"/>
    <xf numFmtId="171" fontId="1" fillId="0" borderId="19" xfId="0" applyNumberFormat="1" applyFont="1" applyBorder="1"/>
  </cellXfs>
  <cellStyles count="4">
    <cellStyle name="Comma" xfId="1" builtinId="3"/>
    <cellStyle name="Normal" xfId="0" builtinId="0"/>
    <cellStyle name="Normal 2" xfId="2" xr:uid="{803CAD54-2D08-47FD-9C2B-4D5FD1F338C5}"/>
    <cellStyle name="Percent" xfId="3" builtinId="5"/>
  </cellStyles>
  <dxfs count="0"/>
  <tableStyles count="0" defaultTableStyle="TableStyleMedium2" defaultPivotStyle="PivotStyleLight16"/>
  <colors>
    <mruColors>
      <color rgb="FFFF4F4F"/>
      <color rgb="FF002448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manshu/Dropbox/TKMH%20&amp;%20Co.,%20Chartered%20Accountant/GMR%20Training/Financal%20Model%20Case%20Studies/Day%203/Hotels%20Ver%20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feasibility\HASINA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tant/Downloads/Project%20Park_Updated_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G%20Drive\Workshop%20Batches\TWSS%20234%20Batch_Full%20Time\22%20Nov\Raw%20Template\Case%20Study_Hotel%20TW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Queries"/>
      <sheetName val="Tables Spa Resort 1"/>
      <sheetName val="Dashboard"/>
      <sheetName val="Tables Spa Resort Consol"/>
      <sheetName val="Assumptions Spa Resort 1"/>
      <sheetName val="TM_Land &amp; Construction"/>
      <sheetName val="Dev cost Spa Resort 1"/>
      <sheetName val="Revenue Spa Resort 1"/>
      <sheetName val="Cost Spa Resort 1"/>
      <sheetName val="P&amp;L Spa Resort 1"/>
      <sheetName val="Bal Sh Spa Resort 1"/>
      <sheetName val="Debt Spa Resort 1"/>
      <sheetName val="Cash flow Spa Resort 1"/>
      <sheetName val="W Cap Spa Resort 1"/>
      <sheetName val="Tax Spa Resort 1"/>
      <sheetName val="Depr Spa Resort 1"/>
      <sheetName val="Assumptions Spa Resort 2"/>
      <sheetName val="Dev cost Spa Resort 2"/>
      <sheetName val="Revenue Spa Resort 2"/>
      <sheetName val="Cost Spa Resort 2"/>
      <sheetName val="P&amp;L Spa Resort 2"/>
      <sheetName val="Bal Sh Spa Resort 2"/>
      <sheetName val="Debt Spa Resort 2"/>
      <sheetName val="Cash flow Spa Resort 2"/>
      <sheetName val="W Cap Spa Resort 2"/>
      <sheetName val="Tax Spa Resort 2"/>
      <sheetName val="Depr Spa Resort 2"/>
      <sheetName val="Assumptions Spa Resort 3"/>
      <sheetName val="Dev cost Spa Resort 3"/>
      <sheetName val="Revenue Spa Resort 3"/>
      <sheetName val="Cost Spa Resort 3"/>
      <sheetName val="P&amp;L Spa Resort 3"/>
      <sheetName val="Bal Sh Spa Resort 3"/>
      <sheetName val="Debt Spa Resort 3"/>
      <sheetName val="Cash flow Spa Resort 3"/>
      <sheetName val="W Cap Spa Resort 3"/>
      <sheetName val="Tax Spa Resort 3"/>
      <sheetName val="Depr Spa Resort 3"/>
      <sheetName val="P&amp;L Spa Resort 3 (2)"/>
      <sheetName val="Cash flow Spa Resort 3 (2)"/>
      <sheetName val="TM_Cash Fl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Project ABC (SPA Resort)</v>
          </cell>
        </row>
        <row r="92">
          <cell r="D92">
            <v>198850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2">
          <cell r="H2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OCK-CUT 48"/>
      <sheetName val="CROCK-CUT (2)"/>
      <sheetName val="KITCHEQUIP"/>
      <sheetName val="CROCK-CUT"/>
      <sheetName val="engg"/>
      <sheetName val="PREOPENING BUDGET"/>
      <sheetName val="HASINA01"/>
      <sheetName val="HASINA02"/>
      <sheetName val="arr"/>
      <sheetName val="HASINA 03"/>
      <sheetName val="RHASINA GUEST ROOM"/>
      <sheetName val="HASINA , STAFF &amp; SALARY"/>
      <sheetName val="HASINA , STAFF &amp; SALARY (2)"/>
      <sheetName val="DETAIL SALES HASINA"/>
      <sheetName val="DETAIL SALES (2)"/>
      <sheetName val="RAHEJA PARQUE02 (2)"/>
      <sheetName val="HOMI"/>
      <sheetName val="HOMI (2)"/>
      <sheetName val="CLUB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rical PL"/>
      <sheetName val="Client Projection Workings"/>
      <sheetName val="Client Projection"/>
      <sheetName val="Fy13 Confirmed Order Book"/>
      <sheetName val="75% Confidence Future Orders"/>
      <sheetName val="As per co Act"/>
      <sheetName val="Capex &amp; Dep"/>
      <sheetName val="As per IT"/>
      <sheetName val="Client Balance sheet"/>
      <sheetName val="Assumptions"/>
      <sheetName val="Profit &amp; Loss"/>
      <sheetName val="Balance Sheet"/>
      <sheetName val="CF"/>
      <sheetName val="Working Capital"/>
      <sheetName val="Tax Sheet"/>
      <sheetName val="Debt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>
            <v>100000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 Sheet (2)"/>
      <sheetName val="Assumptions"/>
      <sheetName val="Output Sheet"/>
      <sheetName val="Revenue Projections"/>
      <sheetName val="Share of land provider Schedule"/>
      <sheetName val="Working Sheet"/>
      <sheetName val="Income Statement"/>
      <sheetName val="Cash Flows "/>
      <sheetName val="Balance sheet"/>
      <sheetName val="Fixed Assets Schedule"/>
      <sheetName val="Capex Schedule"/>
      <sheetName val="Debt Schedule"/>
    </sheetNames>
    <sheetDataSet>
      <sheetData sheetId="0"/>
      <sheetData sheetId="1">
        <row r="7">
          <cell r="D7">
            <v>1000000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showGridLines="0" topLeftCell="A78" workbookViewId="0">
      <selection activeCell="A3" sqref="A3:G105"/>
    </sheetView>
  </sheetViews>
  <sheetFormatPr defaultColWidth="8.85546875" defaultRowHeight="15" x14ac:dyDescent="0.25"/>
  <cols>
    <col min="1" max="1" width="32" style="7" bestFit="1" customWidth="1"/>
    <col min="2" max="2" width="9.140625" customWidth="1"/>
    <col min="3" max="3" width="9" bestFit="1" customWidth="1"/>
    <col min="4" max="4" width="10.85546875" bestFit="1" customWidth="1"/>
    <col min="5" max="5" width="30.85546875" bestFit="1" customWidth="1"/>
    <col min="6" max="6" width="11.5703125" customWidth="1"/>
    <col min="7" max="7" width="13.85546875" style="31" bestFit="1" customWidth="1"/>
  </cols>
  <sheetData>
    <row r="1" spans="1:7" x14ac:dyDescent="0.25">
      <c r="A1" s="149" t="s">
        <v>80</v>
      </c>
      <c r="B1" s="149"/>
      <c r="C1" s="149"/>
      <c r="D1" s="149"/>
      <c r="E1" s="149"/>
      <c r="F1" s="149"/>
      <c r="G1" s="149"/>
    </row>
    <row r="2" spans="1:7" ht="15.75" thickBot="1" x14ac:dyDescent="0.3">
      <c r="A2" s="1"/>
    </row>
    <row r="3" spans="1:7" x14ac:dyDescent="0.25">
      <c r="A3" s="5" t="s">
        <v>81</v>
      </c>
      <c r="B3" s="56"/>
      <c r="C3" s="57"/>
      <c r="D3" s="57"/>
      <c r="E3" s="57"/>
      <c r="F3" s="60"/>
      <c r="G3" s="88">
        <v>43922</v>
      </c>
    </row>
    <row r="4" spans="1:7" x14ac:dyDescent="0.25">
      <c r="A4" s="3" t="s">
        <v>82</v>
      </c>
      <c r="B4" s="4"/>
      <c r="F4" s="61"/>
      <c r="G4" s="2" t="s">
        <v>83</v>
      </c>
    </row>
    <row r="5" spans="1:7" ht="15.75" thickBot="1" x14ac:dyDescent="0.3">
      <c r="A5" s="6" t="s">
        <v>84</v>
      </c>
      <c r="B5" s="58"/>
      <c r="C5" s="59"/>
      <c r="D5" s="59"/>
      <c r="E5" s="59"/>
      <c r="F5" s="62"/>
      <c r="G5" s="55">
        <f>EOMONTH(G3,2)+1</f>
        <v>44013</v>
      </c>
    </row>
    <row r="6" spans="1:7" x14ac:dyDescent="0.25">
      <c r="A6" s="149" t="s">
        <v>0</v>
      </c>
      <c r="B6" s="149"/>
      <c r="C6" s="149"/>
      <c r="D6" s="149"/>
      <c r="E6" s="149"/>
      <c r="F6" s="149"/>
      <c r="G6" s="149"/>
    </row>
    <row r="7" spans="1:7" ht="15.75" thickBot="1" x14ac:dyDescent="0.3">
      <c r="A7" s="51"/>
      <c r="B7" s="51"/>
      <c r="C7" s="51"/>
      <c r="D7" s="51"/>
      <c r="E7" s="51"/>
      <c r="F7" s="51"/>
      <c r="G7" s="51"/>
    </row>
    <row r="8" spans="1:7" ht="15.75" thickBot="1" x14ac:dyDescent="0.3">
      <c r="A8" s="63" t="s">
        <v>1</v>
      </c>
      <c r="B8" s="64" t="s">
        <v>2</v>
      </c>
      <c r="C8" s="66" t="s">
        <v>3</v>
      </c>
      <c r="E8" s="63" t="s">
        <v>1</v>
      </c>
      <c r="F8" s="64" t="s">
        <v>2</v>
      </c>
      <c r="G8" s="65" t="s">
        <v>3</v>
      </c>
    </row>
    <row r="9" spans="1:7" x14ac:dyDescent="0.25">
      <c r="A9" s="8" t="s">
        <v>4</v>
      </c>
      <c r="B9" s="9"/>
      <c r="C9" s="10"/>
      <c r="E9" s="11" t="s">
        <v>16</v>
      </c>
      <c r="F9" s="9"/>
      <c r="G9" s="10"/>
    </row>
    <row r="10" spans="1:7" x14ac:dyDescent="0.25">
      <c r="A10" s="12" t="s">
        <v>5</v>
      </c>
      <c r="B10" s="13">
        <f>SUBTOTAL(9,B11:B13)</f>
        <v>1500</v>
      </c>
      <c r="C10" s="13">
        <f>SUBTOTAL(9,C11:C13)</f>
        <v>1700</v>
      </c>
      <c r="E10" s="12" t="s">
        <v>5</v>
      </c>
      <c r="F10" s="13">
        <f>SUBTOTAL(9,F11:F13)</f>
        <v>1600</v>
      </c>
      <c r="G10" s="13">
        <f>SUBTOTAL(9,G11:G13)</f>
        <v>1900</v>
      </c>
    </row>
    <row r="11" spans="1:7" x14ac:dyDescent="0.25">
      <c r="A11" s="17" t="s">
        <v>6</v>
      </c>
      <c r="B11" s="89">
        <v>300</v>
      </c>
      <c r="C11" s="90">
        <v>500</v>
      </c>
      <c r="E11" s="14" t="s">
        <v>6</v>
      </c>
      <c r="F11" s="89">
        <v>400</v>
      </c>
      <c r="G11" s="90">
        <v>650</v>
      </c>
    </row>
    <row r="12" spans="1:7" x14ac:dyDescent="0.25">
      <c r="A12" s="17" t="s">
        <v>7</v>
      </c>
      <c r="B12" s="89">
        <v>200</v>
      </c>
      <c r="C12" s="90">
        <v>200</v>
      </c>
      <c r="E12" s="14" t="s">
        <v>7</v>
      </c>
      <c r="F12" s="89">
        <v>200</v>
      </c>
      <c r="G12" s="90">
        <v>250</v>
      </c>
    </row>
    <row r="13" spans="1:7" x14ac:dyDescent="0.25">
      <c r="A13" s="17" t="s">
        <v>8</v>
      </c>
      <c r="B13" s="89">
        <v>1000</v>
      </c>
      <c r="C13" s="90">
        <v>1000</v>
      </c>
      <c r="E13" s="14" t="s">
        <v>8</v>
      </c>
      <c r="F13" s="89">
        <v>1000</v>
      </c>
      <c r="G13" s="90">
        <v>1000</v>
      </c>
    </row>
    <row r="14" spans="1:7" x14ac:dyDescent="0.25">
      <c r="A14" s="17" t="s">
        <v>9</v>
      </c>
      <c r="B14" s="15">
        <v>0.05</v>
      </c>
      <c r="C14" s="16">
        <v>0.05</v>
      </c>
      <c r="E14" s="14" t="s">
        <v>17</v>
      </c>
      <c r="F14" s="15">
        <v>0.05</v>
      </c>
      <c r="G14" s="16">
        <v>0.05</v>
      </c>
    </row>
    <row r="15" spans="1:7" x14ac:dyDescent="0.25">
      <c r="A15" s="17"/>
      <c r="B15" s="9"/>
      <c r="C15" s="10"/>
      <c r="E15" s="14"/>
      <c r="F15" s="9"/>
      <c r="G15" s="10"/>
    </row>
    <row r="16" spans="1:7" x14ac:dyDescent="0.25">
      <c r="A16" s="17" t="s">
        <v>10</v>
      </c>
      <c r="B16" s="9"/>
      <c r="C16" s="10"/>
      <c r="E16" s="17" t="s">
        <v>10</v>
      </c>
      <c r="F16" s="9"/>
      <c r="G16" s="10"/>
    </row>
    <row r="17" spans="1:7" x14ac:dyDescent="0.25">
      <c r="A17" s="17" t="s">
        <v>11</v>
      </c>
      <c r="B17" s="9">
        <v>100</v>
      </c>
      <c r="C17" s="10">
        <v>100</v>
      </c>
      <c r="E17" s="14" t="s">
        <v>11</v>
      </c>
      <c r="F17" s="9">
        <v>100</v>
      </c>
      <c r="G17" s="10">
        <v>100</v>
      </c>
    </row>
    <row r="18" spans="1:7" x14ac:dyDescent="0.25">
      <c r="A18" s="17" t="s">
        <v>12</v>
      </c>
      <c r="B18" s="9">
        <v>2</v>
      </c>
      <c r="C18" s="10">
        <v>2</v>
      </c>
      <c r="E18" s="14" t="s">
        <v>12</v>
      </c>
      <c r="F18" s="9">
        <v>2</v>
      </c>
      <c r="G18" s="10">
        <v>2</v>
      </c>
    </row>
    <row r="19" spans="1:7" x14ac:dyDescent="0.25">
      <c r="A19" s="17" t="s">
        <v>13</v>
      </c>
      <c r="B19" s="73">
        <v>10</v>
      </c>
      <c r="C19" s="74">
        <v>13</v>
      </c>
      <c r="E19" s="14" t="s">
        <v>13</v>
      </c>
      <c r="F19" s="73">
        <v>13</v>
      </c>
      <c r="G19" s="74">
        <v>15</v>
      </c>
    </row>
    <row r="20" spans="1:7" x14ac:dyDescent="0.25">
      <c r="A20" s="17" t="s">
        <v>14</v>
      </c>
      <c r="B20" s="15">
        <v>0.02</v>
      </c>
      <c r="C20" s="16">
        <v>0.04</v>
      </c>
      <c r="E20" s="14" t="s">
        <v>14</v>
      </c>
      <c r="F20" s="15">
        <v>0.02</v>
      </c>
      <c r="G20" s="16">
        <v>0.04</v>
      </c>
    </row>
    <row r="21" spans="1:7" ht="15.75" thickBot="1" x14ac:dyDescent="0.3">
      <c r="A21" s="49" t="s">
        <v>15</v>
      </c>
      <c r="B21" s="19">
        <v>60</v>
      </c>
      <c r="C21" s="20">
        <v>80</v>
      </c>
      <c r="E21" s="18" t="s">
        <v>15</v>
      </c>
      <c r="F21" s="19">
        <v>70</v>
      </c>
      <c r="G21" s="20">
        <v>90</v>
      </c>
    </row>
    <row r="24" spans="1:7" ht="15.75" thickBot="1" x14ac:dyDescent="0.3">
      <c r="A24" s="157" t="s">
        <v>18</v>
      </c>
      <c r="B24" s="149"/>
      <c r="C24" s="149"/>
      <c r="D24" s="149"/>
      <c r="E24" s="149"/>
      <c r="F24" s="149"/>
      <c r="G24" s="149"/>
    </row>
    <row r="25" spans="1:7" x14ac:dyDescent="0.25">
      <c r="A25" s="150" t="s">
        <v>19</v>
      </c>
      <c r="B25" s="151"/>
      <c r="C25" s="151"/>
      <c r="D25" s="151"/>
      <c r="E25" s="151"/>
      <c r="F25" s="151"/>
      <c r="G25" s="21">
        <v>0.35</v>
      </c>
    </row>
    <row r="26" spans="1:7" x14ac:dyDescent="0.25">
      <c r="A26" s="170" t="s">
        <v>20</v>
      </c>
      <c r="B26" s="171"/>
      <c r="C26" s="171"/>
      <c r="D26" s="171"/>
      <c r="E26" s="171"/>
      <c r="F26" s="171"/>
      <c r="G26" s="15">
        <v>0.4</v>
      </c>
    </row>
    <row r="27" spans="1:7" ht="15.75" thickBot="1" x14ac:dyDescent="0.3">
      <c r="A27" s="152" t="s">
        <v>21</v>
      </c>
      <c r="B27" s="153"/>
      <c r="C27" s="153"/>
      <c r="D27" s="153"/>
      <c r="E27" s="153"/>
      <c r="F27" s="153"/>
      <c r="G27" s="22">
        <v>0.3</v>
      </c>
    </row>
    <row r="28" spans="1:7" x14ac:dyDescent="0.25">
      <c r="A28"/>
      <c r="G28"/>
    </row>
    <row r="29" spans="1:7" ht="15.75" thickBot="1" x14ac:dyDescent="0.3">
      <c r="A29" s="152" t="s">
        <v>24</v>
      </c>
      <c r="B29" s="153"/>
      <c r="C29" s="153"/>
      <c r="D29" s="153"/>
      <c r="E29" s="153"/>
      <c r="F29" s="153"/>
      <c r="G29" s="153"/>
    </row>
    <row r="30" spans="1:7" ht="15.75" thickBot="1" x14ac:dyDescent="0.3">
      <c r="A30" s="150" t="s">
        <v>22</v>
      </c>
      <c r="B30" s="151"/>
      <c r="C30" s="151"/>
      <c r="D30" s="192"/>
      <c r="E30" s="23" t="s">
        <v>23</v>
      </c>
      <c r="F30" s="24" t="s">
        <v>34</v>
      </c>
      <c r="G30" s="79" t="s">
        <v>34</v>
      </c>
    </row>
    <row r="31" spans="1:7" x14ac:dyDescent="0.25">
      <c r="A31" s="183" t="s">
        <v>25</v>
      </c>
      <c r="B31" s="184"/>
      <c r="C31" s="184"/>
      <c r="D31" s="185"/>
      <c r="E31" s="25">
        <v>2</v>
      </c>
      <c r="F31" s="26">
        <v>20000</v>
      </c>
      <c r="G31" s="80">
        <v>40000</v>
      </c>
    </row>
    <row r="32" spans="1:7" x14ac:dyDescent="0.25">
      <c r="A32" s="180" t="s">
        <v>26</v>
      </c>
      <c r="B32" s="181"/>
      <c r="C32" s="181"/>
      <c r="D32" s="182"/>
      <c r="E32" s="28">
        <v>2</v>
      </c>
      <c r="F32" s="9">
        <v>50000</v>
      </c>
      <c r="G32" s="81">
        <v>100000</v>
      </c>
    </row>
    <row r="33" spans="1:7" x14ac:dyDescent="0.25">
      <c r="A33" s="180" t="s">
        <v>27</v>
      </c>
      <c r="B33" s="181"/>
      <c r="C33" s="181"/>
      <c r="D33" s="182"/>
      <c r="E33" s="28">
        <v>10</v>
      </c>
      <c r="F33" s="9">
        <v>20000</v>
      </c>
      <c r="G33" s="81">
        <v>200000</v>
      </c>
    </row>
    <row r="34" spans="1:7" x14ac:dyDescent="0.25">
      <c r="A34" s="180" t="s">
        <v>28</v>
      </c>
      <c r="B34" s="181"/>
      <c r="C34" s="181"/>
      <c r="D34" s="182"/>
      <c r="E34" s="28">
        <v>1</v>
      </c>
      <c r="F34" s="9">
        <v>100000</v>
      </c>
      <c r="G34" s="81">
        <v>100000</v>
      </c>
    </row>
    <row r="35" spans="1:7" x14ac:dyDescent="0.25">
      <c r="A35" s="180" t="s">
        <v>29</v>
      </c>
      <c r="B35" s="181"/>
      <c r="C35" s="181"/>
      <c r="D35" s="182"/>
      <c r="E35" s="28">
        <v>2</v>
      </c>
      <c r="F35" s="9">
        <v>75000</v>
      </c>
      <c r="G35" s="81">
        <v>150000</v>
      </c>
    </row>
    <row r="36" spans="1:7" x14ac:dyDescent="0.25">
      <c r="A36" s="180" t="s">
        <v>30</v>
      </c>
      <c r="B36" s="181"/>
      <c r="C36" s="181"/>
      <c r="D36" s="182"/>
      <c r="E36" s="28">
        <v>6</v>
      </c>
      <c r="F36" s="9">
        <v>30000</v>
      </c>
      <c r="G36" s="81">
        <v>180000</v>
      </c>
    </row>
    <row r="37" spans="1:7" x14ac:dyDescent="0.25">
      <c r="A37" s="180" t="s">
        <v>31</v>
      </c>
      <c r="B37" s="181"/>
      <c r="C37" s="181"/>
      <c r="D37" s="182"/>
      <c r="E37" s="28">
        <v>3</v>
      </c>
      <c r="F37" s="9">
        <v>17000</v>
      </c>
      <c r="G37" s="81">
        <v>51000</v>
      </c>
    </row>
    <row r="38" spans="1:7" x14ac:dyDescent="0.25">
      <c r="A38" s="180" t="s">
        <v>32</v>
      </c>
      <c r="B38" s="181"/>
      <c r="C38" s="181"/>
      <c r="D38" s="182"/>
      <c r="E38" s="28">
        <v>5</v>
      </c>
      <c r="F38" s="9">
        <v>17000</v>
      </c>
      <c r="G38" s="81">
        <v>85000</v>
      </c>
    </row>
    <row r="39" spans="1:7" ht="15.75" thickBot="1" x14ac:dyDescent="0.3">
      <c r="A39" s="177" t="s">
        <v>33</v>
      </c>
      <c r="B39" s="178"/>
      <c r="C39" s="178"/>
      <c r="D39" s="179"/>
      <c r="E39" s="30">
        <v>4</v>
      </c>
      <c r="F39" s="19">
        <v>20000</v>
      </c>
      <c r="G39" s="78">
        <v>80000</v>
      </c>
    </row>
    <row r="40" spans="1:7" ht="15.75" thickBot="1" x14ac:dyDescent="0.3">
      <c r="A40" s="186" t="s">
        <v>54</v>
      </c>
      <c r="B40" s="187"/>
      <c r="C40" s="187"/>
      <c r="D40" s="187"/>
      <c r="E40" s="188"/>
      <c r="F40" s="19"/>
      <c r="G40" s="78">
        <f>SUM(G31:G39)</f>
        <v>986000</v>
      </c>
    </row>
    <row r="41" spans="1:7" x14ac:dyDescent="0.25">
      <c r="A41" s="40" t="s">
        <v>86</v>
      </c>
      <c r="G41" s="82">
        <v>0.08</v>
      </c>
    </row>
    <row r="42" spans="1:7" ht="15.75" thickBot="1" x14ac:dyDescent="0.3">
      <c r="A42" s="149" t="s">
        <v>35</v>
      </c>
      <c r="B42" s="149"/>
      <c r="C42" s="149"/>
      <c r="D42" s="149"/>
      <c r="E42" s="149"/>
      <c r="F42" s="149"/>
      <c r="G42" s="149"/>
    </row>
    <row r="43" spans="1:7" ht="15.75" thickBot="1" x14ac:dyDescent="0.3">
      <c r="A43" s="150" t="s">
        <v>22</v>
      </c>
      <c r="B43" s="151"/>
      <c r="C43" s="151"/>
      <c r="D43" s="192"/>
      <c r="E43" s="23" t="s">
        <v>23</v>
      </c>
      <c r="F43" s="24" t="s">
        <v>34</v>
      </c>
      <c r="G43" s="32" t="s">
        <v>34</v>
      </c>
    </row>
    <row r="44" spans="1:7" x14ac:dyDescent="0.25">
      <c r="A44" s="183" t="s">
        <v>47</v>
      </c>
      <c r="B44" s="184"/>
      <c r="C44" s="184"/>
      <c r="D44" s="184"/>
      <c r="E44" s="33">
        <v>1</v>
      </c>
      <c r="F44" s="26">
        <v>50000</v>
      </c>
      <c r="G44" s="27">
        <v>50000</v>
      </c>
    </row>
    <row r="45" spans="1:7" x14ac:dyDescent="0.25">
      <c r="A45" s="180" t="s">
        <v>48</v>
      </c>
      <c r="B45" s="181"/>
      <c r="C45" s="181"/>
      <c r="D45" s="181"/>
      <c r="E45" s="28">
        <v>2</v>
      </c>
      <c r="F45" s="9">
        <v>35000</v>
      </c>
      <c r="G45" s="29">
        <v>70000</v>
      </c>
    </row>
    <row r="46" spans="1:7" x14ac:dyDescent="0.25">
      <c r="A46" s="180" t="s">
        <v>49</v>
      </c>
      <c r="B46" s="181"/>
      <c r="C46" s="181"/>
      <c r="D46" s="181"/>
      <c r="E46" s="28">
        <v>2</v>
      </c>
      <c r="F46" s="9">
        <v>20000</v>
      </c>
      <c r="G46" s="29">
        <v>40000</v>
      </c>
    </row>
    <row r="47" spans="1:7" x14ac:dyDescent="0.25">
      <c r="A47" s="180" t="s">
        <v>50</v>
      </c>
      <c r="B47" s="181"/>
      <c r="C47" s="181"/>
      <c r="D47" s="181"/>
      <c r="E47" s="28">
        <v>2</v>
      </c>
      <c r="F47" s="9">
        <v>40000</v>
      </c>
      <c r="G47" s="29">
        <v>80000</v>
      </c>
    </row>
    <row r="48" spans="1:7" x14ac:dyDescent="0.25">
      <c r="A48" s="180" t="s">
        <v>51</v>
      </c>
      <c r="B48" s="181"/>
      <c r="C48" s="181"/>
      <c r="D48" s="181"/>
      <c r="E48" s="28">
        <v>2</v>
      </c>
      <c r="F48" s="9">
        <v>40000</v>
      </c>
      <c r="G48" s="29">
        <v>80000</v>
      </c>
    </row>
    <row r="49" spans="1:7" ht="15.75" thickBot="1" x14ac:dyDescent="0.3">
      <c r="A49" s="180" t="s">
        <v>52</v>
      </c>
      <c r="B49" s="181"/>
      <c r="C49" s="181"/>
      <c r="D49" s="181"/>
      <c r="E49" s="28">
        <v>2</v>
      </c>
      <c r="F49" s="9">
        <v>30000</v>
      </c>
      <c r="G49" s="29">
        <v>60000</v>
      </c>
    </row>
    <row r="50" spans="1:7" ht="15.75" thickBot="1" x14ac:dyDescent="0.3">
      <c r="A50" s="189" t="s">
        <v>54</v>
      </c>
      <c r="B50" s="190"/>
      <c r="C50" s="190"/>
      <c r="D50" s="190"/>
      <c r="E50" s="191"/>
      <c r="F50" s="34"/>
      <c r="G50" s="35">
        <f>SUM(G44:G49)</f>
        <v>380000</v>
      </c>
    </row>
    <row r="51" spans="1:7" ht="15.75" thickBot="1" x14ac:dyDescent="0.3">
      <c r="A51" s="36"/>
      <c r="B51" s="37"/>
      <c r="C51" s="36"/>
      <c r="D51" s="36"/>
      <c r="E51" s="36"/>
      <c r="F51" s="37"/>
      <c r="G51" s="38"/>
    </row>
    <row r="52" spans="1:7" x14ac:dyDescent="0.25">
      <c r="A52" s="183" t="s">
        <v>85</v>
      </c>
      <c r="B52" s="184"/>
      <c r="C52" s="184"/>
      <c r="D52" s="184"/>
      <c r="E52" s="184"/>
      <c r="F52" s="185"/>
      <c r="G52" s="21">
        <v>0.05</v>
      </c>
    </row>
    <row r="53" spans="1:7" x14ac:dyDescent="0.25">
      <c r="A53" s="180" t="s">
        <v>36</v>
      </c>
      <c r="B53" s="181"/>
      <c r="C53" s="181"/>
      <c r="D53" s="181"/>
      <c r="E53" s="181"/>
      <c r="F53" s="182"/>
      <c r="G53" s="15">
        <v>0.1</v>
      </c>
    </row>
    <row r="54" spans="1:7" x14ac:dyDescent="0.25">
      <c r="A54" s="180" t="s">
        <v>70</v>
      </c>
      <c r="B54" s="181"/>
      <c r="C54" s="181"/>
      <c r="D54" s="181"/>
      <c r="E54" s="181"/>
      <c r="F54" s="182"/>
      <c r="G54" s="76">
        <v>10000</v>
      </c>
    </row>
    <row r="55" spans="1:7" x14ac:dyDescent="0.25">
      <c r="A55" s="180" t="s">
        <v>69</v>
      </c>
      <c r="B55" s="181"/>
      <c r="C55" s="181"/>
      <c r="D55" s="181"/>
      <c r="E55" s="181"/>
      <c r="F55" s="182"/>
      <c r="G55" s="76">
        <v>50000</v>
      </c>
    </row>
    <row r="56" spans="1:7" x14ac:dyDescent="0.25">
      <c r="A56" s="180" t="s">
        <v>71</v>
      </c>
      <c r="B56" s="181"/>
      <c r="C56" s="181"/>
      <c r="D56" s="181"/>
      <c r="E56" s="181"/>
      <c r="F56" s="182"/>
      <c r="G56" s="89">
        <v>25000</v>
      </c>
    </row>
    <row r="57" spans="1:7" x14ac:dyDescent="0.25">
      <c r="A57" s="180" t="s">
        <v>56</v>
      </c>
      <c r="B57" s="181"/>
      <c r="C57" s="181"/>
      <c r="D57" s="181"/>
      <c r="E57" s="181"/>
      <c r="F57" s="182"/>
      <c r="G57" s="9">
        <v>5</v>
      </c>
    </row>
    <row r="58" spans="1:7" x14ac:dyDescent="0.25">
      <c r="A58" s="180" t="s">
        <v>72</v>
      </c>
      <c r="B58" s="181"/>
      <c r="C58" s="181"/>
      <c r="D58" s="181"/>
      <c r="E58" s="181"/>
      <c r="F58" s="182"/>
      <c r="G58" s="87">
        <v>15000</v>
      </c>
    </row>
    <row r="59" spans="1:7" x14ac:dyDescent="0.25">
      <c r="A59" s="180" t="s">
        <v>45</v>
      </c>
      <c r="B59" s="181"/>
      <c r="C59" s="181"/>
      <c r="D59" s="181"/>
      <c r="E59" s="181"/>
      <c r="F59" s="182"/>
      <c r="G59" s="15">
        <v>0.02</v>
      </c>
    </row>
    <row r="60" spans="1:7" x14ac:dyDescent="0.25">
      <c r="A60" s="180" t="s">
        <v>46</v>
      </c>
      <c r="B60" s="181"/>
      <c r="C60" s="181"/>
      <c r="D60" s="181"/>
      <c r="E60" s="181"/>
      <c r="F60" s="182"/>
      <c r="G60" s="39">
        <v>1.4999999999999999E-2</v>
      </c>
    </row>
    <row r="61" spans="1:7" ht="15.75" thickBot="1" x14ac:dyDescent="0.3">
      <c r="A61" s="177" t="s">
        <v>55</v>
      </c>
      <c r="B61" s="178"/>
      <c r="C61" s="178"/>
      <c r="D61" s="178"/>
      <c r="E61" s="178"/>
      <c r="F61" s="179"/>
      <c r="G61" s="22">
        <v>0.5</v>
      </c>
    </row>
    <row r="62" spans="1:7" x14ac:dyDescent="0.25">
      <c r="A62" s="83" t="s">
        <v>53</v>
      </c>
      <c r="B62" s="84"/>
      <c r="C62" s="85"/>
      <c r="D62" s="85"/>
      <c r="E62" s="85"/>
      <c r="F62" s="85"/>
      <c r="G62" s="86">
        <v>0.08</v>
      </c>
    </row>
    <row r="63" spans="1:7" x14ac:dyDescent="0.25">
      <c r="A63" s="41"/>
      <c r="B63" s="42"/>
    </row>
    <row r="64" spans="1:7" ht="15.75" thickBot="1" x14ac:dyDescent="0.3">
      <c r="A64" s="176" t="s">
        <v>57</v>
      </c>
      <c r="B64" s="176"/>
      <c r="C64" s="176"/>
      <c r="D64" s="176"/>
      <c r="E64" s="176"/>
      <c r="F64" s="176"/>
      <c r="G64" s="176"/>
    </row>
    <row r="65" spans="1:10" x14ac:dyDescent="0.25">
      <c r="A65" s="183" t="s">
        <v>87</v>
      </c>
      <c r="B65" s="184"/>
      <c r="C65" s="184"/>
      <c r="D65" s="184"/>
      <c r="E65" s="184"/>
      <c r="F65" s="185"/>
      <c r="G65" s="26">
        <v>4000</v>
      </c>
    </row>
    <row r="66" spans="1:10" x14ac:dyDescent="0.25">
      <c r="A66" s="180" t="s">
        <v>37</v>
      </c>
      <c r="B66" s="181"/>
      <c r="C66" s="181"/>
      <c r="D66" s="181"/>
      <c r="E66" s="181"/>
      <c r="F66" s="182"/>
      <c r="G66" s="9">
        <v>1.33</v>
      </c>
      <c r="J66">
        <f>G67*G57</f>
        <v>26600</v>
      </c>
    </row>
    <row r="67" spans="1:10" x14ac:dyDescent="0.25">
      <c r="A67" s="180" t="s">
        <v>88</v>
      </c>
      <c r="B67" s="181"/>
      <c r="C67" s="181"/>
      <c r="D67" s="181"/>
      <c r="E67" s="181"/>
      <c r="F67" s="182"/>
      <c r="G67" s="9">
        <f>G65*G66</f>
        <v>5320</v>
      </c>
    </row>
    <row r="68" spans="1:10" x14ac:dyDescent="0.25">
      <c r="A68" s="180" t="s">
        <v>38</v>
      </c>
      <c r="B68" s="181"/>
      <c r="C68" s="181"/>
      <c r="D68" s="181"/>
      <c r="E68" s="181"/>
      <c r="F68" s="182"/>
      <c r="G68" s="15">
        <v>0.75</v>
      </c>
    </row>
    <row r="69" spans="1:10" x14ac:dyDescent="0.25">
      <c r="A69" s="180" t="s">
        <v>39</v>
      </c>
      <c r="B69" s="181"/>
      <c r="C69" s="181"/>
      <c r="D69" s="181"/>
      <c r="E69" s="181"/>
      <c r="F69" s="182"/>
      <c r="G69" s="9">
        <v>3000</v>
      </c>
    </row>
    <row r="70" spans="1:10" x14ac:dyDescent="0.25">
      <c r="A70" s="180" t="s">
        <v>40</v>
      </c>
      <c r="B70" s="181"/>
      <c r="C70" s="181"/>
      <c r="D70" s="181"/>
      <c r="E70" s="181"/>
      <c r="F70" s="182"/>
      <c r="G70" s="9">
        <v>1000</v>
      </c>
    </row>
    <row r="71" spans="1:10" x14ac:dyDescent="0.25">
      <c r="A71" s="180" t="s">
        <v>41</v>
      </c>
      <c r="B71" s="181"/>
      <c r="C71" s="181"/>
      <c r="D71" s="181"/>
      <c r="E71" s="181"/>
      <c r="F71" s="182"/>
      <c r="G71" s="9">
        <v>25</v>
      </c>
    </row>
    <row r="72" spans="1:10" x14ac:dyDescent="0.25">
      <c r="A72" s="180" t="s">
        <v>42</v>
      </c>
      <c r="B72" s="181"/>
      <c r="C72" s="181"/>
      <c r="D72" s="181"/>
      <c r="E72" s="181"/>
      <c r="F72" s="182"/>
      <c r="G72" s="9">
        <v>100</v>
      </c>
    </row>
    <row r="73" spans="1:10" x14ac:dyDescent="0.25">
      <c r="A73" s="180" t="s">
        <v>43</v>
      </c>
      <c r="B73" s="181"/>
      <c r="C73" s="181"/>
      <c r="D73" s="181"/>
      <c r="E73" s="181"/>
      <c r="F73" s="182"/>
      <c r="G73" s="9">
        <v>4</v>
      </c>
    </row>
    <row r="74" spans="1:10" ht="15.75" thickBot="1" x14ac:dyDescent="0.3">
      <c r="A74" s="177" t="s">
        <v>44</v>
      </c>
      <c r="B74" s="178"/>
      <c r="C74" s="178"/>
      <c r="D74" s="178"/>
      <c r="E74" s="178"/>
      <c r="F74" s="179"/>
      <c r="G74" s="19">
        <v>30</v>
      </c>
    </row>
    <row r="75" spans="1:10" x14ac:dyDescent="0.25">
      <c r="A75" s="170"/>
      <c r="B75" s="171"/>
      <c r="C75" s="171"/>
      <c r="D75" s="171"/>
      <c r="E75" s="171"/>
      <c r="F75" s="171"/>
      <c r="G75" s="43"/>
    </row>
    <row r="77" spans="1:10" ht="15.75" thickBot="1" x14ac:dyDescent="0.3">
      <c r="A77" s="157" t="s">
        <v>58</v>
      </c>
      <c r="B77" s="149"/>
      <c r="C77" s="149"/>
      <c r="D77" s="149"/>
      <c r="E77" s="149"/>
      <c r="F77" s="149"/>
      <c r="G77" s="149"/>
    </row>
    <row r="78" spans="1:10" ht="15.75" thickBot="1" x14ac:dyDescent="0.3">
      <c r="A78" s="154" t="s">
        <v>59</v>
      </c>
      <c r="B78" s="155"/>
      <c r="C78" s="155"/>
      <c r="D78" s="155"/>
      <c r="E78" s="155"/>
      <c r="F78" s="156"/>
      <c r="G78" s="44" t="s">
        <v>62</v>
      </c>
    </row>
    <row r="79" spans="1:10" x14ac:dyDescent="0.25">
      <c r="A79" s="180" t="s">
        <v>89</v>
      </c>
      <c r="B79" s="181"/>
      <c r="C79" s="181"/>
      <c r="D79" s="181"/>
      <c r="E79" s="181"/>
      <c r="F79" s="182"/>
      <c r="G79" s="76">
        <v>3000</v>
      </c>
    </row>
    <row r="80" spans="1:10" x14ac:dyDescent="0.25">
      <c r="A80" s="180" t="s">
        <v>95</v>
      </c>
      <c r="B80" s="181"/>
      <c r="C80" s="181"/>
      <c r="D80" s="181"/>
      <c r="E80" s="181"/>
      <c r="F80" s="182"/>
      <c r="G80" s="76">
        <v>5000</v>
      </c>
    </row>
    <row r="81" spans="1:7" x14ac:dyDescent="0.25">
      <c r="A81" s="180" t="s">
        <v>60</v>
      </c>
      <c r="B81" s="181"/>
      <c r="C81" s="181"/>
      <c r="D81" s="181"/>
      <c r="E81" s="181"/>
      <c r="F81" s="182"/>
      <c r="G81" s="76">
        <v>1700</v>
      </c>
    </row>
    <row r="82" spans="1:7" x14ac:dyDescent="0.25">
      <c r="A82" s="180" t="s">
        <v>61</v>
      </c>
      <c r="B82" s="181"/>
      <c r="C82" s="181"/>
      <c r="D82" s="181"/>
      <c r="E82" s="181"/>
      <c r="F82" s="182"/>
      <c r="G82" s="76">
        <v>2000</v>
      </c>
    </row>
    <row r="83" spans="1:7" ht="15.75" thickBot="1" x14ac:dyDescent="0.3">
      <c r="A83" s="177" t="s">
        <v>94</v>
      </c>
      <c r="B83" s="178"/>
      <c r="C83" s="178"/>
      <c r="D83" s="178"/>
      <c r="E83" s="178"/>
      <c r="F83" s="179"/>
      <c r="G83" s="68">
        <v>1000000</v>
      </c>
    </row>
    <row r="85" spans="1:7" ht="15.75" thickBot="1" x14ac:dyDescent="0.3">
      <c r="A85" s="176" t="s">
        <v>63</v>
      </c>
      <c r="B85" s="176"/>
      <c r="C85" s="176"/>
      <c r="D85" s="176"/>
      <c r="E85" s="176"/>
      <c r="F85" s="176"/>
      <c r="G85" s="176"/>
    </row>
    <row r="86" spans="1:7" ht="15.75" thickBot="1" x14ac:dyDescent="0.3">
      <c r="A86" s="173"/>
      <c r="B86" s="174"/>
      <c r="C86" s="174"/>
      <c r="D86" s="174"/>
      <c r="E86" s="174"/>
      <c r="F86" s="175"/>
      <c r="G86" s="45" t="s">
        <v>68</v>
      </c>
    </row>
    <row r="87" spans="1:7" ht="15.75" thickBot="1" x14ac:dyDescent="0.3">
      <c r="A87" s="70" t="s">
        <v>90</v>
      </c>
      <c r="B87" s="51"/>
      <c r="C87" s="51"/>
      <c r="D87" s="51"/>
      <c r="E87" s="51"/>
      <c r="F87" s="69"/>
      <c r="G87" s="75">
        <f>2400000</f>
        <v>2400000</v>
      </c>
    </row>
    <row r="88" spans="1:7" x14ac:dyDescent="0.25">
      <c r="A88" s="170" t="s">
        <v>64</v>
      </c>
      <c r="B88" s="171"/>
      <c r="C88" s="171"/>
      <c r="D88" s="171"/>
      <c r="E88" s="171"/>
      <c r="F88" s="172"/>
      <c r="G88" s="46"/>
    </row>
    <row r="89" spans="1:7" x14ac:dyDescent="0.25">
      <c r="A89" s="167" t="s">
        <v>6</v>
      </c>
      <c r="B89" s="168"/>
      <c r="C89" s="168"/>
      <c r="D89" s="168"/>
      <c r="E89" s="168"/>
      <c r="F89" s="169"/>
      <c r="G89" s="9">
        <v>30</v>
      </c>
    </row>
    <row r="90" spans="1:7" x14ac:dyDescent="0.25">
      <c r="A90" s="167" t="s">
        <v>65</v>
      </c>
      <c r="B90" s="168"/>
      <c r="C90" s="168"/>
      <c r="D90" s="168"/>
      <c r="E90" s="168"/>
      <c r="F90" s="169"/>
      <c r="G90" s="9">
        <v>15</v>
      </c>
    </row>
    <row r="91" spans="1:7" x14ac:dyDescent="0.25">
      <c r="A91" s="164" t="s">
        <v>8</v>
      </c>
      <c r="B91" s="165"/>
      <c r="C91" s="165"/>
      <c r="D91" s="165"/>
      <c r="E91" s="165"/>
      <c r="F91" s="166"/>
      <c r="G91" s="9">
        <v>5</v>
      </c>
    </row>
    <row r="92" spans="1:7" x14ac:dyDescent="0.25">
      <c r="A92" s="161" t="s">
        <v>66</v>
      </c>
      <c r="B92" s="162"/>
      <c r="C92" s="162"/>
      <c r="D92" s="162"/>
      <c r="E92" s="162"/>
      <c r="F92" s="163"/>
      <c r="G92" s="9">
        <v>30</v>
      </c>
    </row>
    <row r="93" spans="1:7" ht="15.75" thickBot="1" x14ac:dyDescent="0.3">
      <c r="A93" s="158" t="s">
        <v>67</v>
      </c>
      <c r="B93" s="159"/>
      <c r="C93" s="159"/>
      <c r="D93" s="159"/>
      <c r="E93" s="159"/>
      <c r="F93" s="160"/>
      <c r="G93" s="19">
        <v>30</v>
      </c>
    </row>
    <row r="94" spans="1:7" x14ac:dyDescent="0.25">
      <c r="A94" s="48"/>
      <c r="B94" s="47"/>
      <c r="C94" s="47"/>
      <c r="D94" s="47"/>
      <c r="E94" s="47"/>
      <c r="F94" s="47"/>
      <c r="G94" s="37"/>
    </row>
    <row r="95" spans="1:7" ht="15.75" thickBot="1" x14ac:dyDescent="0.3">
      <c r="A95" s="149" t="s">
        <v>73</v>
      </c>
      <c r="B95" s="149"/>
      <c r="C95" s="149"/>
      <c r="D95" s="149"/>
      <c r="E95" s="149"/>
      <c r="F95" s="149"/>
      <c r="G95" s="149"/>
    </row>
    <row r="96" spans="1:7" x14ac:dyDescent="0.25">
      <c r="A96" s="150" t="s">
        <v>74</v>
      </c>
      <c r="B96" s="151"/>
      <c r="C96" s="151"/>
      <c r="D96" s="151"/>
      <c r="E96" s="151"/>
      <c r="F96" s="151"/>
      <c r="G96" s="52">
        <v>0.15</v>
      </c>
    </row>
    <row r="97" spans="1:7" ht="15.75" thickBot="1" x14ac:dyDescent="0.3">
      <c r="A97" s="152" t="s">
        <v>75</v>
      </c>
      <c r="B97" s="153"/>
      <c r="C97" s="153"/>
      <c r="D97" s="153"/>
      <c r="E97" s="153"/>
      <c r="F97" s="153"/>
      <c r="G97" s="53">
        <v>0.1</v>
      </c>
    </row>
    <row r="98" spans="1:7" x14ac:dyDescent="0.25">
      <c r="A98" s="48"/>
      <c r="B98" s="37"/>
      <c r="C98" s="47"/>
      <c r="D98" s="47"/>
      <c r="E98" s="47"/>
      <c r="F98" s="47"/>
      <c r="G98"/>
    </row>
    <row r="99" spans="1:7" ht="15.75" thickBot="1" x14ac:dyDescent="0.3">
      <c r="A99" s="149" t="s">
        <v>76</v>
      </c>
      <c r="B99" s="149"/>
      <c r="C99" s="149"/>
      <c r="D99" s="149"/>
      <c r="E99" s="149"/>
      <c r="F99" s="149"/>
      <c r="G99" s="149"/>
    </row>
    <row r="100" spans="1:7" x14ac:dyDescent="0.25">
      <c r="A100" s="150" t="s">
        <v>77</v>
      </c>
      <c r="B100" s="151"/>
      <c r="C100" s="151"/>
      <c r="D100" s="151"/>
      <c r="E100" s="151"/>
      <c r="F100" s="151"/>
      <c r="G100" s="52">
        <v>1</v>
      </c>
    </row>
    <row r="101" spans="1:7" ht="15.75" thickBot="1" x14ac:dyDescent="0.3">
      <c r="A101" s="152" t="s">
        <v>78</v>
      </c>
      <c r="B101" s="153"/>
      <c r="C101" s="153"/>
      <c r="D101" s="153"/>
      <c r="E101" s="153"/>
      <c r="F101" s="153"/>
      <c r="G101" s="53">
        <f>G100-1</f>
        <v>0</v>
      </c>
    </row>
    <row r="102" spans="1:7" ht="15.75" thickBot="1" x14ac:dyDescent="0.3">
      <c r="A102" s="67" t="s">
        <v>92</v>
      </c>
      <c r="B102" s="67"/>
      <c r="C102" s="67"/>
      <c r="D102" s="67"/>
      <c r="E102" s="67"/>
      <c r="F102" s="67"/>
      <c r="G102" s="50"/>
    </row>
    <row r="103" spans="1:7" ht="15.75" thickBot="1" x14ac:dyDescent="0.3">
      <c r="A103" s="154" t="s">
        <v>93</v>
      </c>
      <c r="B103" s="155"/>
      <c r="C103" s="155"/>
      <c r="D103" s="155"/>
      <c r="E103" s="155"/>
      <c r="F103" s="155"/>
      <c r="G103" s="71">
        <v>0.12</v>
      </c>
    </row>
    <row r="104" spans="1:7" ht="15.75" thickBot="1" x14ac:dyDescent="0.3">
      <c r="B104" s="7"/>
      <c r="C104" s="7"/>
      <c r="D104" s="7"/>
      <c r="E104" s="7"/>
      <c r="F104" s="7"/>
    </row>
    <row r="105" spans="1:7" ht="15.75" thickBot="1" x14ac:dyDescent="0.3">
      <c r="A105" s="147" t="s">
        <v>79</v>
      </c>
      <c r="B105" s="148"/>
      <c r="C105" s="148"/>
      <c r="D105" s="148"/>
      <c r="E105" s="148"/>
      <c r="F105" s="148"/>
      <c r="G105" s="54">
        <v>0.25169999999999998</v>
      </c>
    </row>
    <row r="107" spans="1:7" s="72" customFormat="1" x14ac:dyDescent="0.25">
      <c r="A107" s="72" t="s">
        <v>91</v>
      </c>
    </row>
  </sheetData>
  <mergeCells count="72">
    <mergeCell ref="A6:G6"/>
    <mergeCell ref="A30:D30"/>
    <mergeCell ref="A31:D31"/>
    <mergeCell ref="A32:D32"/>
    <mergeCell ref="A33:D33"/>
    <mergeCell ref="A29:G29"/>
    <mergeCell ref="A25:F25"/>
    <mergeCell ref="A26:F26"/>
    <mergeCell ref="A27:F27"/>
    <mergeCell ref="A24:G24"/>
    <mergeCell ref="A34:D34"/>
    <mergeCell ref="A35:D35"/>
    <mergeCell ref="A36:D36"/>
    <mergeCell ref="A37:D37"/>
    <mergeCell ref="A38:D38"/>
    <mergeCell ref="A39:D39"/>
    <mergeCell ref="A40:E40"/>
    <mergeCell ref="A50:E50"/>
    <mergeCell ref="A43:D43"/>
    <mergeCell ref="A44:D44"/>
    <mergeCell ref="A45:D45"/>
    <mergeCell ref="A46:D46"/>
    <mergeCell ref="A47:D47"/>
    <mergeCell ref="A61:F61"/>
    <mergeCell ref="A60:F60"/>
    <mergeCell ref="A59:F59"/>
    <mergeCell ref="A58:F58"/>
    <mergeCell ref="A48:D48"/>
    <mergeCell ref="A49:D49"/>
    <mergeCell ref="A57:F57"/>
    <mergeCell ref="A56:F56"/>
    <mergeCell ref="A55:F55"/>
    <mergeCell ref="A54:F54"/>
    <mergeCell ref="A52:F52"/>
    <mergeCell ref="A53:F53"/>
    <mergeCell ref="A64:G64"/>
    <mergeCell ref="A75:F75"/>
    <mergeCell ref="A65:F65"/>
    <mergeCell ref="A66:F66"/>
    <mergeCell ref="A67:F67"/>
    <mergeCell ref="A68:F68"/>
    <mergeCell ref="A69:F69"/>
    <mergeCell ref="A70:F70"/>
    <mergeCell ref="A82:F82"/>
    <mergeCell ref="A81:F81"/>
    <mergeCell ref="A80:F80"/>
    <mergeCell ref="A79:F79"/>
    <mergeCell ref="A71:F71"/>
    <mergeCell ref="A72:F72"/>
    <mergeCell ref="A73:F73"/>
    <mergeCell ref="A74:F74"/>
    <mergeCell ref="A89:F89"/>
    <mergeCell ref="A88:F88"/>
    <mergeCell ref="A86:F86"/>
    <mergeCell ref="A85:G85"/>
    <mergeCell ref="A83:F83"/>
    <mergeCell ref="A105:F105"/>
    <mergeCell ref="A99:G99"/>
    <mergeCell ref="A1:G1"/>
    <mergeCell ref="A42:G42"/>
    <mergeCell ref="A95:G95"/>
    <mergeCell ref="A96:F96"/>
    <mergeCell ref="A97:F97"/>
    <mergeCell ref="A100:F100"/>
    <mergeCell ref="A101:F101"/>
    <mergeCell ref="A103:F103"/>
    <mergeCell ref="A78:F78"/>
    <mergeCell ref="A77:G77"/>
    <mergeCell ref="A93:F93"/>
    <mergeCell ref="A92:F92"/>
    <mergeCell ref="A91:F91"/>
    <mergeCell ref="A90:F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1F9-71E8-4A77-89E1-E16BF0972A9F}">
  <dimension ref="A1:D10"/>
  <sheetViews>
    <sheetView workbookViewId="0">
      <selection activeCell="F6" sqref="F6"/>
    </sheetView>
  </sheetViews>
  <sheetFormatPr defaultRowHeight="15" x14ac:dyDescent="0.25"/>
  <cols>
    <col min="1" max="1" width="16.7109375" customWidth="1"/>
    <col min="2" max="2" width="13.5703125" customWidth="1"/>
    <col min="3" max="3" width="14.28515625" customWidth="1"/>
    <col min="4" max="4" width="14.5703125" customWidth="1"/>
  </cols>
  <sheetData>
    <row r="1" spans="1:4" x14ac:dyDescent="0.25">
      <c r="A1" s="95" t="s">
        <v>96</v>
      </c>
      <c r="B1" t="s">
        <v>97</v>
      </c>
      <c r="C1" s="92" t="s">
        <v>103</v>
      </c>
      <c r="D1" s="77">
        <f>VLOOKUP(C1,A3:B10,2,FALSE)</f>
        <v>100000</v>
      </c>
    </row>
    <row r="3" spans="1:4" x14ac:dyDescent="0.25">
      <c r="A3" t="s">
        <v>98</v>
      </c>
      <c r="B3">
        <v>1</v>
      </c>
    </row>
    <row r="4" spans="1:4" x14ac:dyDescent="0.25">
      <c r="A4" t="s">
        <v>99</v>
      </c>
      <c r="B4">
        <v>10</v>
      </c>
    </row>
    <row r="5" spans="1:4" x14ac:dyDescent="0.25">
      <c r="A5" t="s">
        <v>100</v>
      </c>
      <c r="B5">
        <v>100</v>
      </c>
    </row>
    <row r="6" spans="1:4" x14ac:dyDescent="0.25">
      <c r="A6" t="s">
        <v>101</v>
      </c>
      <c r="B6" s="91">
        <v>1000</v>
      </c>
    </row>
    <row r="7" spans="1:4" x14ac:dyDescent="0.25">
      <c r="A7" t="s">
        <v>102</v>
      </c>
      <c r="B7" s="91">
        <v>10000</v>
      </c>
    </row>
    <row r="8" spans="1:4" x14ac:dyDescent="0.25">
      <c r="A8" t="s">
        <v>103</v>
      </c>
      <c r="B8" s="91">
        <v>100000</v>
      </c>
    </row>
    <row r="9" spans="1:4" x14ac:dyDescent="0.25">
      <c r="A9" t="s">
        <v>104</v>
      </c>
      <c r="B9" s="91">
        <v>1000000</v>
      </c>
    </row>
    <row r="10" spans="1:4" x14ac:dyDescent="0.25">
      <c r="A10" t="s">
        <v>105</v>
      </c>
      <c r="B10" s="91">
        <v>10000000</v>
      </c>
    </row>
  </sheetData>
  <dataValidations count="1">
    <dataValidation type="list" allowBlank="1" showInputMessage="1" showErrorMessage="1" sqref="C1" xr:uid="{8A930560-0C1D-47E5-B117-0C9B3DD4AB91}">
      <formula1>$A$3:$A$10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A10-EA90-4CE4-A4DB-5FF54E48A1CC}">
  <dimension ref="A1:AO82"/>
  <sheetViews>
    <sheetView workbookViewId="0">
      <pane xSplit="4" ySplit="4" topLeftCell="AE70" activePane="bottomRight" state="frozen"/>
      <selection pane="topRight" activeCell="E1" sqref="E1"/>
      <selection pane="bottomLeft" activeCell="A5" sqref="A5"/>
      <selection pane="bottomRight" activeCell="E6" sqref="E6"/>
    </sheetView>
  </sheetViews>
  <sheetFormatPr defaultRowHeight="15" x14ac:dyDescent="0.25"/>
  <cols>
    <col min="1" max="1" width="42.140625" customWidth="1"/>
    <col min="3" max="3" width="9.140625" customWidth="1"/>
    <col min="4" max="4" width="3.7109375" customWidth="1"/>
    <col min="5" max="5" width="11.5703125" style="77" bestFit="1" customWidth="1"/>
    <col min="6" max="6" width="12.140625" style="77" bestFit="1" customWidth="1"/>
    <col min="7" max="7" width="11.42578125" style="77" bestFit="1" customWidth="1"/>
    <col min="8" max="8" width="10.85546875" style="77" bestFit="1" customWidth="1"/>
    <col min="9" max="9" width="11.85546875" style="77" bestFit="1" customWidth="1"/>
    <col min="10" max="10" width="11.7109375" style="77" bestFit="1" customWidth="1"/>
    <col min="11" max="11" width="11.42578125" style="77" bestFit="1" customWidth="1"/>
    <col min="12" max="12" width="12" style="77" bestFit="1" customWidth="1"/>
    <col min="13" max="13" width="11.7109375" style="77" bestFit="1" customWidth="1"/>
    <col min="14" max="14" width="11.28515625" style="77" bestFit="1" customWidth="1"/>
    <col min="15" max="15" width="11.7109375" style="77" bestFit="1" customWidth="1"/>
    <col min="16" max="16" width="11.85546875" style="77" bestFit="1" customWidth="1"/>
    <col min="17" max="17" width="11.5703125" style="77" bestFit="1" customWidth="1"/>
    <col min="18" max="18" width="12.140625" style="77" bestFit="1" customWidth="1"/>
    <col min="19" max="19" width="11.42578125" style="77" bestFit="1" customWidth="1"/>
    <col min="20" max="20" width="10.85546875" style="77" bestFit="1" customWidth="1"/>
    <col min="21" max="21" width="11.85546875" style="77" bestFit="1" customWidth="1"/>
    <col min="22" max="22" width="11.7109375" style="77" bestFit="1" customWidth="1"/>
    <col min="23" max="23" width="11.42578125" style="77" bestFit="1" customWidth="1"/>
    <col min="24" max="24" width="12" style="77" bestFit="1" customWidth="1"/>
    <col min="25" max="25" width="11.7109375" style="77" bestFit="1" customWidth="1"/>
    <col min="26" max="26" width="11.28515625" style="77" bestFit="1" customWidth="1"/>
    <col min="27" max="27" width="11.7109375" style="77" bestFit="1" customWidth="1"/>
    <col min="28" max="28" width="11.85546875" style="77" bestFit="1" customWidth="1"/>
    <col min="29" max="29" width="11.5703125" style="77" bestFit="1" customWidth="1"/>
    <col min="30" max="30" width="12.140625" style="77" bestFit="1" customWidth="1"/>
    <col min="31" max="31" width="11.42578125" style="77" bestFit="1" customWidth="1"/>
    <col min="32" max="32" width="10.85546875" style="77" bestFit="1" customWidth="1"/>
    <col min="33" max="33" width="11.85546875" style="77" bestFit="1" customWidth="1"/>
    <col min="34" max="34" width="11.7109375" style="77" bestFit="1" customWidth="1"/>
    <col min="35" max="35" width="11.42578125" style="77" bestFit="1" customWidth="1"/>
    <col min="36" max="36" width="12" style="77" bestFit="1" customWidth="1"/>
    <col min="37" max="37" width="11.7109375" style="77" bestFit="1" customWidth="1"/>
    <col min="38" max="38" width="11.28515625" style="77" bestFit="1" customWidth="1"/>
    <col min="39" max="39" width="11.7109375" style="77" bestFit="1" customWidth="1"/>
    <col min="40" max="40" width="11.85546875" style="77" bestFit="1" customWidth="1"/>
    <col min="41" max="16384" width="9.140625" style="96"/>
  </cols>
  <sheetData>
    <row r="1" spans="1:40" customFormat="1" x14ac:dyDescent="0.25">
      <c r="A1" t="s">
        <v>106</v>
      </c>
      <c r="B1" s="92" t="str">
        <f>Converter!C1</f>
        <v xml:space="preserve"> Lakh </v>
      </c>
    </row>
    <row r="2" spans="1:40" customFormat="1" x14ac:dyDescent="0.25"/>
    <row r="3" spans="1:40" customFormat="1" x14ac:dyDescent="0.25">
      <c r="E3" s="93">
        <v>1</v>
      </c>
      <c r="F3" s="93">
        <f>E3+1</f>
        <v>2</v>
      </c>
      <c r="G3" s="93">
        <f t="shared" ref="G3:AN3" si="0">F3+1</f>
        <v>3</v>
      </c>
      <c r="H3" s="93">
        <f t="shared" si="0"/>
        <v>4</v>
      </c>
      <c r="I3" s="93">
        <f t="shared" si="0"/>
        <v>5</v>
      </c>
      <c r="J3" s="93">
        <f t="shared" si="0"/>
        <v>6</v>
      </c>
      <c r="K3" s="93">
        <f t="shared" si="0"/>
        <v>7</v>
      </c>
      <c r="L3" s="93">
        <f t="shared" si="0"/>
        <v>8</v>
      </c>
      <c r="M3" s="93">
        <f t="shared" si="0"/>
        <v>9</v>
      </c>
      <c r="N3" s="93">
        <f t="shared" si="0"/>
        <v>10</v>
      </c>
      <c r="O3" s="93">
        <f t="shared" si="0"/>
        <v>11</v>
      </c>
      <c r="P3" s="93">
        <f t="shared" si="0"/>
        <v>12</v>
      </c>
      <c r="Q3" s="93">
        <f t="shared" si="0"/>
        <v>13</v>
      </c>
      <c r="R3" s="93">
        <f t="shared" si="0"/>
        <v>14</v>
      </c>
      <c r="S3" s="93">
        <f t="shared" si="0"/>
        <v>15</v>
      </c>
      <c r="T3" s="93">
        <f t="shared" si="0"/>
        <v>16</v>
      </c>
      <c r="U3" s="93">
        <f t="shared" si="0"/>
        <v>17</v>
      </c>
      <c r="V3" s="93">
        <f t="shared" si="0"/>
        <v>18</v>
      </c>
      <c r="W3" s="93">
        <f t="shared" si="0"/>
        <v>19</v>
      </c>
      <c r="X3" s="93">
        <f t="shared" si="0"/>
        <v>20</v>
      </c>
      <c r="Y3" s="93">
        <f t="shared" si="0"/>
        <v>21</v>
      </c>
      <c r="Z3" s="93">
        <f t="shared" si="0"/>
        <v>22</v>
      </c>
      <c r="AA3" s="93">
        <f t="shared" si="0"/>
        <v>23</v>
      </c>
      <c r="AB3" s="93">
        <f t="shared" si="0"/>
        <v>24</v>
      </c>
      <c r="AC3" s="93">
        <f t="shared" si="0"/>
        <v>25</v>
      </c>
      <c r="AD3" s="93">
        <f t="shared" si="0"/>
        <v>26</v>
      </c>
      <c r="AE3" s="93">
        <f t="shared" si="0"/>
        <v>27</v>
      </c>
      <c r="AF3" s="93">
        <f t="shared" si="0"/>
        <v>28</v>
      </c>
      <c r="AG3" s="93">
        <f t="shared" si="0"/>
        <v>29</v>
      </c>
      <c r="AH3" s="93">
        <f t="shared" si="0"/>
        <v>30</v>
      </c>
      <c r="AI3" s="93">
        <f t="shared" si="0"/>
        <v>31</v>
      </c>
      <c r="AJ3" s="93">
        <f t="shared" si="0"/>
        <v>32</v>
      </c>
      <c r="AK3" s="93">
        <f t="shared" si="0"/>
        <v>33</v>
      </c>
      <c r="AL3" s="93">
        <f t="shared" si="0"/>
        <v>34</v>
      </c>
      <c r="AM3" s="93">
        <f t="shared" si="0"/>
        <v>35</v>
      </c>
      <c r="AN3" s="93">
        <f t="shared" si="0"/>
        <v>36</v>
      </c>
    </row>
    <row r="4" spans="1:40" customFormat="1" x14ac:dyDescent="0.25">
      <c r="E4" s="94">
        <f>EOMONTH(Assumptions!G3,0)</f>
        <v>43951</v>
      </c>
      <c r="F4" s="94">
        <f>EOMONTH(E4,1)</f>
        <v>43982</v>
      </c>
      <c r="G4" s="94">
        <f t="shared" ref="G4:AN4" si="1">EOMONTH(F4,1)</f>
        <v>44012</v>
      </c>
      <c r="H4" s="94">
        <f t="shared" si="1"/>
        <v>44043</v>
      </c>
      <c r="I4" s="94">
        <f t="shared" si="1"/>
        <v>44074</v>
      </c>
      <c r="J4" s="94">
        <f t="shared" si="1"/>
        <v>44104</v>
      </c>
      <c r="K4" s="94">
        <f t="shared" si="1"/>
        <v>44135</v>
      </c>
      <c r="L4" s="94">
        <f t="shared" si="1"/>
        <v>44165</v>
      </c>
      <c r="M4" s="94">
        <f t="shared" si="1"/>
        <v>44196</v>
      </c>
      <c r="N4" s="94">
        <f t="shared" si="1"/>
        <v>44227</v>
      </c>
      <c r="O4" s="94">
        <f t="shared" si="1"/>
        <v>44255</v>
      </c>
      <c r="P4" s="94">
        <f t="shared" si="1"/>
        <v>44286</v>
      </c>
      <c r="Q4" s="94">
        <f t="shared" si="1"/>
        <v>44316</v>
      </c>
      <c r="R4" s="94">
        <f t="shared" si="1"/>
        <v>44347</v>
      </c>
      <c r="S4" s="94">
        <f t="shared" si="1"/>
        <v>44377</v>
      </c>
      <c r="T4" s="94">
        <f t="shared" si="1"/>
        <v>44408</v>
      </c>
      <c r="U4" s="94">
        <f t="shared" si="1"/>
        <v>44439</v>
      </c>
      <c r="V4" s="94">
        <f t="shared" si="1"/>
        <v>44469</v>
      </c>
      <c r="W4" s="94">
        <f t="shared" si="1"/>
        <v>44500</v>
      </c>
      <c r="X4" s="94">
        <f t="shared" si="1"/>
        <v>44530</v>
      </c>
      <c r="Y4" s="94">
        <f t="shared" si="1"/>
        <v>44561</v>
      </c>
      <c r="Z4" s="94">
        <f t="shared" si="1"/>
        <v>44592</v>
      </c>
      <c r="AA4" s="94">
        <f t="shared" si="1"/>
        <v>44620</v>
      </c>
      <c r="AB4" s="94">
        <f t="shared" si="1"/>
        <v>44651</v>
      </c>
      <c r="AC4" s="94">
        <f t="shared" si="1"/>
        <v>44681</v>
      </c>
      <c r="AD4" s="94">
        <f t="shared" si="1"/>
        <v>44712</v>
      </c>
      <c r="AE4" s="94">
        <f t="shared" si="1"/>
        <v>44742</v>
      </c>
      <c r="AF4" s="94">
        <f t="shared" si="1"/>
        <v>44773</v>
      </c>
      <c r="AG4" s="94">
        <f t="shared" si="1"/>
        <v>44804</v>
      </c>
      <c r="AH4" s="94">
        <f t="shared" si="1"/>
        <v>44834</v>
      </c>
      <c r="AI4" s="94">
        <f t="shared" si="1"/>
        <v>44865</v>
      </c>
      <c r="AJ4" s="94">
        <f t="shared" si="1"/>
        <v>44895</v>
      </c>
      <c r="AK4" s="94">
        <f t="shared" si="1"/>
        <v>44926</v>
      </c>
      <c r="AL4" s="94">
        <f t="shared" si="1"/>
        <v>44957</v>
      </c>
      <c r="AM4" s="94">
        <f t="shared" si="1"/>
        <v>44985</v>
      </c>
      <c r="AN4" s="94">
        <f t="shared" si="1"/>
        <v>45016</v>
      </c>
    </row>
    <row r="5" spans="1:40" x14ac:dyDescent="0.25">
      <c r="A5" t="s">
        <v>107</v>
      </c>
      <c r="E5" s="101">
        <f>IF('Monthly Revenue'!E4&gt;Assumptions!$G$5,DAY('Monthly Revenue'!E4),0)</f>
        <v>0</v>
      </c>
      <c r="F5" s="101">
        <f>IF('Monthly Revenue'!F4&gt;Assumptions!$G$5,DAY('Monthly Revenue'!F4),0)</f>
        <v>0</v>
      </c>
      <c r="G5" s="101">
        <f>IF('Monthly Revenue'!G4&gt;Assumptions!$G$5,DAY('Monthly Revenue'!G4),0)</f>
        <v>0</v>
      </c>
      <c r="H5" s="101">
        <f>IF('Monthly Revenue'!H4&gt;Assumptions!$G$5,DAY('Monthly Revenue'!H4),0)</f>
        <v>31</v>
      </c>
      <c r="I5" s="101">
        <f>IF('Monthly Revenue'!I4&gt;Assumptions!$G$5,DAY('Monthly Revenue'!I4),0)</f>
        <v>31</v>
      </c>
      <c r="J5" s="101">
        <f>IF('Monthly Revenue'!J4&gt;Assumptions!$G$5,DAY('Monthly Revenue'!J4),0)</f>
        <v>30</v>
      </c>
      <c r="K5" s="101">
        <f>IF('Monthly Revenue'!K4&gt;Assumptions!$G$5,DAY('Monthly Revenue'!K4),0)</f>
        <v>31</v>
      </c>
      <c r="L5" s="101">
        <f>IF('Monthly Revenue'!L4&gt;Assumptions!$G$5,DAY('Monthly Revenue'!L4),0)</f>
        <v>30</v>
      </c>
      <c r="M5" s="101">
        <f>IF('Monthly Revenue'!M4&gt;Assumptions!$G$5,DAY('Monthly Revenue'!M4),0)</f>
        <v>31</v>
      </c>
      <c r="N5" s="101">
        <f>IF('Monthly Revenue'!N4&gt;Assumptions!$G$5,DAY('Monthly Revenue'!N4),0)</f>
        <v>31</v>
      </c>
      <c r="O5" s="101">
        <f>IF('Monthly Revenue'!O4&gt;Assumptions!$G$5,DAY('Monthly Revenue'!O4),0)</f>
        <v>28</v>
      </c>
      <c r="P5" s="101">
        <f>IF('Monthly Revenue'!P4&gt;Assumptions!$G$5,DAY('Monthly Revenue'!P4),0)</f>
        <v>31</v>
      </c>
      <c r="Q5" s="101">
        <f>IF('Monthly Revenue'!Q4&gt;Assumptions!$G$5,DAY('Monthly Revenue'!Q4),0)</f>
        <v>30</v>
      </c>
      <c r="R5" s="101">
        <f>IF('Monthly Revenue'!R4&gt;Assumptions!$G$5,DAY('Monthly Revenue'!R4),0)</f>
        <v>31</v>
      </c>
      <c r="S5" s="101">
        <f>IF('Monthly Revenue'!S4&gt;Assumptions!$G$5,DAY('Monthly Revenue'!S4),0)</f>
        <v>30</v>
      </c>
      <c r="T5" s="101">
        <f>IF('Monthly Revenue'!T4&gt;Assumptions!$G$5,DAY('Monthly Revenue'!T4),0)</f>
        <v>31</v>
      </c>
      <c r="U5" s="101">
        <f>IF('Monthly Revenue'!U4&gt;Assumptions!$G$5,DAY('Monthly Revenue'!U4),0)</f>
        <v>31</v>
      </c>
      <c r="V5" s="101">
        <f>IF('Monthly Revenue'!V4&gt;Assumptions!$G$5,DAY('Monthly Revenue'!V4),0)</f>
        <v>30</v>
      </c>
      <c r="W5" s="101">
        <f>IF('Monthly Revenue'!W4&gt;Assumptions!$G$5,DAY('Monthly Revenue'!W4),0)</f>
        <v>31</v>
      </c>
      <c r="X5" s="101">
        <f>IF('Monthly Revenue'!X4&gt;Assumptions!$G$5,DAY('Monthly Revenue'!X4),0)</f>
        <v>30</v>
      </c>
      <c r="Y5" s="101">
        <f>IF('Monthly Revenue'!Y4&gt;Assumptions!$G$5,DAY('Monthly Revenue'!Y4),0)</f>
        <v>31</v>
      </c>
      <c r="Z5" s="101">
        <f>IF('Monthly Revenue'!Z4&gt;Assumptions!$G$5,DAY('Monthly Revenue'!Z4),0)</f>
        <v>31</v>
      </c>
      <c r="AA5" s="101">
        <f>IF('Monthly Revenue'!AA4&gt;Assumptions!$G$5,DAY('Monthly Revenue'!AA4),0)</f>
        <v>28</v>
      </c>
      <c r="AB5" s="101">
        <f>IF('Monthly Revenue'!AB4&gt;Assumptions!$G$5,DAY('Monthly Revenue'!AB4),0)</f>
        <v>31</v>
      </c>
      <c r="AC5" s="101">
        <f>IF('Monthly Revenue'!AC4&gt;Assumptions!$G$5,DAY('Monthly Revenue'!AC4),0)</f>
        <v>30</v>
      </c>
      <c r="AD5" s="101">
        <f>IF('Monthly Revenue'!AD4&gt;Assumptions!$G$5,DAY('Monthly Revenue'!AD4),0)</f>
        <v>31</v>
      </c>
      <c r="AE5" s="101">
        <f>IF('Monthly Revenue'!AE4&gt;Assumptions!$G$5,DAY('Monthly Revenue'!AE4),0)</f>
        <v>30</v>
      </c>
      <c r="AF5" s="101">
        <f>IF('Monthly Revenue'!AF4&gt;Assumptions!$G$5,DAY('Monthly Revenue'!AF4),0)</f>
        <v>31</v>
      </c>
      <c r="AG5" s="101">
        <f>IF('Monthly Revenue'!AG4&gt;Assumptions!$G$5,DAY('Monthly Revenue'!AG4),0)</f>
        <v>31</v>
      </c>
      <c r="AH5" s="101">
        <f>IF('Monthly Revenue'!AH4&gt;Assumptions!$G$5,DAY('Monthly Revenue'!AH4),0)</f>
        <v>30</v>
      </c>
      <c r="AI5" s="101">
        <f>IF('Monthly Revenue'!AI4&gt;Assumptions!$G$5,DAY('Monthly Revenue'!AI4),0)</f>
        <v>31</v>
      </c>
      <c r="AJ5" s="101">
        <f>IF('Monthly Revenue'!AJ4&gt;Assumptions!$G$5,DAY('Monthly Revenue'!AJ4),0)</f>
        <v>30</v>
      </c>
      <c r="AK5" s="101">
        <f>IF('Monthly Revenue'!AK4&gt;Assumptions!$G$5,DAY('Monthly Revenue'!AK4),0)</f>
        <v>31</v>
      </c>
      <c r="AL5" s="101">
        <f>IF('Monthly Revenue'!AL4&gt;Assumptions!$G$5,DAY('Monthly Revenue'!AL4),0)</f>
        <v>31</v>
      </c>
      <c r="AM5" s="101">
        <f>IF('Monthly Revenue'!AM4&gt;Assumptions!$G$5,DAY('Monthly Revenue'!AM4),0)</f>
        <v>28</v>
      </c>
      <c r="AN5" s="101">
        <f>IF('Monthly Revenue'!AN4&gt;Assumptions!$G$5,DAY('Monthly Revenue'!AN4),0)</f>
        <v>31</v>
      </c>
    </row>
    <row r="6" spans="1:40" x14ac:dyDescent="0.25">
      <c r="A6" t="s">
        <v>109</v>
      </c>
      <c r="E6" s="77">
        <f>IF(E5&gt;0,NETWORKDAYS(D4+1,E4),0)</f>
        <v>0</v>
      </c>
      <c r="F6" s="77">
        <f t="shared" ref="F6:AN6" si="2">IF(F5&gt;0,NETWORKDAYS(E4+1,F4),0)</f>
        <v>0</v>
      </c>
      <c r="G6" s="77">
        <f t="shared" si="2"/>
        <v>0</v>
      </c>
      <c r="H6" s="77">
        <f t="shared" si="2"/>
        <v>23</v>
      </c>
      <c r="I6" s="77">
        <f t="shared" si="2"/>
        <v>21</v>
      </c>
      <c r="J6" s="77">
        <f t="shared" si="2"/>
        <v>22</v>
      </c>
      <c r="K6" s="77">
        <f t="shared" si="2"/>
        <v>22</v>
      </c>
      <c r="L6" s="77">
        <f t="shared" si="2"/>
        <v>21</v>
      </c>
      <c r="M6" s="77">
        <f t="shared" si="2"/>
        <v>23</v>
      </c>
      <c r="N6" s="77">
        <f t="shared" si="2"/>
        <v>21</v>
      </c>
      <c r="O6" s="77">
        <f t="shared" si="2"/>
        <v>20</v>
      </c>
      <c r="P6" s="77">
        <f t="shared" si="2"/>
        <v>23</v>
      </c>
      <c r="Q6" s="77">
        <f t="shared" si="2"/>
        <v>22</v>
      </c>
      <c r="R6" s="77">
        <f t="shared" si="2"/>
        <v>21</v>
      </c>
      <c r="S6" s="77">
        <f t="shared" si="2"/>
        <v>22</v>
      </c>
      <c r="T6" s="77">
        <f t="shared" si="2"/>
        <v>22</v>
      </c>
      <c r="U6" s="77">
        <f t="shared" si="2"/>
        <v>22</v>
      </c>
      <c r="V6" s="77">
        <f t="shared" si="2"/>
        <v>22</v>
      </c>
      <c r="W6" s="77">
        <f t="shared" si="2"/>
        <v>21</v>
      </c>
      <c r="X6" s="77">
        <f t="shared" si="2"/>
        <v>22</v>
      </c>
      <c r="Y6" s="77">
        <f t="shared" si="2"/>
        <v>23</v>
      </c>
      <c r="Z6" s="77">
        <f t="shared" si="2"/>
        <v>21</v>
      </c>
      <c r="AA6" s="77">
        <f t="shared" si="2"/>
        <v>20</v>
      </c>
      <c r="AB6" s="77">
        <f t="shared" si="2"/>
        <v>23</v>
      </c>
      <c r="AC6" s="77">
        <f t="shared" si="2"/>
        <v>21</v>
      </c>
      <c r="AD6" s="77">
        <f t="shared" si="2"/>
        <v>22</v>
      </c>
      <c r="AE6" s="77">
        <f t="shared" si="2"/>
        <v>22</v>
      </c>
      <c r="AF6" s="77">
        <f t="shared" si="2"/>
        <v>21</v>
      </c>
      <c r="AG6" s="77">
        <f t="shared" si="2"/>
        <v>23</v>
      </c>
      <c r="AH6" s="77">
        <f t="shared" si="2"/>
        <v>22</v>
      </c>
      <c r="AI6" s="77">
        <f t="shared" si="2"/>
        <v>21</v>
      </c>
      <c r="AJ6" s="77">
        <f t="shared" si="2"/>
        <v>22</v>
      </c>
      <c r="AK6" s="77">
        <f t="shared" si="2"/>
        <v>22</v>
      </c>
      <c r="AL6" s="77">
        <f t="shared" si="2"/>
        <v>22</v>
      </c>
      <c r="AM6" s="77">
        <f t="shared" si="2"/>
        <v>20</v>
      </c>
      <c r="AN6" s="77">
        <f t="shared" si="2"/>
        <v>23</v>
      </c>
    </row>
    <row r="7" spans="1:40" x14ac:dyDescent="0.25">
      <c r="A7" t="s">
        <v>108</v>
      </c>
      <c r="E7" s="77">
        <f>E5-E6</f>
        <v>0</v>
      </c>
      <c r="F7" s="77">
        <f t="shared" ref="F7:AN7" si="3">F5-F6</f>
        <v>0</v>
      </c>
      <c r="G7" s="77">
        <f t="shared" si="3"/>
        <v>0</v>
      </c>
      <c r="H7" s="77">
        <f t="shared" si="3"/>
        <v>8</v>
      </c>
      <c r="I7" s="77">
        <f t="shared" si="3"/>
        <v>10</v>
      </c>
      <c r="J7" s="77">
        <f t="shared" si="3"/>
        <v>8</v>
      </c>
      <c r="K7" s="77">
        <f t="shared" si="3"/>
        <v>9</v>
      </c>
      <c r="L7" s="77">
        <f t="shared" si="3"/>
        <v>9</v>
      </c>
      <c r="M7" s="77">
        <f t="shared" si="3"/>
        <v>8</v>
      </c>
      <c r="N7" s="77">
        <f t="shared" si="3"/>
        <v>10</v>
      </c>
      <c r="O7" s="77">
        <f t="shared" si="3"/>
        <v>8</v>
      </c>
      <c r="P7" s="77">
        <f t="shared" si="3"/>
        <v>8</v>
      </c>
      <c r="Q7" s="77">
        <f t="shared" si="3"/>
        <v>8</v>
      </c>
      <c r="R7" s="77">
        <f t="shared" si="3"/>
        <v>10</v>
      </c>
      <c r="S7" s="77">
        <f t="shared" si="3"/>
        <v>8</v>
      </c>
      <c r="T7" s="77">
        <f t="shared" si="3"/>
        <v>9</v>
      </c>
      <c r="U7" s="77">
        <f t="shared" si="3"/>
        <v>9</v>
      </c>
      <c r="V7" s="77">
        <f t="shared" si="3"/>
        <v>8</v>
      </c>
      <c r="W7" s="77">
        <f t="shared" si="3"/>
        <v>10</v>
      </c>
      <c r="X7" s="77">
        <f t="shared" si="3"/>
        <v>8</v>
      </c>
      <c r="Y7" s="77">
        <f t="shared" si="3"/>
        <v>8</v>
      </c>
      <c r="Z7" s="77">
        <f t="shared" si="3"/>
        <v>10</v>
      </c>
      <c r="AA7" s="77">
        <f t="shared" si="3"/>
        <v>8</v>
      </c>
      <c r="AB7" s="77">
        <f t="shared" si="3"/>
        <v>8</v>
      </c>
      <c r="AC7" s="77">
        <f t="shared" si="3"/>
        <v>9</v>
      </c>
      <c r="AD7" s="77">
        <f t="shared" si="3"/>
        <v>9</v>
      </c>
      <c r="AE7" s="77">
        <f t="shared" si="3"/>
        <v>8</v>
      </c>
      <c r="AF7" s="77">
        <f t="shared" si="3"/>
        <v>10</v>
      </c>
      <c r="AG7" s="77">
        <f t="shared" si="3"/>
        <v>8</v>
      </c>
      <c r="AH7" s="77">
        <f t="shared" si="3"/>
        <v>8</v>
      </c>
      <c r="AI7" s="77">
        <f t="shared" si="3"/>
        <v>10</v>
      </c>
      <c r="AJ7" s="77">
        <f t="shared" si="3"/>
        <v>8</v>
      </c>
      <c r="AK7" s="77">
        <f t="shared" si="3"/>
        <v>9</v>
      </c>
      <c r="AL7" s="77">
        <f t="shared" si="3"/>
        <v>9</v>
      </c>
      <c r="AM7" s="77">
        <f t="shared" si="3"/>
        <v>8</v>
      </c>
      <c r="AN7" s="77">
        <f t="shared" si="3"/>
        <v>8</v>
      </c>
    </row>
    <row r="9" spans="1:40" x14ac:dyDescent="0.25">
      <c r="A9" s="7" t="s">
        <v>111</v>
      </c>
    </row>
    <row r="10" spans="1:40" x14ac:dyDescent="0.25">
      <c r="A10" s="7" t="s">
        <v>2</v>
      </c>
    </row>
    <row r="11" spans="1:40" x14ac:dyDescent="0.25">
      <c r="A11" s="100" t="s">
        <v>4</v>
      </c>
      <c r="E11" s="77">
        <f>IF(E$6&gt;0,MIN(MAX(Assumptions!$B$19*Assumptions!$B$18,'Monthly Revenue'!D11*(1+Assumptions!$B$20)),Assumptions!$B$21),0)</f>
        <v>0</v>
      </c>
      <c r="F11" s="77">
        <f>IF(F$6&gt;0,MIN(MAX(Assumptions!$B$19*Assumptions!$B$18,'Monthly Revenue'!E11*(1+Assumptions!$B$20)),Assumptions!$B$21),0)</f>
        <v>0</v>
      </c>
      <c r="G11" s="77">
        <f>IF(G$6&gt;0,MIN(MAX(Assumptions!$B$19*Assumptions!$B$18,'Monthly Revenue'!F11*(1+Assumptions!$B$20)),Assumptions!$B$21),0)</f>
        <v>0</v>
      </c>
      <c r="H11" s="77">
        <f>IF(H$6&gt;0,MIN(MAX(Assumptions!$B$19*Assumptions!$B$18,'Monthly Revenue'!G11*(1+Assumptions!$B$20)),Assumptions!$B$21),0)</f>
        <v>20</v>
      </c>
      <c r="I11" s="77">
        <f>IF(I$6&gt;0,MIN(MAX(Assumptions!$B$19*Assumptions!$B$18,'Monthly Revenue'!H11*(1+Assumptions!$B$20)),Assumptions!$B$21),0)</f>
        <v>20.399999999999999</v>
      </c>
      <c r="J11" s="77">
        <f>IF(J$6&gt;0,MIN(MAX(Assumptions!$B$19*Assumptions!$B$18,'Monthly Revenue'!I11*(1+Assumptions!$B$20)),Assumptions!$B$21),0)</f>
        <v>20.808</v>
      </c>
      <c r="K11" s="77">
        <f>IF(K$6&gt;0,MIN(MAX(Assumptions!$B$19*Assumptions!$B$18,'Monthly Revenue'!J11*(1+Assumptions!$B$20)),Assumptions!$B$21),0)</f>
        <v>21.224160000000001</v>
      </c>
      <c r="L11" s="77">
        <f>IF(L$6&gt;0,MIN(MAX(Assumptions!$B$19*Assumptions!$B$18,'Monthly Revenue'!K11*(1+Assumptions!$B$20)),Assumptions!$B$21),0)</f>
        <v>21.648643200000002</v>
      </c>
      <c r="M11" s="77">
        <f>IF(M$6&gt;0,MIN(MAX(Assumptions!$B$19*Assumptions!$B$18,'Monthly Revenue'!L11*(1+Assumptions!$B$20)),Assumptions!$B$21),0)</f>
        <v>22.081616064000002</v>
      </c>
      <c r="N11" s="77">
        <f>IF(N$6&gt;0,MIN(MAX(Assumptions!$B$19*Assumptions!$B$18,'Monthly Revenue'!M11*(1+Assumptions!$B$20)),Assumptions!$B$21),0)</f>
        <v>22.523248385280002</v>
      </c>
      <c r="O11" s="77">
        <f>IF(O$6&gt;0,MIN(MAX(Assumptions!$B$19*Assumptions!$B$18,'Monthly Revenue'!N11*(1+Assumptions!$B$20)),Assumptions!$B$21),0)</f>
        <v>22.973713352985602</v>
      </c>
      <c r="P11" s="77">
        <f>IF(P$6&gt;0,MIN(MAX(Assumptions!$B$19*Assumptions!$B$18,'Monthly Revenue'!O11*(1+Assumptions!$B$20)),Assumptions!$B$21),0)</f>
        <v>23.433187620045313</v>
      </c>
      <c r="Q11" s="77">
        <f>IF(Q$6&gt;0,MIN(MAX(Assumptions!$B$19*Assumptions!$B$18,'Monthly Revenue'!P11*(1+Assumptions!$B$20)),Assumptions!$B$21),0)</f>
        <v>23.90185137244622</v>
      </c>
      <c r="R11" s="77">
        <f>IF(R$6&gt;0,MIN(MAX(Assumptions!$B$19*Assumptions!$B$18,'Monthly Revenue'!Q11*(1+Assumptions!$B$20)),Assumptions!$B$21),0)</f>
        <v>24.379888399895144</v>
      </c>
      <c r="S11" s="77">
        <f>IF(S$6&gt;0,MIN(MAX(Assumptions!$B$19*Assumptions!$B$18,'Monthly Revenue'!R11*(1+Assumptions!$B$20)),Assumptions!$B$21),0)</f>
        <v>24.867486167893048</v>
      </c>
      <c r="T11" s="77">
        <f>IF(T$6&gt;0,MIN(MAX(Assumptions!$B$19*Assumptions!$B$18,'Monthly Revenue'!S11*(1+Assumptions!$B$20)),Assumptions!$B$21),0)</f>
        <v>25.364835891250909</v>
      </c>
      <c r="U11" s="77">
        <f>IF(U$6&gt;0,MIN(MAX(Assumptions!$B$19*Assumptions!$B$18,'Monthly Revenue'!T11*(1+Assumptions!$B$20)),Assumptions!$B$21),0)</f>
        <v>25.872132609075926</v>
      </c>
      <c r="V11" s="77">
        <f>IF(V$6&gt;0,MIN(MAX(Assumptions!$B$19*Assumptions!$B$18,'Monthly Revenue'!U11*(1+Assumptions!$B$20)),Assumptions!$B$21),0)</f>
        <v>26.389575261257445</v>
      </c>
      <c r="W11" s="77">
        <f>IF(W$6&gt;0,MIN(MAX(Assumptions!$B$19*Assumptions!$B$18,'Monthly Revenue'!V11*(1+Assumptions!$B$20)),Assumptions!$B$21),0)</f>
        <v>26.917366766482594</v>
      </c>
      <c r="X11" s="77">
        <f>IF(X$6&gt;0,MIN(MAX(Assumptions!$B$19*Assumptions!$B$18,'Monthly Revenue'!W11*(1+Assumptions!$B$20)),Assumptions!$B$21),0)</f>
        <v>27.455714101812248</v>
      </c>
      <c r="Y11" s="77">
        <f>IF(Y$6&gt;0,MIN(MAX(Assumptions!$B$19*Assumptions!$B$18,'Monthly Revenue'!X11*(1+Assumptions!$B$20)),Assumptions!$B$21),0)</f>
        <v>28.004828383848494</v>
      </c>
      <c r="Z11" s="77">
        <f>IF(Z$6&gt;0,MIN(MAX(Assumptions!$B$19*Assumptions!$B$18,'Monthly Revenue'!Y11*(1+Assumptions!$B$20)),Assumptions!$B$21),0)</f>
        <v>28.564924951525466</v>
      </c>
      <c r="AA11" s="77">
        <f>IF(AA$6&gt;0,MIN(MAX(Assumptions!$B$19*Assumptions!$B$18,'Monthly Revenue'!Z11*(1+Assumptions!$B$20)),Assumptions!$B$21),0)</f>
        <v>29.136223450555974</v>
      </c>
      <c r="AB11" s="77">
        <f>IF(AB$6&gt;0,MIN(MAX(Assumptions!$B$19*Assumptions!$B$18,'Monthly Revenue'!AA11*(1+Assumptions!$B$20)),Assumptions!$B$21),0)</f>
        <v>29.718947919567093</v>
      </c>
      <c r="AC11" s="77">
        <f>IF(AC$6&gt;0,MIN(MAX(Assumptions!$B$19*Assumptions!$B$18,'Monthly Revenue'!AB11*(1+Assumptions!$B$20)),Assumptions!$B$21),0)</f>
        <v>30.313326877958435</v>
      </c>
      <c r="AD11" s="77">
        <f>IF(AD$6&gt;0,MIN(MAX(Assumptions!$B$19*Assumptions!$B$18,'Monthly Revenue'!AC11*(1+Assumptions!$B$20)),Assumptions!$B$21),0)</f>
        <v>30.919593415517603</v>
      </c>
      <c r="AE11" s="77">
        <f>IF(AE$6&gt;0,MIN(MAX(Assumptions!$B$19*Assumptions!$B$18,'Monthly Revenue'!AD11*(1+Assumptions!$B$20)),Assumptions!$B$21),0)</f>
        <v>31.537985283827958</v>
      </c>
      <c r="AF11" s="77">
        <f>IF(AF$6&gt;0,MIN(MAX(Assumptions!$B$19*Assumptions!$B$18,'Monthly Revenue'!AE11*(1+Assumptions!$B$20)),Assumptions!$B$21),0)</f>
        <v>32.168744989504518</v>
      </c>
      <c r="AG11" s="77">
        <f>IF(AG$6&gt;0,MIN(MAX(Assumptions!$B$19*Assumptions!$B$18,'Monthly Revenue'!AF11*(1+Assumptions!$B$20)),Assumptions!$B$21),0)</f>
        <v>32.812119889294607</v>
      </c>
      <c r="AH11" s="77">
        <f>IF(AH$6&gt;0,MIN(MAX(Assumptions!$B$19*Assumptions!$B$18,'Monthly Revenue'!AG11*(1+Assumptions!$B$20)),Assumptions!$B$21),0)</f>
        <v>33.468362287080502</v>
      </c>
      <c r="AI11" s="77">
        <f>IF(AI$6&gt;0,MIN(MAX(Assumptions!$B$19*Assumptions!$B$18,'Monthly Revenue'!AH11*(1+Assumptions!$B$20)),Assumptions!$B$21),0)</f>
        <v>34.137729532822114</v>
      </c>
      <c r="AJ11" s="77">
        <f>IF(AJ$6&gt;0,MIN(MAX(Assumptions!$B$19*Assumptions!$B$18,'Monthly Revenue'!AI11*(1+Assumptions!$B$20)),Assumptions!$B$21),0)</f>
        <v>34.820484123478558</v>
      </c>
      <c r="AK11" s="77">
        <f>IF(AK$6&gt;0,MIN(MAX(Assumptions!$B$19*Assumptions!$B$18,'Monthly Revenue'!AJ11*(1+Assumptions!$B$20)),Assumptions!$B$21),0)</f>
        <v>35.516893805948129</v>
      </c>
      <c r="AL11" s="77">
        <f>IF(AL$6&gt;0,MIN(MAX(Assumptions!$B$19*Assumptions!$B$18,'Monthly Revenue'!AK11*(1+Assumptions!$B$20)),Assumptions!$B$21),0)</f>
        <v>36.227231682067092</v>
      </c>
      <c r="AM11" s="77">
        <f>IF(AM$6&gt;0,MIN(MAX(Assumptions!$B$19*Assumptions!$B$18,'Monthly Revenue'!AL11*(1+Assumptions!$B$20)),Assumptions!$B$21),0)</f>
        <v>36.951776315708436</v>
      </c>
      <c r="AN11" s="77">
        <f>IF(AN$6&gt;0,MIN(MAX(Assumptions!$B$19*Assumptions!$B$18,'Monthly Revenue'!AM11*(1+Assumptions!$B$20)),Assumptions!$B$21),0)</f>
        <v>37.690811842022605</v>
      </c>
    </row>
    <row r="12" spans="1:40" x14ac:dyDescent="0.25">
      <c r="A12" t="s">
        <v>16</v>
      </c>
      <c r="E12" s="77">
        <f>IF(E$6&gt;0,MIN(MAX(Assumptions!$F$19*Assumptions!$F$18,'Monthly Revenue'!D12*(1+Assumptions!$F$20)),Assumptions!$F$21),0)</f>
        <v>0</v>
      </c>
      <c r="F12" s="77">
        <f>IF(F$6&gt;0,MIN(MAX(Assumptions!$F$19*Assumptions!$F$18,'Monthly Revenue'!E12*(1+Assumptions!$F$20)),Assumptions!$F$21),0)</f>
        <v>0</v>
      </c>
      <c r="G12" s="77">
        <f>IF(G$6&gt;0,MIN(MAX(Assumptions!$F$19*Assumptions!$F$18,'Monthly Revenue'!F12*(1+Assumptions!$F$20)),Assumptions!$F$21),0)</f>
        <v>0</v>
      </c>
      <c r="H12" s="77">
        <f>IF(H$6&gt;0,MIN(MAX(Assumptions!$F$19*Assumptions!$F$18,'Monthly Revenue'!G12*(1+Assumptions!$F$20)),Assumptions!$F$21),0)</f>
        <v>26</v>
      </c>
      <c r="I12" s="77">
        <f>IF(I$6&gt;0,MIN(MAX(Assumptions!$F$19*Assumptions!$F$18,'Monthly Revenue'!H12*(1+Assumptions!$F$20)),Assumptions!$F$21),0)</f>
        <v>26.52</v>
      </c>
      <c r="J12" s="77">
        <f>IF(J$6&gt;0,MIN(MAX(Assumptions!$F$19*Assumptions!$F$18,'Monthly Revenue'!I12*(1+Assumptions!$F$20)),Assumptions!$F$21),0)</f>
        <v>27.0504</v>
      </c>
      <c r="K12" s="77">
        <f>IF(K$6&gt;0,MIN(MAX(Assumptions!$F$19*Assumptions!$F$18,'Monthly Revenue'!J12*(1+Assumptions!$F$20)),Assumptions!$F$21),0)</f>
        <v>27.591408000000001</v>
      </c>
      <c r="L12" s="77">
        <f>IF(L$6&gt;0,MIN(MAX(Assumptions!$F$19*Assumptions!$F$18,'Monthly Revenue'!K12*(1+Assumptions!$F$20)),Assumptions!$F$21),0)</f>
        <v>28.143236160000001</v>
      </c>
      <c r="M12" s="77">
        <f>IF(M$6&gt;0,MIN(MAX(Assumptions!$F$19*Assumptions!$F$18,'Monthly Revenue'!L12*(1+Assumptions!$F$20)),Assumptions!$F$21),0)</f>
        <v>28.706100883200001</v>
      </c>
      <c r="N12" s="77">
        <f>IF(N$6&gt;0,MIN(MAX(Assumptions!$F$19*Assumptions!$F$18,'Monthly Revenue'!M12*(1+Assumptions!$F$20)),Assumptions!$F$21),0)</f>
        <v>29.280222900864</v>
      </c>
      <c r="O12" s="77">
        <f>IF(O$6&gt;0,MIN(MAX(Assumptions!$F$19*Assumptions!$F$18,'Monthly Revenue'!N12*(1+Assumptions!$F$20)),Assumptions!$F$21),0)</f>
        <v>29.86582735888128</v>
      </c>
      <c r="P12" s="77">
        <f>IF(P$6&gt;0,MIN(MAX(Assumptions!$F$19*Assumptions!$F$18,'Monthly Revenue'!O12*(1+Assumptions!$F$20)),Assumptions!$F$21),0)</f>
        <v>30.463143906058907</v>
      </c>
      <c r="Q12" s="77">
        <f>IF(Q$6&gt;0,MIN(MAX(Assumptions!$F$19*Assumptions!$F$18,'Monthly Revenue'!P12*(1+Assumptions!$F$20)),Assumptions!$F$21),0)</f>
        <v>31.072406784180085</v>
      </c>
      <c r="R12" s="77">
        <f>IF(R$6&gt;0,MIN(MAX(Assumptions!$F$19*Assumptions!$F$18,'Monthly Revenue'!Q12*(1+Assumptions!$F$20)),Assumptions!$F$21),0)</f>
        <v>31.693854919863689</v>
      </c>
      <c r="S12" s="77">
        <f>IF(S$6&gt;0,MIN(MAX(Assumptions!$F$19*Assumptions!$F$18,'Monthly Revenue'!R12*(1+Assumptions!$F$20)),Assumptions!$F$21),0)</f>
        <v>32.32773201826096</v>
      </c>
      <c r="T12" s="77">
        <f>IF(T$6&gt;0,MIN(MAX(Assumptions!$F$19*Assumptions!$F$18,'Monthly Revenue'!S12*(1+Assumptions!$F$20)),Assumptions!$F$21),0)</f>
        <v>32.974286658626177</v>
      </c>
      <c r="U12" s="77">
        <f>IF(U$6&gt;0,MIN(MAX(Assumptions!$F$19*Assumptions!$F$18,'Monthly Revenue'!T12*(1+Assumptions!$F$20)),Assumptions!$F$21),0)</f>
        <v>33.633772391798701</v>
      </c>
      <c r="V12" s="77">
        <f>IF(V$6&gt;0,MIN(MAX(Assumptions!$F$19*Assumptions!$F$18,'Monthly Revenue'!U12*(1+Assumptions!$F$20)),Assumptions!$F$21),0)</f>
        <v>34.306447839634679</v>
      </c>
      <c r="W12" s="77">
        <f>IF(W$6&gt;0,MIN(MAX(Assumptions!$F$19*Assumptions!$F$18,'Monthly Revenue'!V12*(1+Assumptions!$F$20)),Assumptions!$F$21),0)</f>
        <v>34.992576796427372</v>
      </c>
      <c r="X12" s="77">
        <f>IF(X$6&gt;0,MIN(MAX(Assumptions!$F$19*Assumptions!$F$18,'Monthly Revenue'!W12*(1+Assumptions!$F$20)),Assumptions!$F$21),0)</f>
        <v>35.692428332355917</v>
      </c>
      <c r="Y12" s="77">
        <f>IF(Y$6&gt;0,MIN(MAX(Assumptions!$F$19*Assumptions!$F$18,'Monthly Revenue'!X12*(1+Assumptions!$F$20)),Assumptions!$F$21),0)</f>
        <v>36.406276899003032</v>
      </c>
      <c r="Z12" s="77">
        <f>IF(Z$6&gt;0,MIN(MAX(Assumptions!$F$19*Assumptions!$F$18,'Monthly Revenue'!Y12*(1+Assumptions!$F$20)),Assumptions!$F$21),0)</f>
        <v>37.134402436983095</v>
      </c>
      <c r="AA12" s="77">
        <f>IF(AA$6&gt;0,MIN(MAX(Assumptions!$F$19*Assumptions!$F$18,'Monthly Revenue'!Z12*(1+Assumptions!$F$20)),Assumptions!$F$21),0)</f>
        <v>37.877090485722761</v>
      </c>
      <c r="AB12" s="108">
        <f>IF(AB$6&gt;0,MIN(MAX(Assumptions!$F$19*Assumptions!$F$18,'Monthly Revenue'!AA12*(1+Assumptions!$F$20)),Assumptions!$F$21),0)</f>
        <v>38.634632295437214</v>
      </c>
      <c r="AC12" s="77">
        <f>IF(AC$6&gt;0,MIN(MAX(Assumptions!$F$19*Assumptions!$F$18,'Monthly Revenue'!AB12*(1+Assumptions!$F$20)),Assumptions!$F$21),0)</f>
        <v>39.407324941345962</v>
      </c>
      <c r="AD12" s="77">
        <f>IF(AD$6&gt;0,MIN(MAX(Assumptions!$F$19*Assumptions!$F$18,'Monthly Revenue'!AC12*(1+Assumptions!$F$20)),Assumptions!$F$21),0)</f>
        <v>40.195471440172881</v>
      </c>
      <c r="AE12" s="77">
        <f>IF(AE$6&gt;0,MIN(MAX(Assumptions!$F$19*Assumptions!$F$18,'Monthly Revenue'!AD12*(1+Assumptions!$F$20)),Assumptions!$F$21),0)</f>
        <v>40.999380868976338</v>
      </c>
      <c r="AF12" s="77">
        <f>IF(AF$6&gt;0,MIN(MAX(Assumptions!$F$19*Assumptions!$F$18,'Monthly Revenue'!AE12*(1+Assumptions!$F$20)),Assumptions!$F$21),0)</f>
        <v>41.819368486355863</v>
      </c>
      <c r="AG12" s="77">
        <f>IF(AG$6&gt;0,MIN(MAX(Assumptions!$F$19*Assumptions!$F$18,'Monthly Revenue'!AF12*(1+Assumptions!$F$20)),Assumptions!$F$21),0)</f>
        <v>42.655755856082983</v>
      </c>
      <c r="AH12" s="77">
        <f>IF(AH$6&gt;0,MIN(MAX(Assumptions!$F$19*Assumptions!$F$18,'Monthly Revenue'!AG12*(1+Assumptions!$F$20)),Assumptions!$F$21),0)</f>
        <v>43.508870973204644</v>
      </c>
      <c r="AI12" s="77">
        <f>IF(AI$6&gt;0,MIN(MAX(Assumptions!$F$19*Assumptions!$F$18,'Monthly Revenue'!AH12*(1+Assumptions!$F$20)),Assumptions!$F$21),0)</f>
        <v>44.379048392668736</v>
      </c>
      <c r="AJ12" s="77">
        <f>IF(AJ$6&gt;0,MIN(MAX(Assumptions!$F$19*Assumptions!$F$18,'Monthly Revenue'!AI12*(1+Assumptions!$F$20)),Assumptions!$F$21),0)</f>
        <v>45.26662936052211</v>
      </c>
      <c r="AK12" s="77">
        <f>IF(AK$6&gt;0,MIN(MAX(Assumptions!$F$19*Assumptions!$F$18,'Monthly Revenue'!AJ12*(1+Assumptions!$F$20)),Assumptions!$F$21),0)</f>
        <v>46.171961947732555</v>
      </c>
      <c r="AL12" s="77">
        <f>IF(AL$6&gt;0,MIN(MAX(Assumptions!$F$19*Assumptions!$F$18,'Monthly Revenue'!AK12*(1+Assumptions!$F$20)),Assumptions!$F$21),0)</f>
        <v>47.095401186687205</v>
      </c>
      <c r="AM12" s="77">
        <f>IF(AM$6&gt;0,MIN(MAX(Assumptions!$F$19*Assumptions!$F$18,'Monthly Revenue'!AL12*(1+Assumptions!$F$20)),Assumptions!$F$21),0)</f>
        <v>48.03730921042095</v>
      </c>
      <c r="AN12" s="77">
        <f>IF(AN$6&gt;0,MIN(MAX(Assumptions!$F$19*Assumptions!$F$18,'Monthly Revenue'!AM12*(1+Assumptions!$F$20)),Assumptions!$F$21),0)</f>
        <v>48.998055394629368</v>
      </c>
    </row>
    <row r="14" spans="1:40" x14ac:dyDescent="0.25">
      <c r="A14" s="7" t="s">
        <v>110</v>
      </c>
    </row>
    <row r="15" spans="1:40" x14ac:dyDescent="0.25">
      <c r="A15" t="s">
        <v>4</v>
      </c>
      <c r="E15" s="77">
        <f>IF(E$7&gt;0,MIN(MAX(Assumptions!$C$19*Assumptions!$C$18,'Monthly Revenue'!D15*(1+Assumptions!$C$20)),Assumptions!$C$21),0)</f>
        <v>0</v>
      </c>
      <c r="F15" s="77">
        <f>IF(F$7&gt;0,MIN(MAX(Assumptions!$C$19*Assumptions!$C$18,'Monthly Revenue'!E15*(1+Assumptions!$C$20)),Assumptions!$C$21),0)</f>
        <v>0</v>
      </c>
      <c r="G15" s="77">
        <f>IF(G$7&gt;0,MIN(MAX(Assumptions!$C$19*Assumptions!$C$18,'Monthly Revenue'!F15*(1+Assumptions!$C$20)),Assumptions!$C$21),0)</f>
        <v>0</v>
      </c>
      <c r="H15" s="77">
        <f>IF(H$7&gt;0,MIN(MAX(Assumptions!$C$19*Assumptions!$C$18,'Monthly Revenue'!G15*(1+Assumptions!$C$20)),Assumptions!$C$21),0)</f>
        <v>26</v>
      </c>
      <c r="I15" s="77">
        <f>IF(I$7&gt;0,MIN(MAX(Assumptions!$C$19*Assumptions!$C$18,'Monthly Revenue'!H15*(1+Assumptions!$C$20)),Assumptions!$C$21),0)</f>
        <v>27.04</v>
      </c>
      <c r="J15" s="77">
        <f>IF(J$7&gt;0,MIN(MAX(Assumptions!$C$19*Assumptions!$C$18,'Monthly Revenue'!I15*(1+Assumptions!$C$20)),Assumptions!$C$21),0)</f>
        <v>28.121600000000001</v>
      </c>
      <c r="K15" s="77">
        <f>IF(K$7&gt;0,MIN(MAX(Assumptions!$C$19*Assumptions!$C$18,'Monthly Revenue'!J15*(1+Assumptions!$C$20)),Assumptions!$C$21),0)</f>
        <v>29.246464000000003</v>
      </c>
      <c r="L15" s="77">
        <f>IF(L$7&gt;0,MIN(MAX(Assumptions!$C$19*Assumptions!$C$18,'Monthly Revenue'!K15*(1+Assumptions!$C$20)),Assumptions!$C$21),0)</f>
        <v>30.416322560000005</v>
      </c>
      <c r="M15" s="77">
        <f>IF(M$7&gt;0,MIN(MAX(Assumptions!$C$19*Assumptions!$C$18,'Monthly Revenue'!L15*(1+Assumptions!$C$20)),Assumptions!$C$21),0)</f>
        <v>31.632975462400005</v>
      </c>
      <c r="N15" s="77">
        <f>IF(N$7&gt;0,MIN(MAX(Assumptions!$C$19*Assumptions!$C$18,'Monthly Revenue'!M15*(1+Assumptions!$C$20)),Assumptions!$C$21),0)</f>
        <v>32.898294480896006</v>
      </c>
      <c r="O15" s="77">
        <f>IF(O$7&gt;0,MIN(MAX(Assumptions!$C$19*Assumptions!$C$18,'Monthly Revenue'!N15*(1+Assumptions!$C$20)),Assumptions!$C$21),0)</f>
        <v>34.214226260131845</v>
      </c>
      <c r="P15" s="77">
        <f>IF(P$7&gt;0,MIN(MAX(Assumptions!$C$19*Assumptions!$C$18,'Monthly Revenue'!O15*(1+Assumptions!$C$20)),Assumptions!$C$21),0)</f>
        <v>35.582795310537122</v>
      </c>
      <c r="Q15" s="77">
        <f>IF(Q$7&gt;0,MIN(MAX(Assumptions!$C$19*Assumptions!$C$18,'Monthly Revenue'!P15*(1+Assumptions!$C$20)),Assumptions!$C$21),0)</f>
        <v>37.00610712295861</v>
      </c>
      <c r="R15" s="77">
        <f>IF(R$7&gt;0,MIN(MAX(Assumptions!$C$19*Assumptions!$C$18,'Monthly Revenue'!Q15*(1+Assumptions!$C$20)),Assumptions!$C$21),0)</f>
        <v>38.48635140787696</v>
      </c>
      <c r="S15" s="77">
        <f>IF(S$7&gt;0,MIN(MAX(Assumptions!$C$19*Assumptions!$C$18,'Monthly Revenue'!R15*(1+Assumptions!$C$20)),Assumptions!$C$21),0)</f>
        <v>40.02580546419204</v>
      </c>
      <c r="T15" s="77">
        <f>IF(T$7&gt;0,MIN(MAX(Assumptions!$C$19*Assumptions!$C$18,'Monthly Revenue'!S15*(1+Assumptions!$C$20)),Assumptions!$C$21),0)</f>
        <v>41.626837682759721</v>
      </c>
      <c r="U15" s="77">
        <f>IF(U$7&gt;0,MIN(MAX(Assumptions!$C$19*Assumptions!$C$18,'Monthly Revenue'!T15*(1+Assumptions!$C$20)),Assumptions!$C$21),0)</f>
        <v>43.29191119007011</v>
      </c>
      <c r="V15" s="77">
        <f>IF(V$7&gt;0,MIN(MAX(Assumptions!$C$19*Assumptions!$C$18,'Monthly Revenue'!U15*(1+Assumptions!$C$20)),Assumptions!$C$21),0)</f>
        <v>45.023587637672918</v>
      </c>
      <c r="W15" s="77">
        <f>IF(W$7&gt;0,MIN(MAX(Assumptions!$C$19*Assumptions!$C$18,'Monthly Revenue'!V15*(1+Assumptions!$C$20)),Assumptions!$C$21),0)</f>
        <v>46.82453114317984</v>
      </c>
      <c r="X15" s="77">
        <f>IF(X$7&gt;0,MIN(MAX(Assumptions!$C$19*Assumptions!$C$18,'Monthly Revenue'!W15*(1+Assumptions!$C$20)),Assumptions!$C$21),0)</f>
        <v>48.697512388907036</v>
      </c>
      <c r="Y15" s="77">
        <f>IF(Y$7&gt;0,MIN(MAX(Assumptions!$C$19*Assumptions!$C$18,'Monthly Revenue'!X15*(1+Assumptions!$C$20)),Assumptions!$C$21),0)</f>
        <v>50.645412884463319</v>
      </c>
      <c r="Z15" s="77">
        <f>IF(Z$7&gt;0,MIN(MAX(Assumptions!$C$19*Assumptions!$C$18,'Monthly Revenue'!Y15*(1+Assumptions!$C$20)),Assumptions!$C$21),0)</f>
        <v>52.671229399841856</v>
      </c>
      <c r="AA15" s="77">
        <f>IF(AA$7&gt;0,MIN(MAX(Assumptions!$C$19*Assumptions!$C$18,'Monthly Revenue'!Z15*(1+Assumptions!$C$20)),Assumptions!$C$21),0)</f>
        <v>54.778078575835529</v>
      </c>
      <c r="AB15" s="77">
        <f>IF(AB$7&gt;0,MIN(MAX(Assumptions!$C$19*Assumptions!$C$18,'Monthly Revenue'!AA15*(1+Assumptions!$C$20)),Assumptions!$C$21),0)</f>
        <v>56.969201718868952</v>
      </c>
      <c r="AC15" s="77">
        <f>IF(AC$7&gt;0,MIN(MAX(Assumptions!$C$19*Assumptions!$C$18,'Monthly Revenue'!AB15*(1+Assumptions!$C$20)),Assumptions!$C$21),0)</f>
        <v>59.24796978762371</v>
      </c>
      <c r="AD15" s="77">
        <f>IF(AD$7&gt;0,MIN(MAX(Assumptions!$C$19*Assumptions!$C$18,'Monthly Revenue'!AC15*(1+Assumptions!$C$20)),Assumptions!$C$21),0)</f>
        <v>61.61788857912866</v>
      </c>
      <c r="AE15" s="77">
        <f>IF(AE$7&gt;0,MIN(MAX(Assumptions!$C$19*Assumptions!$C$18,'Monthly Revenue'!AD15*(1+Assumptions!$C$20)),Assumptions!$C$21),0)</f>
        <v>64.082604122293816</v>
      </c>
      <c r="AF15" s="77">
        <f>IF(AF$7&gt;0,MIN(MAX(Assumptions!$C$19*Assumptions!$C$18,'Monthly Revenue'!AE15*(1+Assumptions!$C$20)),Assumptions!$C$21),0)</f>
        <v>66.645908287185577</v>
      </c>
      <c r="AG15" s="77">
        <f>IF(AG$7&gt;0,MIN(MAX(Assumptions!$C$19*Assumptions!$C$18,'Monthly Revenue'!AF15*(1+Assumptions!$C$20)),Assumptions!$C$21),0)</f>
        <v>69.311744618673004</v>
      </c>
      <c r="AH15" s="77">
        <f>IF(AH$7&gt;0,MIN(MAX(Assumptions!$C$19*Assumptions!$C$18,'Monthly Revenue'!AG15*(1+Assumptions!$C$20)),Assumptions!$C$21),0)</f>
        <v>72.084214403419921</v>
      </c>
      <c r="AI15" s="77">
        <f>IF(AI$7&gt;0,MIN(MAX(Assumptions!$C$19*Assumptions!$C$18,'Monthly Revenue'!AH15*(1+Assumptions!$C$20)),Assumptions!$C$21),0)</f>
        <v>74.967582979556724</v>
      </c>
      <c r="AJ15" s="77">
        <f>IF(AJ$7&gt;0,MIN(MAX(Assumptions!$C$19*Assumptions!$C$18,'Monthly Revenue'!AI15*(1+Assumptions!$C$20)),Assumptions!$C$21),0)</f>
        <v>77.966286298738993</v>
      </c>
      <c r="AK15" s="77">
        <f>IF(AK$7&gt;0,MIN(MAX(Assumptions!$C$19*Assumptions!$C$18,'Monthly Revenue'!AJ15*(1+Assumptions!$C$20)),Assumptions!$C$21),0)</f>
        <v>80</v>
      </c>
      <c r="AL15" s="77">
        <f>IF(AL$7&gt;0,MIN(MAX(Assumptions!$C$19*Assumptions!$C$18,'Monthly Revenue'!AK15*(1+Assumptions!$C$20)),Assumptions!$C$21),0)</f>
        <v>80</v>
      </c>
      <c r="AM15" s="77">
        <f>IF(AM$7&gt;0,MIN(MAX(Assumptions!$C$19*Assumptions!$C$18,'Monthly Revenue'!AL15*(1+Assumptions!$C$20)),Assumptions!$C$21),0)</f>
        <v>80</v>
      </c>
      <c r="AN15" s="77">
        <f>IF(AN$7&gt;0,MIN(MAX(Assumptions!$C$19*Assumptions!$C$18,'Monthly Revenue'!AM15*(1+Assumptions!$C$20)),Assumptions!$C$21),0)</f>
        <v>80</v>
      </c>
    </row>
    <row r="16" spans="1:40" x14ac:dyDescent="0.25">
      <c r="A16" t="s">
        <v>16</v>
      </c>
      <c r="E16" s="77">
        <f>IF(E$7&gt;0,MIN(MAX(Assumptions!$G$19*Assumptions!$G$18,'Monthly Revenue'!D16*(1+Assumptions!$G$20)),Assumptions!$G$21),0)</f>
        <v>0</v>
      </c>
      <c r="F16" s="77">
        <f>IF(F$7&gt;0,MIN(MAX(Assumptions!$G$19*Assumptions!$G$18,'Monthly Revenue'!E16*(1+Assumptions!$G$20)),Assumptions!$G$21),0)</f>
        <v>0</v>
      </c>
      <c r="G16" s="77">
        <f>IF(G$7&gt;0,MIN(MAX(Assumptions!$G$19*Assumptions!$G$18,'Monthly Revenue'!F16*(1+Assumptions!$G$20)),Assumptions!$G$21),0)</f>
        <v>0</v>
      </c>
      <c r="H16" s="77">
        <f>IF(H$7&gt;0,MIN(MAX(Assumptions!$G$19*Assumptions!$G$18,'Monthly Revenue'!G16*(1+Assumptions!$G$20)),Assumptions!$G$21),0)</f>
        <v>30</v>
      </c>
      <c r="I16" s="77">
        <f>IF(I$7&gt;0,MIN(MAX(Assumptions!$G$19*Assumptions!$G$18,'Monthly Revenue'!H16*(1+Assumptions!$G$20)),Assumptions!$G$21),0)</f>
        <v>31.200000000000003</v>
      </c>
      <c r="J16" s="77">
        <f>IF(J$7&gt;0,MIN(MAX(Assumptions!$G$19*Assumptions!$G$18,'Monthly Revenue'!I16*(1+Assumptions!$G$20)),Assumptions!$G$21),0)</f>
        <v>32.448000000000008</v>
      </c>
      <c r="K16" s="77">
        <f>IF(K$7&gt;0,MIN(MAX(Assumptions!$G$19*Assumptions!$G$18,'Monthly Revenue'!J16*(1+Assumptions!$G$20)),Assumptions!$G$21),0)</f>
        <v>33.745920000000012</v>
      </c>
      <c r="L16" s="77">
        <f>IF(L$7&gt;0,MIN(MAX(Assumptions!$G$19*Assumptions!$G$18,'Monthly Revenue'!K16*(1+Assumptions!$G$20)),Assumptions!$G$21),0)</f>
        <v>35.095756800000011</v>
      </c>
      <c r="M16" s="77">
        <f>IF(M$7&gt;0,MIN(MAX(Assumptions!$G$19*Assumptions!$G$18,'Monthly Revenue'!L16*(1+Assumptions!$G$20)),Assumptions!$G$21),0)</f>
        <v>36.499587072000011</v>
      </c>
      <c r="N16" s="77">
        <f>IF(N$7&gt;0,MIN(MAX(Assumptions!$G$19*Assumptions!$G$18,'Monthly Revenue'!M16*(1+Assumptions!$G$20)),Assumptions!$G$21),0)</f>
        <v>37.95957055488001</v>
      </c>
      <c r="O16" s="77">
        <f>IF(O$7&gt;0,MIN(MAX(Assumptions!$G$19*Assumptions!$G$18,'Monthly Revenue'!N16*(1+Assumptions!$G$20)),Assumptions!$G$21),0)</f>
        <v>39.47795337707521</v>
      </c>
      <c r="P16" s="77">
        <f>IF(P$7&gt;0,MIN(MAX(Assumptions!$G$19*Assumptions!$G$18,'Monthly Revenue'!O16*(1+Assumptions!$G$20)),Assumptions!$G$21),0)</f>
        <v>41.057071512158217</v>
      </c>
      <c r="Q16" s="77">
        <f>IF(Q$7&gt;0,MIN(MAX(Assumptions!$G$19*Assumptions!$G$18,'Monthly Revenue'!P16*(1+Assumptions!$G$20)),Assumptions!$G$21),0)</f>
        <v>42.699354372644549</v>
      </c>
      <c r="R16" s="77">
        <f>IF(R$7&gt;0,MIN(MAX(Assumptions!$G$19*Assumptions!$G$18,'Monthly Revenue'!Q16*(1+Assumptions!$G$20)),Assumptions!$G$21),0)</f>
        <v>44.407328547550335</v>
      </c>
      <c r="S16" s="77">
        <f>IF(S$7&gt;0,MIN(MAX(Assumptions!$G$19*Assumptions!$G$18,'Monthly Revenue'!R16*(1+Assumptions!$G$20)),Assumptions!$G$21),0)</f>
        <v>46.183621689452352</v>
      </c>
      <c r="T16" s="77">
        <f>IF(T$7&gt;0,MIN(MAX(Assumptions!$G$19*Assumptions!$G$18,'Monthly Revenue'!S16*(1+Assumptions!$G$20)),Assumptions!$G$21),0)</f>
        <v>48.030966557030446</v>
      </c>
      <c r="U16" s="77">
        <f>IF(U$7&gt;0,MIN(MAX(Assumptions!$G$19*Assumptions!$G$18,'Monthly Revenue'!T16*(1+Assumptions!$G$20)),Assumptions!$G$21),0)</f>
        <v>49.952205219311665</v>
      </c>
      <c r="V16" s="77">
        <f>IF(V$7&gt;0,MIN(MAX(Assumptions!$G$19*Assumptions!$G$18,'Monthly Revenue'!U16*(1+Assumptions!$G$20)),Assumptions!$G$21),0)</f>
        <v>51.95029342808413</v>
      </c>
      <c r="W16" s="77">
        <f>IF(W$7&gt;0,MIN(MAX(Assumptions!$G$19*Assumptions!$G$18,'Monthly Revenue'!V16*(1+Assumptions!$G$20)),Assumptions!$G$21),0)</f>
        <v>54.028305165207499</v>
      </c>
      <c r="X16" s="77">
        <f>IF(X$7&gt;0,MIN(MAX(Assumptions!$G$19*Assumptions!$G$18,'Monthly Revenue'!W16*(1+Assumptions!$G$20)),Assumptions!$G$21),0)</f>
        <v>56.189437371815799</v>
      </c>
      <c r="Y16" s="77">
        <f>IF(Y$7&gt;0,MIN(MAX(Assumptions!$G$19*Assumptions!$G$18,'Monthly Revenue'!X16*(1+Assumptions!$G$20)),Assumptions!$G$21),0)</f>
        <v>58.437014866688436</v>
      </c>
      <c r="Z16" s="77">
        <f>IF(Z$7&gt;0,MIN(MAX(Assumptions!$G$19*Assumptions!$G$18,'Monthly Revenue'!Y16*(1+Assumptions!$G$20)),Assumptions!$G$21),0)</f>
        <v>60.774495461355976</v>
      </c>
      <c r="AA16" s="77">
        <f>IF(AA$7&gt;0,MIN(MAX(Assumptions!$G$19*Assumptions!$G$18,'Monthly Revenue'!Z16*(1+Assumptions!$G$20)),Assumptions!$G$21),0)</f>
        <v>63.205475279810216</v>
      </c>
      <c r="AB16" s="77">
        <f>IF(AB$7&gt;0,MIN(MAX(Assumptions!$G$19*Assumptions!$G$18,'Monthly Revenue'!AA16*(1+Assumptions!$G$20)),Assumptions!$G$21),0)</f>
        <v>65.733694291002621</v>
      </c>
      <c r="AC16" s="77">
        <f>IF(AC$7&gt;0,MIN(MAX(Assumptions!$G$19*Assumptions!$G$18,'Monthly Revenue'!AB16*(1+Assumptions!$G$20)),Assumptions!$G$21),0)</f>
        <v>68.363042062642734</v>
      </c>
      <c r="AD16" s="77">
        <f>IF(AD$7&gt;0,MIN(MAX(Assumptions!$G$19*Assumptions!$G$18,'Monthly Revenue'!AC16*(1+Assumptions!$G$20)),Assumptions!$G$21),0)</f>
        <v>71.097563745148449</v>
      </c>
      <c r="AE16" s="77">
        <f>IF(AE$7&gt;0,MIN(MAX(Assumptions!$G$19*Assumptions!$G$18,'Monthly Revenue'!AD16*(1+Assumptions!$G$20)),Assumptions!$G$21),0)</f>
        <v>73.941466294954395</v>
      </c>
      <c r="AF16" s="77">
        <f>IF(AF$7&gt;0,MIN(MAX(Assumptions!$G$19*Assumptions!$G$18,'Monthly Revenue'!AE16*(1+Assumptions!$G$20)),Assumptions!$G$21),0)</f>
        <v>76.899124946752579</v>
      </c>
      <c r="AG16" s="77">
        <f>IF(AG$7&gt;0,MIN(MAX(Assumptions!$G$19*Assumptions!$G$18,'Monthly Revenue'!AF16*(1+Assumptions!$G$20)),Assumptions!$G$21),0)</f>
        <v>79.975089944622681</v>
      </c>
      <c r="AH16" s="77">
        <f>IF(AH$7&gt;0,MIN(MAX(Assumptions!$G$19*Assumptions!$G$18,'Monthly Revenue'!AG16*(1+Assumptions!$G$20)),Assumptions!$G$21),0)</f>
        <v>83.17409354240759</v>
      </c>
      <c r="AI16" s="77">
        <f>IF(AI$7&gt;0,MIN(MAX(Assumptions!$G$19*Assumptions!$G$18,'Monthly Revenue'!AH16*(1+Assumptions!$G$20)),Assumptions!$G$21),0)</f>
        <v>86.501057284103894</v>
      </c>
      <c r="AJ16" s="77">
        <f>IF(AJ$7&gt;0,MIN(MAX(Assumptions!$G$19*Assumptions!$G$18,'Monthly Revenue'!AI16*(1+Assumptions!$G$20)),Assumptions!$G$21),0)</f>
        <v>89.961099575468054</v>
      </c>
      <c r="AK16" s="77">
        <f>IF(AK$7&gt;0,MIN(MAX(Assumptions!$G$19*Assumptions!$G$18,'Monthly Revenue'!AJ16*(1+Assumptions!$G$20)),Assumptions!$G$21),0)</f>
        <v>90</v>
      </c>
      <c r="AL16" s="77">
        <f>IF(AL$7&gt;0,MIN(MAX(Assumptions!$G$19*Assumptions!$G$18,'Monthly Revenue'!AK16*(1+Assumptions!$G$20)),Assumptions!$G$21),0)</f>
        <v>90</v>
      </c>
      <c r="AM16" s="77">
        <f>IF(AM$7&gt;0,MIN(MAX(Assumptions!$G$19*Assumptions!$G$18,'Monthly Revenue'!AL16*(1+Assumptions!$G$20)),Assumptions!$G$21),0)</f>
        <v>90</v>
      </c>
      <c r="AN16" s="77">
        <f>IF(AN$7&gt;0,MIN(MAX(Assumptions!$G$19*Assumptions!$G$18,'Monthly Revenue'!AM16*(1+Assumptions!$G$20)),Assumptions!$G$21),0)</f>
        <v>90</v>
      </c>
    </row>
    <row r="18" spans="1:40" x14ac:dyDescent="0.25">
      <c r="A18" s="7" t="s">
        <v>5</v>
      </c>
    </row>
    <row r="19" spans="1:40" x14ac:dyDescent="0.25">
      <c r="A19" s="113" t="s">
        <v>2</v>
      </c>
    </row>
    <row r="20" spans="1:40" x14ac:dyDescent="0.25">
      <c r="A20" s="7" t="s">
        <v>4</v>
      </c>
    </row>
    <row r="21" spans="1:40" x14ac:dyDescent="0.25">
      <c r="A21" s="103" t="s">
        <v>6</v>
      </c>
      <c r="E21" s="77">
        <f>IF(E$6&gt;0,MIN(MAX(Assumptions!$B$19*Assumptions!$B$18,'Monthly Revenue'!D21*(1+Assumptions!$B$20)),Assumptions!$B$21),0)</f>
        <v>0</v>
      </c>
      <c r="F21" s="77">
        <f>IF(F$6&gt;0,MIN(MAX(Assumptions!$B$19*Assumptions!$B$18,'Monthly Revenue'!E21*(1+Assumptions!$B$20)),Assumptions!$B$21),0)</f>
        <v>0</v>
      </c>
      <c r="G21" s="77">
        <f>IF(G$6&gt;0,MIN(MAX(Assumptions!$B$19*Assumptions!$B$18,'Monthly Revenue'!F21*(1+Assumptions!$B$20)),Assumptions!$B$21),0)</f>
        <v>0</v>
      </c>
      <c r="H21" s="77">
        <v>300</v>
      </c>
      <c r="I21" s="77">
        <v>300</v>
      </c>
      <c r="J21" s="77">
        <v>300</v>
      </c>
      <c r="K21" s="77">
        <v>300</v>
      </c>
      <c r="L21" s="77">
        <v>300</v>
      </c>
      <c r="M21" s="77">
        <v>300</v>
      </c>
      <c r="N21" s="77">
        <v>300</v>
      </c>
      <c r="O21" s="77">
        <v>300</v>
      </c>
      <c r="P21" s="77">
        <v>300</v>
      </c>
      <c r="Q21" s="77">
        <v>300</v>
      </c>
      <c r="R21" s="77">
        <v>300</v>
      </c>
      <c r="S21" s="77">
        <v>300</v>
      </c>
      <c r="T21" s="77">
        <v>315</v>
      </c>
      <c r="U21" s="77">
        <v>315</v>
      </c>
      <c r="V21" s="77">
        <v>315</v>
      </c>
      <c r="W21" s="77">
        <v>315</v>
      </c>
      <c r="X21" s="77">
        <v>315</v>
      </c>
      <c r="Y21" s="77">
        <v>315</v>
      </c>
      <c r="Z21" s="77">
        <v>315</v>
      </c>
      <c r="AA21" s="77">
        <v>315</v>
      </c>
      <c r="AB21" s="77">
        <v>315</v>
      </c>
      <c r="AC21" s="77">
        <v>315</v>
      </c>
      <c r="AD21" s="77">
        <v>315</v>
      </c>
      <c r="AE21" s="77">
        <v>315</v>
      </c>
      <c r="AF21" s="77">
        <v>330.75</v>
      </c>
      <c r="AG21" s="77">
        <v>330.75</v>
      </c>
      <c r="AH21" s="77">
        <v>330.75</v>
      </c>
      <c r="AI21" s="77">
        <v>330.75</v>
      </c>
      <c r="AJ21" s="77">
        <v>330.75</v>
      </c>
      <c r="AK21" s="77">
        <v>330.75</v>
      </c>
      <c r="AL21" s="77">
        <v>330.75</v>
      </c>
      <c r="AM21" s="77">
        <v>330.75</v>
      </c>
      <c r="AN21" s="77">
        <v>330.75</v>
      </c>
    </row>
    <row r="22" spans="1:40" x14ac:dyDescent="0.25">
      <c r="A22" s="103" t="s">
        <v>7</v>
      </c>
      <c r="E22" s="77">
        <f>IF(E$6&gt;0,MIN(MAX(Assumptions!$B$19*Assumptions!$B$18,'Monthly Revenue'!D22*(1+Assumptions!$B$20)),Assumptions!$B$21),0)</f>
        <v>0</v>
      </c>
      <c r="F22" s="77">
        <f>IF(F$6&gt;0,MIN(MAX(Assumptions!$B$19*Assumptions!$B$18,'Monthly Revenue'!E22*(1+Assumptions!$B$20)),Assumptions!$B$21),0)</f>
        <v>0</v>
      </c>
      <c r="G22" s="77">
        <f>IF(G$6&gt;0,MIN(MAX(Assumptions!$B$19*Assumptions!$B$18,'Monthly Revenue'!F22*(1+Assumptions!$B$20)),Assumptions!$B$21),0)</f>
        <v>0</v>
      </c>
      <c r="H22" s="77">
        <v>200</v>
      </c>
      <c r="I22" s="77">
        <v>200</v>
      </c>
      <c r="J22" s="77">
        <v>200</v>
      </c>
      <c r="K22" s="77">
        <v>200</v>
      </c>
      <c r="L22" s="77">
        <v>200</v>
      </c>
      <c r="M22" s="77">
        <v>200</v>
      </c>
      <c r="N22" s="77">
        <v>200</v>
      </c>
      <c r="O22" s="77">
        <v>200</v>
      </c>
      <c r="P22" s="77">
        <v>200</v>
      </c>
      <c r="Q22" s="77">
        <v>200</v>
      </c>
      <c r="R22" s="77">
        <v>200</v>
      </c>
      <c r="S22" s="77">
        <v>200</v>
      </c>
      <c r="T22" s="77">
        <v>210</v>
      </c>
      <c r="U22" s="77">
        <v>210</v>
      </c>
      <c r="V22" s="77">
        <v>210</v>
      </c>
      <c r="W22" s="77">
        <v>210</v>
      </c>
      <c r="X22" s="77">
        <v>210</v>
      </c>
      <c r="Y22" s="77">
        <v>210</v>
      </c>
      <c r="Z22" s="77">
        <v>210</v>
      </c>
      <c r="AA22" s="77">
        <v>210</v>
      </c>
      <c r="AB22" s="77">
        <v>210</v>
      </c>
      <c r="AC22" s="77">
        <v>210</v>
      </c>
      <c r="AD22" s="77">
        <v>210</v>
      </c>
      <c r="AE22" s="77">
        <v>210</v>
      </c>
      <c r="AF22" s="77">
        <v>220.5</v>
      </c>
      <c r="AG22" s="77">
        <v>220.5</v>
      </c>
      <c r="AH22" s="77">
        <v>220.5</v>
      </c>
      <c r="AI22" s="77">
        <v>220.5</v>
      </c>
      <c r="AJ22" s="77">
        <v>220.5</v>
      </c>
      <c r="AK22" s="77">
        <v>220.5</v>
      </c>
      <c r="AL22" s="77">
        <v>220.5</v>
      </c>
      <c r="AM22" s="77">
        <v>220.5</v>
      </c>
      <c r="AN22" s="77">
        <v>220.5</v>
      </c>
    </row>
    <row r="23" spans="1:40" x14ac:dyDescent="0.25">
      <c r="A23" s="103" t="s">
        <v>8</v>
      </c>
      <c r="E23" s="77">
        <f>IF(E$6&gt;0,MIN(MAX(Assumptions!$B$19*Assumptions!$B$18,'Monthly Revenue'!D23*(1+Assumptions!$B$20)),Assumptions!$B$21),0)</f>
        <v>0</v>
      </c>
      <c r="F23" s="77">
        <f>IF(F$6&gt;0,MIN(MAX(Assumptions!$B$19*Assumptions!$B$18,'Monthly Revenue'!E23*(1+Assumptions!$B$20)),Assumptions!$B$21),0)</f>
        <v>0</v>
      </c>
      <c r="G23" s="77">
        <f>IF(G$6&gt;0,MIN(MAX(Assumptions!$B$19*Assumptions!$B$18,'Monthly Revenue'!F23*(1+Assumptions!$B$20)),Assumptions!$B$21),0)</f>
        <v>0</v>
      </c>
      <c r="H23" s="77">
        <v>1000</v>
      </c>
      <c r="I23" s="77">
        <v>1000</v>
      </c>
      <c r="J23" s="77">
        <v>1000</v>
      </c>
      <c r="K23" s="77">
        <v>1000</v>
      </c>
      <c r="L23" s="77">
        <v>1000</v>
      </c>
      <c r="M23" s="77">
        <v>1000</v>
      </c>
      <c r="N23" s="77">
        <v>1000</v>
      </c>
      <c r="O23" s="77">
        <v>1000</v>
      </c>
      <c r="P23" s="77">
        <v>1000</v>
      </c>
      <c r="Q23" s="77">
        <v>1000</v>
      </c>
      <c r="R23" s="77">
        <v>1000</v>
      </c>
      <c r="S23" s="77">
        <v>1000</v>
      </c>
      <c r="T23" s="77">
        <v>1050</v>
      </c>
      <c r="U23" s="77">
        <v>1050</v>
      </c>
      <c r="V23" s="77">
        <v>1050</v>
      </c>
      <c r="W23" s="77">
        <v>1050</v>
      </c>
      <c r="X23" s="77">
        <v>1050</v>
      </c>
      <c r="Y23" s="77">
        <v>1050</v>
      </c>
      <c r="Z23" s="77">
        <v>1050</v>
      </c>
      <c r="AA23" s="77">
        <v>1050</v>
      </c>
      <c r="AB23" s="77">
        <v>1050</v>
      </c>
      <c r="AC23" s="77">
        <v>1050</v>
      </c>
      <c r="AD23" s="77">
        <v>1050</v>
      </c>
      <c r="AE23" s="77">
        <v>1050</v>
      </c>
      <c r="AF23" s="77">
        <v>1102.5</v>
      </c>
      <c r="AG23" s="77">
        <v>1102.5</v>
      </c>
      <c r="AH23" s="77">
        <v>1102.5</v>
      </c>
      <c r="AI23" s="77">
        <v>1102.5</v>
      </c>
      <c r="AJ23" s="77">
        <v>1102.5</v>
      </c>
      <c r="AK23" s="77">
        <v>1102.5</v>
      </c>
      <c r="AL23" s="77">
        <v>1102.5</v>
      </c>
      <c r="AM23" s="77">
        <v>1102.5</v>
      </c>
      <c r="AN23" s="77">
        <v>1102.5</v>
      </c>
    </row>
    <row r="24" spans="1:40" s="120" customFormat="1" x14ac:dyDescent="0.25">
      <c r="A24" s="121" t="s">
        <v>54</v>
      </c>
      <c r="B24" s="118"/>
      <c r="C24" s="118"/>
      <c r="D24" s="118"/>
      <c r="E24" s="122">
        <f>SUM(E21:E23)</f>
        <v>0</v>
      </c>
      <c r="F24" s="122">
        <f>SUM(F21:F23)</f>
        <v>0</v>
      </c>
      <c r="G24" s="122">
        <f>SUM(G21:G23)</f>
        <v>0</v>
      </c>
      <c r="H24" s="122">
        <f t="shared" ref="H24:AN24" si="4">SUM(H21:H23)</f>
        <v>1500</v>
      </c>
      <c r="I24" s="122">
        <f>SUM(I21:I23)</f>
        <v>1500</v>
      </c>
      <c r="J24" s="122">
        <f t="shared" si="4"/>
        <v>1500</v>
      </c>
      <c r="K24" s="122">
        <f t="shared" si="4"/>
        <v>1500</v>
      </c>
      <c r="L24" s="122">
        <f t="shared" si="4"/>
        <v>1500</v>
      </c>
      <c r="M24" s="122">
        <f t="shared" si="4"/>
        <v>1500</v>
      </c>
      <c r="N24" s="122">
        <f t="shared" si="4"/>
        <v>1500</v>
      </c>
      <c r="O24" s="122">
        <f t="shared" si="4"/>
        <v>1500</v>
      </c>
      <c r="P24" s="122">
        <f t="shared" si="4"/>
        <v>1500</v>
      </c>
      <c r="Q24" s="122">
        <f t="shared" si="4"/>
        <v>1500</v>
      </c>
      <c r="R24" s="122">
        <f t="shared" si="4"/>
        <v>1500</v>
      </c>
      <c r="S24" s="122">
        <f t="shared" si="4"/>
        <v>1500</v>
      </c>
      <c r="T24" s="122">
        <f t="shared" si="4"/>
        <v>1575</v>
      </c>
      <c r="U24" s="122">
        <f t="shared" si="4"/>
        <v>1575</v>
      </c>
      <c r="V24" s="122">
        <f t="shared" si="4"/>
        <v>1575</v>
      </c>
      <c r="W24" s="122">
        <f t="shared" si="4"/>
        <v>1575</v>
      </c>
      <c r="X24" s="122">
        <f t="shared" si="4"/>
        <v>1575</v>
      </c>
      <c r="Y24" s="122">
        <f t="shared" si="4"/>
        <v>1575</v>
      </c>
      <c r="Z24" s="122">
        <f t="shared" si="4"/>
        <v>1575</v>
      </c>
      <c r="AA24" s="122">
        <f t="shared" si="4"/>
        <v>1575</v>
      </c>
      <c r="AB24" s="122">
        <f t="shared" si="4"/>
        <v>1575</v>
      </c>
      <c r="AC24" s="122">
        <f t="shared" si="4"/>
        <v>1575</v>
      </c>
      <c r="AD24" s="122">
        <f t="shared" si="4"/>
        <v>1575</v>
      </c>
      <c r="AE24" s="122">
        <f t="shared" si="4"/>
        <v>1575</v>
      </c>
      <c r="AF24" s="122">
        <f t="shared" si="4"/>
        <v>1653.75</v>
      </c>
      <c r="AG24" s="122">
        <f t="shared" si="4"/>
        <v>1653.75</v>
      </c>
      <c r="AH24" s="122">
        <f t="shared" si="4"/>
        <v>1653.75</v>
      </c>
      <c r="AI24" s="122">
        <f t="shared" si="4"/>
        <v>1653.75</v>
      </c>
      <c r="AJ24" s="122">
        <f t="shared" si="4"/>
        <v>1653.75</v>
      </c>
      <c r="AK24" s="122">
        <f t="shared" si="4"/>
        <v>1653.75</v>
      </c>
      <c r="AL24" s="122">
        <f t="shared" si="4"/>
        <v>1653.75</v>
      </c>
      <c r="AM24" s="122">
        <f t="shared" si="4"/>
        <v>1653.75</v>
      </c>
      <c r="AN24" s="122">
        <f t="shared" si="4"/>
        <v>1653.75</v>
      </c>
    </row>
    <row r="26" spans="1:40" x14ac:dyDescent="0.25">
      <c r="A26" s="102" t="s">
        <v>16</v>
      </c>
    </row>
    <row r="27" spans="1:40" x14ac:dyDescent="0.25">
      <c r="A27" s="103" t="s">
        <v>6</v>
      </c>
      <c r="E27" s="77">
        <f>IF(E$6&gt;0,MIN(MAX(Assumptions!$B$19*Assumptions!$B$18,'Monthly Revenue'!D27*(1+Assumptions!$B$20)),Assumptions!$B$21),0)</f>
        <v>0</v>
      </c>
      <c r="F27" s="77">
        <f>IF(F$6&gt;0,MIN(MAX(Assumptions!$B$19*Assumptions!$B$18,'Monthly Revenue'!E27*(1+Assumptions!$B$20)),Assumptions!$B$21),0)</f>
        <v>0</v>
      </c>
      <c r="G27" s="77">
        <f>IF(G$6&gt;0,MIN(MAX(Assumptions!$B$19*Assumptions!$B$18,'Monthly Revenue'!F27*(1+Assumptions!$B$20)),Assumptions!$B$21),0)</f>
        <v>0</v>
      </c>
      <c r="H27" s="77">
        <v>400</v>
      </c>
      <c r="I27" s="77">
        <v>400</v>
      </c>
      <c r="J27" s="77">
        <v>400</v>
      </c>
      <c r="K27" s="77">
        <v>400</v>
      </c>
      <c r="L27" s="77">
        <v>400</v>
      </c>
      <c r="M27" s="77">
        <v>400</v>
      </c>
      <c r="N27" s="77">
        <v>400</v>
      </c>
      <c r="O27" s="77">
        <v>400</v>
      </c>
      <c r="P27" s="77">
        <v>400</v>
      </c>
      <c r="Q27" s="77">
        <v>400</v>
      </c>
      <c r="R27" s="77">
        <v>400</v>
      </c>
      <c r="S27" s="77">
        <v>400</v>
      </c>
      <c r="T27" s="77">
        <v>420</v>
      </c>
      <c r="U27" s="77">
        <v>420</v>
      </c>
      <c r="V27" s="77">
        <v>420</v>
      </c>
      <c r="W27" s="77">
        <v>420</v>
      </c>
      <c r="X27" s="77">
        <v>420</v>
      </c>
      <c r="Y27" s="77">
        <v>420</v>
      </c>
      <c r="Z27" s="77">
        <v>420</v>
      </c>
      <c r="AA27" s="77">
        <v>420</v>
      </c>
      <c r="AB27" s="77">
        <v>420</v>
      </c>
      <c r="AC27" s="77">
        <v>420</v>
      </c>
      <c r="AD27" s="77">
        <v>420</v>
      </c>
      <c r="AE27" s="77">
        <v>420</v>
      </c>
      <c r="AF27" s="77">
        <v>441</v>
      </c>
      <c r="AG27" s="77">
        <v>441</v>
      </c>
      <c r="AH27" s="77">
        <v>441</v>
      </c>
      <c r="AI27" s="77">
        <v>441</v>
      </c>
      <c r="AJ27" s="77">
        <v>441</v>
      </c>
      <c r="AK27" s="77">
        <v>441</v>
      </c>
      <c r="AL27" s="77">
        <v>441</v>
      </c>
      <c r="AM27" s="77">
        <v>441</v>
      </c>
      <c r="AN27" s="77">
        <v>441</v>
      </c>
    </row>
    <row r="28" spans="1:40" x14ac:dyDescent="0.25">
      <c r="A28" s="103" t="s">
        <v>7</v>
      </c>
      <c r="E28" s="77">
        <f>IF(E$6&gt;0,MIN(MAX(Assumptions!$B$19*Assumptions!$B$18,'Monthly Revenue'!D28*(1+Assumptions!$B$20)),Assumptions!$B$21),0)</f>
        <v>0</v>
      </c>
      <c r="F28" s="77">
        <f>IF(F$6&gt;0,MIN(MAX(Assumptions!$B$19*Assumptions!$B$18,'Monthly Revenue'!E28*(1+Assumptions!$B$20)),Assumptions!$B$21),0)</f>
        <v>0</v>
      </c>
      <c r="G28" s="77">
        <f>IF(G$6&gt;0,MIN(MAX(Assumptions!$B$19*Assumptions!$B$18,'Monthly Revenue'!F28*(1+Assumptions!$B$20)),Assumptions!$B$21),0)</f>
        <v>0</v>
      </c>
      <c r="H28" s="77">
        <v>200</v>
      </c>
      <c r="I28" s="77">
        <v>200</v>
      </c>
      <c r="J28" s="77">
        <v>200</v>
      </c>
      <c r="K28" s="77">
        <v>200</v>
      </c>
      <c r="L28" s="77">
        <v>200</v>
      </c>
      <c r="M28" s="77">
        <v>200</v>
      </c>
      <c r="N28" s="77">
        <v>200</v>
      </c>
      <c r="O28" s="77">
        <v>200</v>
      </c>
      <c r="P28" s="77">
        <v>200</v>
      </c>
      <c r="Q28" s="77">
        <v>200</v>
      </c>
      <c r="R28" s="77">
        <v>200</v>
      </c>
      <c r="S28" s="77">
        <v>200</v>
      </c>
      <c r="T28" s="77">
        <v>210</v>
      </c>
      <c r="U28" s="77">
        <v>210</v>
      </c>
      <c r="V28" s="77">
        <v>210</v>
      </c>
      <c r="W28" s="77">
        <v>210</v>
      </c>
      <c r="X28" s="77">
        <v>210</v>
      </c>
      <c r="Y28" s="77">
        <v>210</v>
      </c>
      <c r="Z28" s="77">
        <v>210</v>
      </c>
      <c r="AA28" s="77">
        <v>210</v>
      </c>
      <c r="AB28" s="77">
        <v>210</v>
      </c>
      <c r="AC28" s="77">
        <v>210</v>
      </c>
      <c r="AD28" s="77">
        <v>210</v>
      </c>
      <c r="AE28" s="77">
        <v>210</v>
      </c>
      <c r="AF28" s="77">
        <v>220.5</v>
      </c>
      <c r="AG28" s="77">
        <v>220.5</v>
      </c>
      <c r="AH28" s="77">
        <v>220.5</v>
      </c>
      <c r="AI28" s="77">
        <v>220.5</v>
      </c>
      <c r="AJ28" s="77">
        <v>220.5</v>
      </c>
      <c r="AK28" s="77">
        <v>220.5</v>
      </c>
      <c r="AL28" s="77">
        <v>220.5</v>
      </c>
      <c r="AM28" s="77">
        <v>220.5</v>
      </c>
      <c r="AN28" s="77">
        <v>220.5</v>
      </c>
    </row>
    <row r="29" spans="1:40" x14ac:dyDescent="0.25">
      <c r="A29" s="103" t="s">
        <v>8</v>
      </c>
      <c r="E29" s="77">
        <f>IF(E$6&gt;0,MIN(MAX(Assumptions!$B$19*Assumptions!$B$18,'Monthly Revenue'!D29*(1+Assumptions!$B$20)),Assumptions!$B$21),0)</f>
        <v>0</v>
      </c>
      <c r="F29" s="77">
        <f>IF(F$6&gt;0,MIN(MAX(Assumptions!$B$19*Assumptions!$B$18,'Monthly Revenue'!E29*(1+Assumptions!$B$20)),Assumptions!$B$21),0)</f>
        <v>0</v>
      </c>
      <c r="G29" s="77">
        <f>IF(G$6&gt;0,MIN(MAX(Assumptions!$B$19*Assumptions!$B$18,'Monthly Revenue'!F29*(1+Assumptions!$B$20)),Assumptions!$B$21),0)</f>
        <v>0</v>
      </c>
      <c r="H29" s="77">
        <v>1000</v>
      </c>
      <c r="I29" s="77">
        <v>1000</v>
      </c>
      <c r="J29" s="77">
        <v>1000</v>
      </c>
      <c r="K29" s="77">
        <v>1000</v>
      </c>
      <c r="L29" s="77">
        <v>1000</v>
      </c>
      <c r="M29" s="77">
        <v>1000</v>
      </c>
      <c r="N29" s="77">
        <v>1000</v>
      </c>
      <c r="O29" s="77">
        <v>1000</v>
      </c>
      <c r="P29" s="77">
        <v>1000</v>
      </c>
      <c r="Q29" s="77">
        <v>1000</v>
      </c>
      <c r="R29" s="77">
        <v>1000</v>
      </c>
      <c r="S29" s="77">
        <v>1000</v>
      </c>
      <c r="T29" s="77">
        <v>1050</v>
      </c>
      <c r="U29" s="77">
        <v>1050</v>
      </c>
      <c r="V29" s="77">
        <v>1050</v>
      </c>
      <c r="W29" s="77">
        <v>1050</v>
      </c>
      <c r="X29" s="77">
        <v>1050</v>
      </c>
      <c r="Y29" s="77">
        <v>1050</v>
      </c>
      <c r="Z29" s="77">
        <v>1050</v>
      </c>
      <c r="AA29" s="77">
        <v>1050</v>
      </c>
      <c r="AB29" s="77">
        <v>1050</v>
      </c>
      <c r="AC29" s="77">
        <v>1050</v>
      </c>
      <c r="AD29" s="77">
        <v>1050</v>
      </c>
      <c r="AE29" s="77">
        <v>1050</v>
      </c>
      <c r="AF29" s="77">
        <v>1102.5</v>
      </c>
      <c r="AG29" s="77">
        <v>1102.5</v>
      </c>
      <c r="AH29" s="77">
        <v>1102.5</v>
      </c>
      <c r="AI29" s="77">
        <v>1102.5</v>
      </c>
      <c r="AJ29" s="77">
        <v>1102.5</v>
      </c>
      <c r="AK29" s="77">
        <v>1102.5</v>
      </c>
      <c r="AL29" s="77">
        <v>1102.5</v>
      </c>
      <c r="AM29" s="77">
        <v>1102.5</v>
      </c>
      <c r="AN29" s="77">
        <v>1102.5</v>
      </c>
    </row>
    <row r="30" spans="1:40" s="124" customFormat="1" x14ac:dyDescent="0.25">
      <c r="A30" s="121" t="s">
        <v>54</v>
      </c>
      <c r="B30" s="123"/>
      <c r="C30" s="123"/>
      <c r="D30" s="123"/>
      <c r="E30" s="122">
        <f>SUM(E27:E29)</f>
        <v>0</v>
      </c>
      <c r="F30" s="122">
        <f>SUM(F27:F29)</f>
        <v>0</v>
      </c>
      <c r="G30" s="122">
        <f>SUM(G27:G29)</f>
        <v>0</v>
      </c>
      <c r="H30" s="122">
        <f t="shared" ref="H30" si="5">SUM(H27:H29)</f>
        <v>1600</v>
      </c>
      <c r="I30" s="122">
        <f>SUM(I27:I29)</f>
        <v>1600</v>
      </c>
      <c r="J30" s="122">
        <f t="shared" ref="J30" si="6">SUM(J27:J29)</f>
        <v>1600</v>
      </c>
      <c r="K30" s="122">
        <f t="shared" ref="K30" si="7">SUM(K27:K29)</f>
        <v>1600</v>
      </c>
      <c r="L30" s="122">
        <f t="shared" ref="L30" si="8">SUM(L27:L29)</f>
        <v>1600</v>
      </c>
      <c r="M30" s="122">
        <f t="shared" ref="M30" si="9">SUM(M27:M29)</f>
        <v>1600</v>
      </c>
      <c r="N30" s="122">
        <f t="shared" ref="N30" si="10">SUM(N27:N29)</f>
        <v>1600</v>
      </c>
      <c r="O30" s="122">
        <f t="shared" ref="O30" si="11">SUM(O27:O29)</f>
        <v>1600</v>
      </c>
      <c r="P30" s="122">
        <f t="shared" ref="P30" si="12">SUM(P27:P29)</f>
        <v>1600</v>
      </c>
      <c r="Q30" s="122">
        <f t="shared" ref="Q30" si="13">SUM(Q27:Q29)</f>
        <v>1600</v>
      </c>
      <c r="R30" s="122">
        <f t="shared" ref="R30" si="14">SUM(R27:R29)</f>
        <v>1600</v>
      </c>
      <c r="S30" s="122">
        <f t="shared" ref="S30" si="15">SUM(S27:S29)</f>
        <v>1600</v>
      </c>
      <c r="T30" s="122">
        <f t="shared" ref="T30" si="16">SUM(T27:T29)</f>
        <v>1680</v>
      </c>
      <c r="U30" s="122">
        <f t="shared" ref="U30" si="17">SUM(U27:U29)</f>
        <v>1680</v>
      </c>
      <c r="V30" s="122">
        <f t="shared" ref="V30" si="18">SUM(V27:V29)</f>
        <v>1680</v>
      </c>
      <c r="W30" s="122">
        <f t="shared" ref="W30" si="19">SUM(W27:W29)</f>
        <v>1680</v>
      </c>
      <c r="X30" s="122">
        <f t="shared" ref="X30" si="20">SUM(X27:X29)</f>
        <v>1680</v>
      </c>
      <c r="Y30" s="122">
        <f t="shared" ref="Y30" si="21">SUM(Y27:Y29)</f>
        <v>1680</v>
      </c>
      <c r="Z30" s="122">
        <f t="shared" ref="Z30" si="22">SUM(Z27:Z29)</f>
        <v>1680</v>
      </c>
      <c r="AA30" s="122">
        <f t="shared" ref="AA30" si="23">SUM(AA27:AA29)</f>
        <v>1680</v>
      </c>
      <c r="AB30" s="122">
        <f t="shared" ref="AB30" si="24">SUM(AB27:AB29)</f>
        <v>1680</v>
      </c>
      <c r="AC30" s="122">
        <f t="shared" ref="AC30" si="25">SUM(AC27:AC29)</f>
        <v>1680</v>
      </c>
      <c r="AD30" s="122">
        <f t="shared" ref="AD30" si="26">SUM(AD27:AD29)</f>
        <v>1680</v>
      </c>
      <c r="AE30" s="122">
        <f t="shared" ref="AE30" si="27">SUM(AE27:AE29)</f>
        <v>1680</v>
      </c>
      <c r="AF30" s="122">
        <f t="shared" ref="AF30" si="28">SUM(AF27:AF29)</f>
        <v>1764</v>
      </c>
      <c r="AG30" s="122">
        <f t="shared" ref="AG30" si="29">SUM(AG27:AG29)</f>
        <v>1764</v>
      </c>
      <c r="AH30" s="122">
        <f t="shared" ref="AH30" si="30">SUM(AH27:AH29)</f>
        <v>1764</v>
      </c>
      <c r="AI30" s="122">
        <f t="shared" ref="AI30" si="31">SUM(AI27:AI29)</f>
        <v>1764</v>
      </c>
      <c r="AJ30" s="122">
        <f t="shared" ref="AJ30" si="32">SUM(AJ27:AJ29)</f>
        <v>1764</v>
      </c>
      <c r="AK30" s="122">
        <f t="shared" ref="AK30" si="33">SUM(AK27:AK29)</f>
        <v>1764</v>
      </c>
      <c r="AL30" s="122">
        <f t="shared" ref="AL30" si="34">SUM(AL27:AL29)</f>
        <v>1764</v>
      </c>
      <c r="AM30" s="122">
        <f t="shared" ref="AM30" si="35">SUM(AM27:AM29)</f>
        <v>1764</v>
      </c>
      <c r="AN30" s="122">
        <f t="shared" ref="AN30" si="36">SUM(AN27:AN29)</f>
        <v>1764</v>
      </c>
    </row>
    <row r="32" spans="1:40" x14ac:dyDescent="0.25">
      <c r="A32" s="114" t="s">
        <v>112</v>
      </c>
    </row>
    <row r="33" spans="1:40" x14ac:dyDescent="0.25">
      <c r="A33" s="104" t="s">
        <v>4</v>
      </c>
    </row>
    <row r="34" spans="1:40" x14ac:dyDescent="0.25">
      <c r="A34" s="103" t="s">
        <v>6</v>
      </c>
      <c r="E34" s="77">
        <f>IF(E$6&gt;0,MIN(MAX(Assumptions!$B$19*Assumptions!$B$18,'Monthly Revenue'!D34*(1+Assumptions!$B$20)),Assumptions!$B$21),0)</f>
        <v>0</v>
      </c>
      <c r="F34" s="77">
        <f>IF(F$6&gt;0,MIN(MAX(Assumptions!$B$19*Assumptions!$B$18,'Monthly Revenue'!E34*(1+Assumptions!$B$20)),Assumptions!$B$21),0)</f>
        <v>0</v>
      </c>
      <c r="G34" s="77">
        <f>IF(G$6&gt;0,MIN(MAX(Assumptions!$B$19*Assumptions!$B$18,'Monthly Revenue'!F34*(1+Assumptions!$B$20)),Assumptions!$B$21),0)</f>
        <v>0</v>
      </c>
      <c r="H34" s="77">
        <v>500</v>
      </c>
      <c r="I34" s="77">
        <v>500</v>
      </c>
      <c r="J34" s="77">
        <v>500</v>
      </c>
      <c r="K34" s="77">
        <v>500</v>
      </c>
      <c r="L34" s="77">
        <v>500</v>
      </c>
      <c r="M34" s="77">
        <v>500</v>
      </c>
      <c r="N34" s="77">
        <v>500</v>
      </c>
      <c r="O34" s="77">
        <v>500</v>
      </c>
      <c r="P34" s="77">
        <v>500</v>
      </c>
      <c r="Q34" s="77">
        <v>500</v>
      </c>
      <c r="R34" s="77">
        <v>500</v>
      </c>
      <c r="S34" s="77">
        <v>500</v>
      </c>
      <c r="T34" s="77">
        <v>525</v>
      </c>
      <c r="U34" s="77">
        <v>525</v>
      </c>
      <c r="V34" s="77">
        <v>525</v>
      </c>
      <c r="W34" s="77">
        <v>525</v>
      </c>
      <c r="X34" s="77">
        <v>525</v>
      </c>
      <c r="Y34" s="77">
        <v>525</v>
      </c>
      <c r="Z34" s="77">
        <v>525</v>
      </c>
      <c r="AA34" s="77">
        <v>525</v>
      </c>
      <c r="AB34" s="77">
        <v>525</v>
      </c>
      <c r="AC34" s="77">
        <v>525</v>
      </c>
      <c r="AD34" s="77">
        <v>525</v>
      </c>
      <c r="AE34" s="77">
        <v>525</v>
      </c>
      <c r="AF34" s="77">
        <v>551.25</v>
      </c>
      <c r="AG34" s="77">
        <v>551.25</v>
      </c>
      <c r="AH34" s="77">
        <v>551.25</v>
      </c>
      <c r="AI34" s="77">
        <v>551.25</v>
      </c>
      <c r="AJ34" s="77">
        <v>551.25</v>
      </c>
      <c r="AK34" s="77">
        <v>551.25</v>
      </c>
      <c r="AL34" s="77">
        <v>551.25</v>
      </c>
      <c r="AM34" s="77">
        <v>551.25</v>
      </c>
      <c r="AN34" s="77">
        <v>551.25</v>
      </c>
    </row>
    <row r="35" spans="1:40" x14ac:dyDescent="0.25">
      <c r="A35" s="103" t="s">
        <v>7</v>
      </c>
      <c r="E35" s="77">
        <f>IF(E$6&gt;0,MIN(MAX(Assumptions!$B$19*Assumptions!$B$18,'Monthly Revenue'!D35*(1+Assumptions!$B$20)),Assumptions!$B$21),0)</f>
        <v>0</v>
      </c>
      <c r="F35" s="77">
        <f>IF(F$6&gt;0,MIN(MAX(Assumptions!$B$19*Assumptions!$B$18,'Monthly Revenue'!E35*(1+Assumptions!$B$20)),Assumptions!$B$21),0)</f>
        <v>0</v>
      </c>
      <c r="G35" s="77">
        <f>IF(G$6&gt;0,MIN(MAX(Assumptions!$B$19*Assumptions!$B$18,'Monthly Revenue'!F35*(1+Assumptions!$B$20)),Assumptions!$B$21),0)</f>
        <v>0</v>
      </c>
      <c r="H35" s="77">
        <v>200</v>
      </c>
      <c r="I35" s="77">
        <v>200</v>
      </c>
      <c r="J35" s="77">
        <v>200</v>
      </c>
      <c r="K35" s="77">
        <v>200</v>
      </c>
      <c r="L35" s="77">
        <v>200</v>
      </c>
      <c r="M35" s="77">
        <v>200</v>
      </c>
      <c r="N35" s="77">
        <v>200</v>
      </c>
      <c r="O35" s="77">
        <v>200</v>
      </c>
      <c r="P35" s="77">
        <v>200</v>
      </c>
      <c r="Q35" s="77">
        <v>200</v>
      </c>
      <c r="R35" s="77">
        <v>200</v>
      </c>
      <c r="S35" s="77">
        <v>200</v>
      </c>
      <c r="T35" s="77">
        <v>210</v>
      </c>
      <c r="U35" s="77">
        <v>210</v>
      </c>
      <c r="V35" s="77">
        <v>210</v>
      </c>
      <c r="W35" s="77">
        <v>210</v>
      </c>
      <c r="X35" s="77">
        <v>210</v>
      </c>
      <c r="Y35" s="77">
        <v>210</v>
      </c>
      <c r="Z35" s="77">
        <v>210</v>
      </c>
      <c r="AA35" s="77">
        <v>210</v>
      </c>
      <c r="AB35" s="77">
        <v>210</v>
      </c>
      <c r="AC35" s="77">
        <v>210</v>
      </c>
      <c r="AD35" s="77">
        <v>210</v>
      </c>
      <c r="AE35" s="77">
        <v>210</v>
      </c>
      <c r="AF35" s="77">
        <v>220.5</v>
      </c>
      <c r="AG35" s="77">
        <v>220.5</v>
      </c>
      <c r="AH35" s="77">
        <v>220.5</v>
      </c>
      <c r="AI35" s="77">
        <v>220.5</v>
      </c>
      <c r="AJ35" s="77">
        <v>220.5</v>
      </c>
      <c r="AK35" s="77">
        <v>220.5</v>
      </c>
      <c r="AL35" s="77">
        <v>220.5</v>
      </c>
      <c r="AM35" s="77">
        <v>220.5</v>
      </c>
      <c r="AN35" s="77">
        <v>220.5</v>
      </c>
    </row>
    <row r="36" spans="1:40" x14ac:dyDescent="0.25">
      <c r="A36" s="103" t="s">
        <v>8</v>
      </c>
      <c r="E36" s="77">
        <f>IF(E$6&gt;0,MIN(MAX(Assumptions!$B$19*Assumptions!$B$18,'Monthly Revenue'!D36*(1+Assumptions!$B$20)),Assumptions!$B$21),0)</f>
        <v>0</v>
      </c>
      <c r="F36" s="77">
        <f>IF(F$6&gt;0,MIN(MAX(Assumptions!$B$19*Assumptions!$B$18,'Monthly Revenue'!E36*(1+Assumptions!$B$20)),Assumptions!$B$21),0)</f>
        <v>0</v>
      </c>
      <c r="G36" s="77">
        <f>IF(G$6&gt;0,MIN(MAX(Assumptions!$B$19*Assumptions!$B$18,'Monthly Revenue'!F36*(1+Assumptions!$B$20)),Assumptions!$B$21),0)</f>
        <v>0</v>
      </c>
      <c r="H36" s="77">
        <v>1000</v>
      </c>
      <c r="I36" s="77">
        <v>1000</v>
      </c>
      <c r="J36" s="77">
        <v>1000</v>
      </c>
      <c r="K36" s="77">
        <v>1000</v>
      </c>
      <c r="L36" s="77">
        <v>1000</v>
      </c>
      <c r="M36" s="77">
        <v>1000</v>
      </c>
      <c r="N36" s="77">
        <v>1000</v>
      </c>
      <c r="O36" s="77">
        <v>1000</v>
      </c>
      <c r="P36" s="77">
        <v>1000</v>
      </c>
      <c r="Q36" s="77">
        <v>1000</v>
      </c>
      <c r="R36" s="77">
        <v>1000</v>
      </c>
      <c r="S36" s="77">
        <v>1000</v>
      </c>
      <c r="T36" s="77">
        <v>1050</v>
      </c>
      <c r="U36" s="77">
        <v>1050</v>
      </c>
      <c r="V36" s="77">
        <v>1050</v>
      </c>
      <c r="W36" s="77">
        <v>1050</v>
      </c>
      <c r="X36" s="77">
        <v>1050</v>
      </c>
      <c r="Y36" s="77">
        <v>1050</v>
      </c>
      <c r="Z36" s="77">
        <v>1050</v>
      </c>
      <c r="AA36" s="77">
        <v>1050</v>
      </c>
      <c r="AB36" s="77">
        <v>1050</v>
      </c>
      <c r="AC36" s="77">
        <v>1050</v>
      </c>
      <c r="AD36" s="77">
        <v>1050</v>
      </c>
      <c r="AE36" s="77">
        <v>1050</v>
      </c>
      <c r="AF36" s="77">
        <v>1102.5</v>
      </c>
      <c r="AG36" s="77">
        <v>1102.5</v>
      </c>
      <c r="AH36" s="77">
        <v>1102.5</v>
      </c>
      <c r="AI36" s="77">
        <v>1102.5</v>
      </c>
      <c r="AJ36" s="77">
        <v>1102.5</v>
      </c>
      <c r="AK36" s="77">
        <v>1102.5</v>
      </c>
      <c r="AL36" s="77">
        <v>1102.5</v>
      </c>
      <c r="AM36" s="77">
        <v>1102.5</v>
      </c>
      <c r="AN36" s="77">
        <v>1102.5</v>
      </c>
    </row>
    <row r="37" spans="1:40" s="120" customFormat="1" x14ac:dyDescent="0.25">
      <c r="A37" s="121" t="s">
        <v>54</v>
      </c>
      <c r="B37" s="118"/>
      <c r="C37" s="118"/>
      <c r="D37" s="118"/>
      <c r="E37" s="122">
        <f t="shared" ref="E37:G37" si="37">SUM(E34:E36)</f>
        <v>0</v>
      </c>
      <c r="F37" s="122">
        <f t="shared" si="37"/>
        <v>0</v>
      </c>
      <c r="G37" s="122">
        <f t="shared" si="37"/>
        <v>0</v>
      </c>
      <c r="H37" s="122">
        <f>SUM(H34:H36)</f>
        <v>1700</v>
      </c>
      <c r="I37" s="122">
        <f t="shared" ref="I37:S37" si="38">SUM(I34:I36)</f>
        <v>1700</v>
      </c>
      <c r="J37" s="122">
        <f t="shared" si="38"/>
        <v>1700</v>
      </c>
      <c r="K37" s="122">
        <f t="shared" si="38"/>
        <v>1700</v>
      </c>
      <c r="L37" s="122">
        <f t="shared" si="38"/>
        <v>1700</v>
      </c>
      <c r="M37" s="122">
        <f t="shared" si="38"/>
        <v>1700</v>
      </c>
      <c r="N37" s="122">
        <f t="shared" si="38"/>
        <v>1700</v>
      </c>
      <c r="O37" s="122">
        <f t="shared" si="38"/>
        <v>1700</v>
      </c>
      <c r="P37" s="122">
        <f t="shared" si="38"/>
        <v>1700</v>
      </c>
      <c r="Q37" s="122">
        <f t="shared" si="38"/>
        <v>1700</v>
      </c>
      <c r="R37" s="122">
        <f t="shared" si="38"/>
        <v>1700</v>
      </c>
      <c r="S37" s="122">
        <f t="shared" si="38"/>
        <v>1700</v>
      </c>
      <c r="T37" s="122">
        <f>SUM(T34:T36)</f>
        <v>1785</v>
      </c>
      <c r="U37" s="122">
        <f t="shared" ref="U37:AE37" si="39">SUM(U34:U36)</f>
        <v>1785</v>
      </c>
      <c r="V37" s="122">
        <f t="shared" si="39"/>
        <v>1785</v>
      </c>
      <c r="W37" s="122">
        <f t="shared" si="39"/>
        <v>1785</v>
      </c>
      <c r="X37" s="122">
        <f t="shared" si="39"/>
        <v>1785</v>
      </c>
      <c r="Y37" s="122">
        <f t="shared" si="39"/>
        <v>1785</v>
      </c>
      <c r="Z37" s="122">
        <f t="shared" si="39"/>
        <v>1785</v>
      </c>
      <c r="AA37" s="122">
        <f t="shared" si="39"/>
        <v>1785</v>
      </c>
      <c r="AB37" s="122">
        <f t="shared" si="39"/>
        <v>1785</v>
      </c>
      <c r="AC37" s="122">
        <f t="shared" si="39"/>
        <v>1785</v>
      </c>
      <c r="AD37" s="122">
        <f t="shared" si="39"/>
        <v>1785</v>
      </c>
      <c r="AE37" s="122">
        <f t="shared" si="39"/>
        <v>1785</v>
      </c>
      <c r="AF37" s="122">
        <f>SUM(AF34:AF36)</f>
        <v>1874.25</v>
      </c>
      <c r="AG37" s="122">
        <f t="shared" ref="AG37:AN37" si="40">SUM(AG34:AG36)</f>
        <v>1874.25</v>
      </c>
      <c r="AH37" s="122">
        <f t="shared" si="40"/>
        <v>1874.25</v>
      </c>
      <c r="AI37" s="122">
        <f t="shared" si="40"/>
        <v>1874.25</v>
      </c>
      <c r="AJ37" s="122">
        <f t="shared" si="40"/>
        <v>1874.25</v>
      </c>
      <c r="AK37" s="122">
        <f t="shared" si="40"/>
        <v>1874.25</v>
      </c>
      <c r="AL37" s="122">
        <f t="shared" si="40"/>
        <v>1874.25</v>
      </c>
      <c r="AM37" s="122">
        <f t="shared" si="40"/>
        <v>1874.25</v>
      </c>
      <c r="AN37" s="122">
        <f t="shared" si="40"/>
        <v>1874.25</v>
      </c>
    </row>
    <row r="38" spans="1:40" x14ac:dyDescent="0.25">
      <c r="A38" s="105"/>
    </row>
    <row r="39" spans="1:40" x14ac:dyDescent="0.25">
      <c r="A39" s="102" t="s">
        <v>16</v>
      </c>
    </row>
    <row r="40" spans="1:40" x14ac:dyDescent="0.25">
      <c r="A40" s="103" t="s">
        <v>6</v>
      </c>
      <c r="E40" s="77">
        <f>IF(E$6&gt;0,MIN(MAX(Assumptions!$B$19*Assumptions!$B$18,'Monthly Revenue'!D40*(1+Assumptions!$B$20)),Assumptions!$B$21),0)</f>
        <v>0</v>
      </c>
      <c r="F40" s="77">
        <f>IF(F$6&gt;0,MIN(MAX(Assumptions!$B$19*Assumptions!$B$18,'Monthly Revenue'!E40*(1+Assumptions!$B$20)),Assumptions!$B$21),0)</f>
        <v>0</v>
      </c>
      <c r="G40" s="77">
        <f>IF(G$6&gt;0,MIN(MAX(Assumptions!$B$19*Assumptions!$B$18,'Monthly Revenue'!F40*(1+Assumptions!$B$20)),Assumptions!$B$21),0)</f>
        <v>0</v>
      </c>
      <c r="H40" s="77">
        <v>650</v>
      </c>
      <c r="I40" s="77">
        <v>650</v>
      </c>
      <c r="J40" s="77">
        <v>650</v>
      </c>
      <c r="K40" s="77">
        <v>650</v>
      </c>
      <c r="L40" s="77">
        <v>650</v>
      </c>
      <c r="M40" s="77">
        <v>650</v>
      </c>
      <c r="N40" s="77">
        <v>650</v>
      </c>
      <c r="O40" s="77">
        <v>650</v>
      </c>
      <c r="P40" s="77">
        <v>650</v>
      </c>
      <c r="Q40" s="77">
        <v>650</v>
      </c>
      <c r="R40" s="77">
        <v>650</v>
      </c>
      <c r="S40" s="77">
        <v>650</v>
      </c>
      <c r="T40" s="77">
        <v>682.5</v>
      </c>
      <c r="U40" s="77">
        <v>682.5</v>
      </c>
      <c r="V40" s="77">
        <v>682.5</v>
      </c>
      <c r="W40" s="77">
        <v>682.5</v>
      </c>
      <c r="X40" s="77">
        <v>682.5</v>
      </c>
      <c r="Y40" s="77">
        <v>682.5</v>
      </c>
      <c r="Z40" s="77">
        <v>682.5</v>
      </c>
      <c r="AA40" s="77">
        <v>682.5</v>
      </c>
      <c r="AB40" s="77">
        <v>682.5</v>
      </c>
      <c r="AC40" s="77">
        <v>682.5</v>
      </c>
      <c r="AD40" s="77">
        <v>682.5</v>
      </c>
      <c r="AE40" s="77">
        <v>682.5</v>
      </c>
      <c r="AF40" s="77">
        <v>717.15</v>
      </c>
      <c r="AG40" s="77">
        <v>717.15</v>
      </c>
      <c r="AH40" s="77">
        <v>717.15</v>
      </c>
      <c r="AI40" s="77">
        <v>717.15</v>
      </c>
      <c r="AJ40" s="77">
        <v>717.15</v>
      </c>
      <c r="AK40" s="77">
        <v>717.15</v>
      </c>
      <c r="AL40" s="77">
        <v>717.15</v>
      </c>
      <c r="AM40" s="77">
        <v>717.15</v>
      </c>
      <c r="AN40" s="77">
        <v>717.15</v>
      </c>
    </row>
    <row r="41" spans="1:40" x14ac:dyDescent="0.25">
      <c r="A41" s="103" t="s">
        <v>7</v>
      </c>
      <c r="E41" s="77">
        <f>IF(E$6&gt;0,MIN(MAX(Assumptions!$B$19*Assumptions!$B$18,'Monthly Revenue'!D41*(1+Assumptions!$B$20)),Assumptions!$B$21),0)</f>
        <v>0</v>
      </c>
      <c r="F41" s="77">
        <f>IF(F$6&gt;0,MIN(MAX(Assumptions!$B$19*Assumptions!$B$18,'Monthly Revenue'!E41*(1+Assumptions!$B$20)),Assumptions!$B$21),0)</f>
        <v>0</v>
      </c>
      <c r="G41" s="77">
        <f>IF(G$6&gt;0,MIN(MAX(Assumptions!$B$19*Assumptions!$B$18,'Monthly Revenue'!F41*(1+Assumptions!$B$20)),Assumptions!$B$21),0)</f>
        <v>0</v>
      </c>
      <c r="H41" s="77">
        <v>250</v>
      </c>
      <c r="I41" s="77">
        <v>250</v>
      </c>
      <c r="J41" s="77">
        <v>250</v>
      </c>
      <c r="K41" s="77">
        <v>250</v>
      </c>
      <c r="L41" s="77">
        <v>250</v>
      </c>
      <c r="M41" s="77">
        <v>250</v>
      </c>
      <c r="N41" s="77">
        <v>250</v>
      </c>
      <c r="O41" s="77">
        <v>250</v>
      </c>
      <c r="P41" s="77">
        <v>250</v>
      </c>
      <c r="Q41" s="77">
        <v>250</v>
      </c>
      <c r="R41" s="77">
        <v>250</v>
      </c>
      <c r="S41" s="77">
        <v>250</v>
      </c>
      <c r="T41" s="77">
        <v>262.5</v>
      </c>
      <c r="U41" s="77">
        <v>262.5</v>
      </c>
      <c r="V41" s="77">
        <v>262.5</v>
      </c>
      <c r="W41" s="77">
        <v>262.5</v>
      </c>
      <c r="X41" s="77">
        <v>262.5</v>
      </c>
      <c r="Y41" s="77">
        <v>262.5</v>
      </c>
      <c r="Z41" s="77">
        <v>262.5</v>
      </c>
      <c r="AA41" s="77">
        <v>262.5</v>
      </c>
      <c r="AB41" s="77">
        <v>262.5</v>
      </c>
      <c r="AC41" s="77">
        <v>262.5</v>
      </c>
      <c r="AD41" s="77">
        <v>262.5</v>
      </c>
      <c r="AE41" s="77">
        <v>262.5</v>
      </c>
      <c r="AF41" s="77">
        <v>276.14999999999998</v>
      </c>
      <c r="AG41" s="77">
        <v>276.14999999999998</v>
      </c>
      <c r="AH41" s="77">
        <v>276.14999999999998</v>
      </c>
      <c r="AI41" s="77">
        <v>276.14999999999998</v>
      </c>
      <c r="AJ41" s="77">
        <v>276.14999999999998</v>
      </c>
      <c r="AK41" s="77">
        <v>276.14999999999998</v>
      </c>
      <c r="AL41" s="77">
        <v>276.14999999999998</v>
      </c>
      <c r="AM41" s="77">
        <v>276.14999999999998</v>
      </c>
      <c r="AN41" s="77">
        <v>276.14999999999998</v>
      </c>
    </row>
    <row r="42" spans="1:40" x14ac:dyDescent="0.25">
      <c r="A42" s="103" t="s">
        <v>8</v>
      </c>
      <c r="E42" s="77">
        <f>IF(E$6&gt;0,MIN(MAX(Assumptions!$B$19*Assumptions!$B$18,'Monthly Revenue'!D42*(1+Assumptions!$B$20)),Assumptions!$B$21),0)</f>
        <v>0</v>
      </c>
      <c r="F42" s="77">
        <f>IF(F$6&gt;0,MIN(MAX(Assumptions!$B$19*Assumptions!$B$18,'Monthly Revenue'!E42*(1+Assumptions!$B$20)),Assumptions!$B$21),0)</f>
        <v>0</v>
      </c>
      <c r="G42" s="77">
        <f>IF(G$6&gt;0,MIN(MAX(Assumptions!$B$19*Assumptions!$B$18,'Monthly Revenue'!F42*(1+Assumptions!$B$20)),Assumptions!$B$21),0)</f>
        <v>0</v>
      </c>
      <c r="H42" s="77">
        <v>1000</v>
      </c>
      <c r="I42" s="77">
        <v>1000</v>
      </c>
      <c r="J42" s="77">
        <v>1000</v>
      </c>
      <c r="K42" s="77">
        <v>1000</v>
      </c>
      <c r="L42" s="77">
        <v>1000</v>
      </c>
      <c r="M42" s="77">
        <v>1000</v>
      </c>
      <c r="N42" s="77">
        <v>1000</v>
      </c>
      <c r="O42" s="77">
        <v>1000</v>
      </c>
      <c r="P42" s="77">
        <v>1000</v>
      </c>
      <c r="Q42" s="77">
        <v>1000</v>
      </c>
      <c r="R42" s="77">
        <v>1000</v>
      </c>
      <c r="S42" s="77">
        <v>1000</v>
      </c>
      <c r="T42" s="77">
        <v>1050</v>
      </c>
      <c r="U42" s="77">
        <v>1050</v>
      </c>
      <c r="V42" s="77">
        <v>1050</v>
      </c>
      <c r="W42" s="77">
        <v>1050</v>
      </c>
      <c r="X42" s="77">
        <v>1050</v>
      </c>
      <c r="Y42" s="77">
        <v>1050</v>
      </c>
      <c r="Z42" s="77">
        <v>1050</v>
      </c>
      <c r="AA42" s="77">
        <v>1050</v>
      </c>
      <c r="AB42" s="77">
        <v>1050</v>
      </c>
      <c r="AC42" s="77">
        <v>1050</v>
      </c>
      <c r="AD42" s="77">
        <v>1050</v>
      </c>
      <c r="AE42" s="77">
        <v>1050</v>
      </c>
      <c r="AF42" s="77">
        <v>1102.5</v>
      </c>
      <c r="AG42" s="77">
        <v>1102.5</v>
      </c>
      <c r="AH42" s="77">
        <v>1102.5</v>
      </c>
      <c r="AI42" s="77">
        <v>1102.5</v>
      </c>
      <c r="AJ42" s="77">
        <v>1102.5</v>
      </c>
      <c r="AK42" s="77">
        <v>1102.5</v>
      </c>
      <c r="AL42" s="77">
        <v>1102.5</v>
      </c>
      <c r="AM42" s="77">
        <v>1102.5</v>
      </c>
      <c r="AN42" s="77">
        <v>1102.5</v>
      </c>
    </row>
    <row r="43" spans="1:40" s="124" customFormat="1" ht="16.5" customHeight="1" x14ac:dyDescent="0.25">
      <c r="A43" s="121" t="s">
        <v>54</v>
      </c>
      <c r="B43" s="123"/>
      <c r="C43" s="123"/>
      <c r="D43" s="123"/>
      <c r="E43" s="122">
        <f t="shared" ref="E43" si="41">SUM(E40:E42)</f>
        <v>0</v>
      </c>
      <c r="F43" s="122">
        <f t="shared" ref="F43" si="42">SUM(F40:F42)</f>
        <v>0</v>
      </c>
      <c r="G43" s="122">
        <f t="shared" ref="G43" si="43">SUM(G40:G42)</f>
        <v>0</v>
      </c>
      <c r="H43" s="122">
        <f>SUM(H40:H42)</f>
        <v>1900</v>
      </c>
      <c r="I43" s="122">
        <f t="shared" ref="I43" si="44">SUM(I40:I42)</f>
        <v>1900</v>
      </c>
      <c r="J43" s="122">
        <f t="shared" ref="J43" si="45">SUM(J40:J42)</f>
        <v>1900</v>
      </c>
      <c r="K43" s="122">
        <f t="shared" ref="K43" si="46">SUM(K40:K42)</f>
        <v>1900</v>
      </c>
      <c r="L43" s="122">
        <f t="shared" ref="L43" si="47">SUM(L40:L42)</f>
        <v>1900</v>
      </c>
      <c r="M43" s="122">
        <f t="shared" ref="M43" si="48">SUM(M40:M42)</f>
        <v>1900</v>
      </c>
      <c r="N43" s="122">
        <f t="shared" ref="N43" si="49">SUM(N40:N42)</f>
        <v>1900</v>
      </c>
      <c r="O43" s="122">
        <f t="shared" ref="O43" si="50">SUM(O40:O42)</f>
        <v>1900</v>
      </c>
      <c r="P43" s="122">
        <f t="shared" ref="P43" si="51">SUM(P40:P42)</f>
        <v>1900</v>
      </c>
      <c r="Q43" s="122">
        <f t="shared" ref="Q43" si="52">SUM(Q40:Q42)</f>
        <v>1900</v>
      </c>
      <c r="R43" s="122">
        <f t="shared" ref="R43" si="53">SUM(R40:R42)</f>
        <v>1900</v>
      </c>
      <c r="S43" s="122">
        <f t="shared" ref="S43" si="54">SUM(S40:S42)</f>
        <v>1900</v>
      </c>
      <c r="T43" s="122">
        <f>SUM(T40:T42)</f>
        <v>1995</v>
      </c>
      <c r="U43" s="122">
        <f t="shared" ref="U43" si="55">SUM(U40:U42)</f>
        <v>1995</v>
      </c>
      <c r="V43" s="122">
        <f t="shared" ref="V43" si="56">SUM(V40:V42)</f>
        <v>1995</v>
      </c>
      <c r="W43" s="122">
        <f t="shared" ref="W43" si="57">SUM(W40:W42)</f>
        <v>1995</v>
      </c>
      <c r="X43" s="122">
        <f t="shared" ref="X43" si="58">SUM(X40:X42)</f>
        <v>1995</v>
      </c>
      <c r="Y43" s="122">
        <f t="shared" ref="Y43" si="59">SUM(Y40:Y42)</f>
        <v>1995</v>
      </c>
      <c r="Z43" s="122">
        <f t="shared" ref="Z43" si="60">SUM(Z40:Z42)</f>
        <v>1995</v>
      </c>
      <c r="AA43" s="122">
        <f t="shared" ref="AA43" si="61">SUM(AA40:AA42)</f>
        <v>1995</v>
      </c>
      <c r="AB43" s="122">
        <f t="shared" ref="AB43" si="62">SUM(AB40:AB42)</f>
        <v>1995</v>
      </c>
      <c r="AC43" s="122">
        <f t="shared" ref="AC43" si="63">SUM(AC40:AC42)</f>
        <v>1995</v>
      </c>
      <c r="AD43" s="122">
        <f t="shared" ref="AD43" si="64">SUM(AD40:AD42)</f>
        <v>1995</v>
      </c>
      <c r="AE43" s="122">
        <f t="shared" ref="AE43" si="65">SUM(AE40:AE42)</f>
        <v>1995</v>
      </c>
      <c r="AF43" s="122">
        <f>SUM(AF40:AF42)</f>
        <v>2095.8000000000002</v>
      </c>
      <c r="AG43" s="122">
        <f t="shared" ref="AG43" si="66">SUM(AG40:AG42)</f>
        <v>2095.8000000000002</v>
      </c>
      <c r="AH43" s="122">
        <f>SUM(AH40:AH42)</f>
        <v>2095.8000000000002</v>
      </c>
      <c r="AI43" s="122">
        <f t="shared" ref="AI43" si="67">SUM(AI40:AI42)</f>
        <v>2095.8000000000002</v>
      </c>
      <c r="AJ43" s="122">
        <f t="shared" ref="AJ43" si="68">SUM(AJ40:AJ42)</f>
        <v>2095.8000000000002</v>
      </c>
      <c r="AK43" s="122">
        <f t="shared" ref="AK43" si="69">SUM(AK40:AK42)</f>
        <v>2095.8000000000002</v>
      </c>
      <c r="AL43" s="122">
        <f t="shared" ref="AL43" si="70">SUM(AL40:AL42)</f>
        <v>2095.8000000000002</v>
      </c>
      <c r="AM43" s="122">
        <f t="shared" ref="AM43" si="71">SUM(AM40:AM42)</f>
        <v>2095.8000000000002</v>
      </c>
      <c r="AN43" s="122">
        <f t="shared" ref="AN43" si="72">SUM(AN40:AN42)</f>
        <v>2095.8000000000002</v>
      </c>
    </row>
    <row r="46" spans="1:40" x14ac:dyDescent="0.25">
      <c r="A46" s="106" t="s">
        <v>113</v>
      </c>
    </row>
    <row r="47" spans="1:40" x14ac:dyDescent="0.25">
      <c r="A47" s="106"/>
    </row>
    <row r="48" spans="1:40" x14ac:dyDescent="0.25">
      <c r="A48" s="113" t="s">
        <v>2</v>
      </c>
    </row>
    <row r="49" spans="1:41" x14ac:dyDescent="0.25">
      <c r="A49" s="7" t="s">
        <v>4</v>
      </c>
    </row>
    <row r="50" spans="1:41" x14ac:dyDescent="0.25">
      <c r="A50" s="103" t="s">
        <v>6</v>
      </c>
      <c r="E50" s="107">
        <f t="shared" ref="E50:AN50" si="73">E$11*E$6*E21/den</f>
        <v>0</v>
      </c>
      <c r="F50" s="107">
        <f t="shared" si="73"/>
        <v>0</v>
      </c>
      <c r="G50" s="107">
        <f t="shared" si="73"/>
        <v>0</v>
      </c>
      <c r="H50" s="107">
        <f t="shared" si="73"/>
        <v>1.38</v>
      </c>
      <c r="I50" s="107">
        <f t="shared" si="73"/>
        <v>1.2851999999999999</v>
      </c>
      <c r="J50" s="107">
        <f t="shared" si="73"/>
        <v>1.3733280000000001</v>
      </c>
      <c r="K50" s="107">
        <f t="shared" si="73"/>
        <v>1.40079456</v>
      </c>
      <c r="L50" s="107">
        <f t="shared" si="73"/>
        <v>1.3638645216</v>
      </c>
      <c r="M50" s="107">
        <f t="shared" si="73"/>
        <v>1.5236315084160004</v>
      </c>
      <c r="N50" s="107">
        <f t="shared" si="73"/>
        <v>1.4189646482726401</v>
      </c>
      <c r="O50" s="107">
        <f t="shared" si="73"/>
        <v>1.3784228011791362</v>
      </c>
      <c r="P50" s="107">
        <f t="shared" si="73"/>
        <v>1.6168899457831267</v>
      </c>
      <c r="Q50" s="107">
        <f t="shared" si="73"/>
        <v>1.5775221905814507</v>
      </c>
      <c r="R50" s="107">
        <f t="shared" si="73"/>
        <v>1.5359329691933938</v>
      </c>
      <c r="S50" s="107">
        <f t="shared" si="73"/>
        <v>1.6412540870809413</v>
      </c>
      <c r="T50" s="107">
        <f t="shared" si="73"/>
        <v>1.7577831272636877</v>
      </c>
      <c r="U50" s="107">
        <f t="shared" si="73"/>
        <v>1.7929387898089617</v>
      </c>
      <c r="V50" s="107">
        <f t="shared" si="73"/>
        <v>1.8287975656051407</v>
      </c>
      <c r="W50" s="107">
        <f t="shared" si="73"/>
        <v>1.7805838116028236</v>
      </c>
      <c r="X50" s="107">
        <f t="shared" si="73"/>
        <v>1.9026809872555888</v>
      </c>
      <c r="Y50" s="107">
        <f t="shared" si="73"/>
        <v>2.0289498164098232</v>
      </c>
      <c r="Z50" s="107">
        <f t="shared" si="73"/>
        <v>1.8895697855434095</v>
      </c>
      <c r="AA50" s="107">
        <f t="shared" si="73"/>
        <v>1.8355820773850264</v>
      </c>
      <c r="AB50" s="107">
        <f t="shared" si="73"/>
        <v>2.1531377767726356</v>
      </c>
      <c r="AC50" s="107">
        <f t="shared" si="73"/>
        <v>2.0052265729769507</v>
      </c>
      <c r="AD50" s="107">
        <f t="shared" si="73"/>
        <v>2.14272782369537</v>
      </c>
      <c r="AE50" s="107">
        <f t="shared" si="73"/>
        <v>2.1855823801692775</v>
      </c>
      <c r="AF50" s="107">
        <f t="shared" si="73"/>
        <v>2.2343606051085101</v>
      </c>
      <c r="AG50" s="107">
        <f t="shared" si="73"/>
        <v>2.4960999902783638</v>
      </c>
      <c r="AH50" s="107">
        <f t="shared" si="73"/>
        <v>2.4353253818194127</v>
      </c>
      <c r="AI50" s="107">
        <f t="shared" si="73"/>
        <v>2.3711213490259921</v>
      </c>
      <c r="AJ50" s="107">
        <f t="shared" si="73"/>
        <v>2.5337125272449175</v>
      </c>
      <c r="AK50" s="107">
        <f t="shared" si="73"/>
        <v>2.5843867777898155</v>
      </c>
      <c r="AL50" s="107">
        <f t="shared" si="73"/>
        <v>2.636074513345612</v>
      </c>
      <c r="AM50" s="107">
        <f t="shared" si="73"/>
        <v>2.4443600032841131</v>
      </c>
      <c r="AN50" s="107">
        <f t="shared" si="73"/>
        <v>2.8672342838522646</v>
      </c>
    </row>
    <row r="51" spans="1:41" x14ac:dyDescent="0.25">
      <c r="A51" s="103" t="s">
        <v>7</v>
      </c>
      <c r="E51" s="107">
        <f t="shared" ref="E51:AN51" si="74">E$11*E$6*E22/den</f>
        <v>0</v>
      </c>
      <c r="F51" s="107">
        <f t="shared" si="74"/>
        <v>0</v>
      </c>
      <c r="G51" s="107">
        <f t="shared" si="74"/>
        <v>0</v>
      </c>
      <c r="H51" s="107">
        <f t="shared" si="74"/>
        <v>0.92</v>
      </c>
      <c r="I51" s="107">
        <f t="shared" si="74"/>
        <v>0.85680000000000001</v>
      </c>
      <c r="J51" s="107">
        <f t="shared" si="74"/>
        <v>0.91555199999999992</v>
      </c>
      <c r="K51" s="107">
        <f t="shared" si="74"/>
        <v>0.93386304000000009</v>
      </c>
      <c r="L51" s="107">
        <f t="shared" si="74"/>
        <v>0.9092430144000001</v>
      </c>
      <c r="M51" s="107">
        <f t="shared" si="74"/>
        <v>1.015754338944</v>
      </c>
      <c r="N51" s="107">
        <f t="shared" si="74"/>
        <v>0.94597643218175997</v>
      </c>
      <c r="O51" s="107">
        <f t="shared" si="74"/>
        <v>0.91894853411942401</v>
      </c>
      <c r="P51" s="107">
        <f t="shared" si="74"/>
        <v>1.0779266305220845</v>
      </c>
      <c r="Q51" s="107">
        <f t="shared" si="74"/>
        <v>1.0516814603876337</v>
      </c>
      <c r="R51" s="107">
        <f t="shared" si="74"/>
        <v>1.023955312795596</v>
      </c>
      <c r="S51" s="107">
        <f t="shared" si="74"/>
        <v>1.0941693913872941</v>
      </c>
      <c r="T51" s="107">
        <f t="shared" si="74"/>
        <v>1.1718554181757919</v>
      </c>
      <c r="U51" s="107">
        <f t="shared" si="74"/>
        <v>1.195292526539308</v>
      </c>
      <c r="V51" s="107">
        <f t="shared" si="74"/>
        <v>1.2191983770700938</v>
      </c>
      <c r="W51" s="107">
        <f t="shared" si="74"/>
        <v>1.1870558744018824</v>
      </c>
      <c r="X51" s="107">
        <f t="shared" si="74"/>
        <v>1.2684539915037258</v>
      </c>
      <c r="Y51" s="107">
        <f t="shared" si="74"/>
        <v>1.3526332109398822</v>
      </c>
      <c r="Z51" s="107">
        <f t="shared" si="74"/>
        <v>1.2597131903622729</v>
      </c>
      <c r="AA51" s="107">
        <f t="shared" si="74"/>
        <v>1.2237213849233508</v>
      </c>
      <c r="AB51" s="107">
        <f t="shared" si="74"/>
        <v>1.4354251845150903</v>
      </c>
      <c r="AC51" s="107">
        <f t="shared" si="74"/>
        <v>1.3368177153179672</v>
      </c>
      <c r="AD51" s="107">
        <f t="shared" si="74"/>
        <v>1.4284852157969132</v>
      </c>
      <c r="AE51" s="107">
        <f t="shared" si="74"/>
        <v>1.4570549201128515</v>
      </c>
      <c r="AF51" s="107">
        <f t="shared" si="74"/>
        <v>1.4895737367390067</v>
      </c>
      <c r="AG51" s="107">
        <f t="shared" si="74"/>
        <v>1.6640666601855758</v>
      </c>
      <c r="AH51" s="107">
        <f t="shared" si="74"/>
        <v>1.6235502545462752</v>
      </c>
      <c r="AI51" s="107">
        <f t="shared" si="74"/>
        <v>1.580747566017328</v>
      </c>
      <c r="AJ51" s="107">
        <f t="shared" si="74"/>
        <v>1.6891416848299448</v>
      </c>
      <c r="AK51" s="107">
        <f t="shared" si="74"/>
        <v>1.7229245185265436</v>
      </c>
      <c r="AL51" s="107">
        <f t="shared" si="74"/>
        <v>1.7573830088970745</v>
      </c>
      <c r="AM51" s="107">
        <f t="shared" si="74"/>
        <v>1.6295733355227418</v>
      </c>
      <c r="AN51" s="107">
        <f t="shared" si="74"/>
        <v>1.9114895225681763</v>
      </c>
    </row>
    <row r="52" spans="1:41" x14ac:dyDescent="0.25">
      <c r="A52" s="103" t="s">
        <v>8</v>
      </c>
      <c r="E52" s="107">
        <f t="shared" ref="E52:AN52" si="75">E$11*E$6*E23/den</f>
        <v>0</v>
      </c>
      <c r="F52" s="107">
        <f t="shared" si="75"/>
        <v>0</v>
      </c>
      <c r="G52" s="107">
        <f t="shared" si="75"/>
        <v>0</v>
      </c>
      <c r="H52" s="107">
        <f t="shared" si="75"/>
        <v>4.5999999999999996</v>
      </c>
      <c r="I52" s="107">
        <f t="shared" si="75"/>
        <v>4.2839999999999998</v>
      </c>
      <c r="J52" s="107">
        <f t="shared" si="75"/>
        <v>4.5777599999999996</v>
      </c>
      <c r="K52" s="107">
        <f t="shared" si="75"/>
        <v>4.6693151999999998</v>
      </c>
      <c r="L52" s="107">
        <f t="shared" si="75"/>
        <v>4.5462150720000007</v>
      </c>
      <c r="M52" s="107">
        <f t="shared" si="75"/>
        <v>5.0787716947200003</v>
      </c>
      <c r="N52" s="107">
        <f t="shared" si="75"/>
        <v>4.7298821609088009</v>
      </c>
      <c r="O52" s="107">
        <f t="shared" si="75"/>
        <v>4.5947426705971202</v>
      </c>
      <c r="P52" s="107">
        <f t="shared" si="75"/>
        <v>5.389633152610422</v>
      </c>
      <c r="Q52" s="107">
        <f t="shared" si="75"/>
        <v>5.2584073019381679</v>
      </c>
      <c r="R52" s="107">
        <f t="shared" si="75"/>
        <v>5.1197765639779798</v>
      </c>
      <c r="S52" s="107">
        <f t="shared" si="75"/>
        <v>5.4708469569364704</v>
      </c>
      <c r="T52" s="107">
        <f t="shared" si="75"/>
        <v>5.8592770908789591</v>
      </c>
      <c r="U52" s="107">
        <f t="shared" si="75"/>
        <v>5.9764626326965393</v>
      </c>
      <c r="V52" s="107">
        <f t="shared" si="75"/>
        <v>6.0959918853504691</v>
      </c>
      <c r="W52" s="107">
        <f t="shared" si="75"/>
        <v>5.9352793720094112</v>
      </c>
      <c r="X52" s="107">
        <f t="shared" si="75"/>
        <v>6.3422699575186288</v>
      </c>
      <c r="Y52" s="107">
        <f t="shared" si="75"/>
        <v>6.7631660546994103</v>
      </c>
      <c r="Z52" s="107">
        <f t="shared" si="75"/>
        <v>6.2985659518113648</v>
      </c>
      <c r="AA52" s="107">
        <f t="shared" si="75"/>
        <v>6.1186069246167554</v>
      </c>
      <c r="AB52" s="107">
        <f t="shared" si="75"/>
        <v>7.1771259225754518</v>
      </c>
      <c r="AC52" s="107">
        <f t="shared" si="75"/>
        <v>6.6840885765898355</v>
      </c>
      <c r="AD52" s="107">
        <f t="shared" si="75"/>
        <v>7.1424260789845659</v>
      </c>
      <c r="AE52" s="107">
        <f t="shared" si="75"/>
        <v>7.2852746005642581</v>
      </c>
      <c r="AF52" s="107">
        <f t="shared" si="75"/>
        <v>7.4478686836950327</v>
      </c>
      <c r="AG52" s="107">
        <f t="shared" si="75"/>
        <v>8.3203333009278797</v>
      </c>
      <c r="AH52" s="107">
        <f t="shared" si="75"/>
        <v>8.1177512727313754</v>
      </c>
      <c r="AI52" s="107">
        <f t="shared" si="75"/>
        <v>7.9037378300866399</v>
      </c>
      <c r="AJ52" s="107">
        <f t="shared" si="75"/>
        <v>8.4457084241497231</v>
      </c>
      <c r="AK52" s="107">
        <f t="shared" si="75"/>
        <v>8.6146225926327187</v>
      </c>
      <c r="AL52" s="107">
        <f t="shared" si="75"/>
        <v>8.7869150444853741</v>
      </c>
      <c r="AM52" s="107">
        <f t="shared" si="75"/>
        <v>8.1478666776137096</v>
      </c>
      <c r="AN52" s="107">
        <f t="shared" si="75"/>
        <v>9.5574476128408818</v>
      </c>
    </row>
    <row r="53" spans="1:41" s="120" customFormat="1" x14ac:dyDescent="0.25">
      <c r="A53" s="121" t="s">
        <v>54</v>
      </c>
      <c r="B53" s="118"/>
      <c r="C53" s="118"/>
      <c r="D53" s="118"/>
      <c r="E53" s="122">
        <f t="shared" ref="E53:AN53" si="76">SUM(E50:E52)</f>
        <v>0</v>
      </c>
      <c r="F53" s="122">
        <f t="shared" si="76"/>
        <v>0</v>
      </c>
      <c r="G53" s="122">
        <f t="shared" si="76"/>
        <v>0</v>
      </c>
      <c r="H53" s="122">
        <f t="shared" si="76"/>
        <v>6.8999999999999995</v>
      </c>
      <c r="I53" s="122">
        <f t="shared" si="76"/>
        <v>6.4260000000000002</v>
      </c>
      <c r="J53" s="122">
        <f t="shared" si="76"/>
        <v>6.8666399999999994</v>
      </c>
      <c r="K53" s="122">
        <f t="shared" si="76"/>
        <v>7.0039727999999997</v>
      </c>
      <c r="L53" s="122">
        <f t="shared" si="76"/>
        <v>6.8193226080000011</v>
      </c>
      <c r="M53" s="122">
        <f t="shared" si="76"/>
        <v>7.6181575420800005</v>
      </c>
      <c r="N53" s="122">
        <f t="shared" si="76"/>
        <v>7.0948232413632013</v>
      </c>
      <c r="O53" s="122">
        <f t="shared" si="76"/>
        <v>6.8921140058956798</v>
      </c>
      <c r="P53" s="122">
        <f t="shared" si="76"/>
        <v>8.084449728915633</v>
      </c>
      <c r="Q53" s="122">
        <f t="shared" si="76"/>
        <v>7.8876109529072522</v>
      </c>
      <c r="R53" s="122">
        <f t="shared" si="76"/>
        <v>7.6796648459669701</v>
      </c>
      <c r="S53" s="122">
        <f t="shared" si="76"/>
        <v>8.206270435404706</v>
      </c>
      <c r="T53" s="122">
        <f t="shared" si="76"/>
        <v>8.7889156363184391</v>
      </c>
      <c r="U53" s="122">
        <f t="shared" si="76"/>
        <v>8.9646939490448094</v>
      </c>
      <c r="V53" s="122">
        <f t="shared" si="76"/>
        <v>9.1439878280257041</v>
      </c>
      <c r="W53" s="122">
        <f t="shared" si="76"/>
        <v>8.9029190580141169</v>
      </c>
      <c r="X53" s="122">
        <f t="shared" si="76"/>
        <v>9.5134049362779436</v>
      </c>
      <c r="Y53" s="122">
        <f t="shared" si="76"/>
        <v>10.144749082049117</v>
      </c>
      <c r="Z53" s="122">
        <f t="shared" si="76"/>
        <v>9.4478489277170468</v>
      </c>
      <c r="AA53" s="122">
        <f t="shared" si="76"/>
        <v>9.1779103869251326</v>
      </c>
      <c r="AB53" s="122">
        <f t="shared" si="76"/>
        <v>10.765688883863177</v>
      </c>
      <c r="AC53" s="122">
        <f t="shared" si="76"/>
        <v>10.026132864884755</v>
      </c>
      <c r="AD53" s="122">
        <f t="shared" si="76"/>
        <v>10.713639118476848</v>
      </c>
      <c r="AE53" s="122">
        <f t="shared" si="76"/>
        <v>10.927911900846388</v>
      </c>
      <c r="AF53" s="122">
        <f t="shared" si="76"/>
        <v>11.17180302554255</v>
      </c>
      <c r="AG53" s="122">
        <f t="shared" si="76"/>
        <v>12.48049995139182</v>
      </c>
      <c r="AH53" s="122">
        <f t="shared" si="76"/>
        <v>12.176626909097063</v>
      </c>
      <c r="AI53" s="122">
        <f t="shared" si="76"/>
        <v>11.855606745129961</v>
      </c>
      <c r="AJ53" s="122">
        <f t="shared" si="76"/>
        <v>12.668562636224586</v>
      </c>
      <c r="AK53" s="122">
        <f t="shared" si="76"/>
        <v>12.921933888949077</v>
      </c>
      <c r="AL53" s="122">
        <f t="shared" si="76"/>
        <v>13.18037256672806</v>
      </c>
      <c r="AM53" s="122">
        <f t="shared" si="76"/>
        <v>12.221800016420564</v>
      </c>
      <c r="AN53" s="122">
        <f t="shared" si="76"/>
        <v>14.336171419261323</v>
      </c>
      <c r="AO53" s="124"/>
    </row>
    <row r="55" spans="1:41" x14ac:dyDescent="0.25">
      <c r="A55" s="102" t="s">
        <v>16</v>
      </c>
    </row>
    <row r="56" spans="1:41" x14ac:dyDescent="0.25">
      <c r="A56" s="103" t="s">
        <v>6</v>
      </c>
      <c r="E56" s="77">
        <f t="shared" ref="E56:AN56" si="77">E$12*E$6*E27/den</f>
        <v>0</v>
      </c>
      <c r="F56" s="77">
        <f t="shared" si="77"/>
        <v>0</v>
      </c>
      <c r="G56" s="77">
        <f t="shared" si="77"/>
        <v>0</v>
      </c>
      <c r="H56" s="77">
        <f t="shared" si="77"/>
        <v>2.3919999999999999</v>
      </c>
      <c r="I56" s="77">
        <f t="shared" si="77"/>
        <v>2.2276799999999999</v>
      </c>
      <c r="J56" s="77">
        <f t="shared" si="77"/>
        <v>2.3804352</v>
      </c>
      <c r="K56" s="77">
        <f t="shared" si="77"/>
        <v>2.4280439039999999</v>
      </c>
      <c r="L56" s="77">
        <f t="shared" si="77"/>
        <v>2.3640318374399998</v>
      </c>
      <c r="M56" s="77">
        <f t="shared" si="77"/>
        <v>2.6409612812543997</v>
      </c>
      <c r="N56" s="77">
        <f t="shared" si="77"/>
        <v>2.4595387236725759</v>
      </c>
      <c r="O56" s="77">
        <f t="shared" si="77"/>
        <v>2.3892661887105024</v>
      </c>
      <c r="P56" s="77">
        <f t="shared" si="77"/>
        <v>2.8026092393574196</v>
      </c>
      <c r="Q56" s="77">
        <f t="shared" si="77"/>
        <v>2.7343717970078472</v>
      </c>
      <c r="R56" s="77">
        <f t="shared" si="77"/>
        <v>2.6622838132685498</v>
      </c>
      <c r="S56" s="77">
        <f t="shared" si="77"/>
        <v>2.8448404176069646</v>
      </c>
      <c r="T56" s="77">
        <f t="shared" si="77"/>
        <v>3.0468240872570589</v>
      </c>
      <c r="U56" s="77">
        <f t="shared" si="77"/>
        <v>3.1077605690021999</v>
      </c>
      <c r="V56" s="77">
        <f t="shared" si="77"/>
        <v>3.1699157803822442</v>
      </c>
      <c r="W56" s="77">
        <f t="shared" si="77"/>
        <v>3.086345273444894</v>
      </c>
      <c r="X56" s="77">
        <f t="shared" si="77"/>
        <v>3.2979803779096866</v>
      </c>
      <c r="Y56" s="77">
        <f t="shared" si="77"/>
        <v>3.5168463484436927</v>
      </c>
      <c r="Z56" s="77">
        <f t="shared" si="77"/>
        <v>3.275254294941909</v>
      </c>
      <c r="AA56" s="77">
        <f t="shared" si="77"/>
        <v>3.1816756008007121</v>
      </c>
      <c r="AB56" s="77">
        <f t="shared" si="77"/>
        <v>3.7321054797392352</v>
      </c>
      <c r="AC56" s="77">
        <f t="shared" si="77"/>
        <v>3.4757260598267137</v>
      </c>
      <c r="AD56" s="77">
        <f t="shared" si="77"/>
        <v>3.7140615610719747</v>
      </c>
      <c r="AE56" s="77">
        <f t="shared" si="77"/>
        <v>3.7883427922934136</v>
      </c>
      <c r="AF56" s="77">
        <f t="shared" si="77"/>
        <v>3.8728917155214164</v>
      </c>
      <c r="AG56" s="77">
        <f t="shared" si="77"/>
        <v>4.3265733164824969</v>
      </c>
      <c r="AH56" s="77">
        <f t="shared" si="77"/>
        <v>4.2212306618203144</v>
      </c>
      <c r="AI56" s="77">
        <f t="shared" si="77"/>
        <v>4.1099436716450519</v>
      </c>
      <c r="AJ56" s="77">
        <f t="shared" si="77"/>
        <v>4.3917683805578553</v>
      </c>
      <c r="AK56" s="77">
        <f t="shared" si="77"/>
        <v>4.479603748169013</v>
      </c>
      <c r="AL56" s="77">
        <f t="shared" si="77"/>
        <v>4.569195823132393</v>
      </c>
      <c r="AM56" s="77">
        <f t="shared" si="77"/>
        <v>4.2368906723591282</v>
      </c>
      <c r="AN56" s="77">
        <f t="shared" si="77"/>
        <v>4.9698727586772566</v>
      </c>
    </row>
    <row r="57" spans="1:41" x14ac:dyDescent="0.25">
      <c r="A57" s="103" t="s">
        <v>7</v>
      </c>
      <c r="E57" s="77">
        <f t="shared" ref="E57:AN57" si="78">E$12*E$6*E28/den</f>
        <v>0</v>
      </c>
      <c r="F57" s="77">
        <f t="shared" si="78"/>
        <v>0</v>
      </c>
      <c r="G57" s="77">
        <f t="shared" si="78"/>
        <v>0</v>
      </c>
      <c r="H57" s="77">
        <f t="shared" si="78"/>
        <v>1.196</v>
      </c>
      <c r="I57" s="77">
        <f t="shared" si="78"/>
        <v>1.1138399999999999</v>
      </c>
      <c r="J57" s="77">
        <f t="shared" si="78"/>
        <v>1.1902176</v>
      </c>
      <c r="K57" s="77">
        <f t="shared" si="78"/>
        <v>1.214021952</v>
      </c>
      <c r="L57" s="77">
        <f t="shared" si="78"/>
        <v>1.1820159187199999</v>
      </c>
      <c r="M57" s="77">
        <f t="shared" si="78"/>
        <v>1.3204806406271998</v>
      </c>
      <c r="N57" s="77">
        <f t="shared" si="78"/>
        <v>1.2297693618362879</v>
      </c>
      <c r="O57" s="77">
        <f t="shared" si="78"/>
        <v>1.1946330943552512</v>
      </c>
      <c r="P57" s="77">
        <f t="shared" si="78"/>
        <v>1.4013046196787098</v>
      </c>
      <c r="Q57" s="77">
        <f t="shared" si="78"/>
        <v>1.3671858985039236</v>
      </c>
      <c r="R57" s="77">
        <f t="shared" si="78"/>
        <v>1.3311419066342749</v>
      </c>
      <c r="S57" s="77">
        <f t="shared" si="78"/>
        <v>1.4224202088034823</v>
      </c>
      <c r="T57" s="77">
        <f t="shared" si="78"/>
        <v>1.5234120436285294</v>
      </c>
      <c r="U57" s="77">
        <f t="shared" si="78"/>
        <v>1.5538802845010999</v>
      </c>
      <c r="V57" s="77">
        <f t="shared" si="78"/>
        <v>1.5849578901911221</v>
      </c>
      <c r="W57" s="77">
        <f t="shared" si="78"/>
        <v>1.543172636722447</v>
      </c>
      <c r="X57" s="77">
        <f t="shared" si="78"/>
        <v>1.6489901889548433</v>
      </c>
      <c r="Y57" s="77">
        <f t="shared" si="78"/>
        <v>1.7584231742218464</v>
      </c>
      <c r="Z57" s="77">
        <f t="shared" si="78"/>
        <v>1.6376271474709545</v>
      </c>
      <c r="AA57" s="77">
        <f t="shared" si="78"/>
        <v>1.5908378004003561</v>
      </c>
      <c r="AB57" s="77">
        <f t="shared" si="78"/>
        <v>1.8660527398696176</v>
      </c>
      <c r="AC57" s="77">
        <f t="shared" si="78"/>
        <v>1.7378630299133568</v>
      </c>
      <c r="AD57" s="77">
        <f t="shared" si="78"/>
        <v>1.8570307805359874</v>
      </c>
      <c r="AE57" s="77">
        <f t="shared" si="78"/>
        <v>1.8941713961467068</v>
      </c>
      <c r="AF57" s="77">
        <f t="shared" si="78"/>
        <v>1.9364458577607082</v>
      </c>
      <c r="AG57" s="77">
        <f t="shared" si="78"/>
        <v>2.1632866582412484</v>
      </c>
      <c r="AH57" s="77">
        <f t="shared" si="78"/>
        <v>2.1106153309101572</v>
      </c>
      <c r="AI57" s="77">
        <f t="shared" si="78"/>
        <v>2.054971835822526</v>
      </c>
      <c r="AJ57" s="77">
        <f t="shared" si="78"/>
        <v>2.1958841902789277</v>
      </c>
      <c r="AK57" s="77">
        <f t="shared" si="78"/>
        <v>2.2398018740845065</v>
      </c>
      <c r="AL57" s="77">
        <f t="shared" si="78"/>
        <v>2.2845979115661965</v>
      </c>
      <c r="AM57" s="77">
        <f t="shared" si="78"/>
        <v>2.1184453361795641</v>
      </c>
      <c r="AN57" s="77">
        <f t="shared" si="78"/>
        <v>2.4849363793386283</v>
      </c>
    </row>
    <row r="58" spans="1:41" x14ac:dyDescent="0.25">
      <c r="A58" s="103" t="s">
        <v>8</v>
      </c>
      <c r="E58" s="77">
        <f t="shared" ref="E58:AN58" si="79">E$12*E$6*E29/den</f>
        <v>0</v>
      </c>
      <c r="F58" s="77">
        <f t="shared" si="79"/>
        <v>0</v>
      </c>
      <c r="G58" s="77">
        <f t="shared" si="79"/>
        <v>0</v>
      </c>
      <c r="H58" s="77">
        <f t="shared" si="79"/>
        <v>5.98</v>
      </c>
      <c r="I58" s="77">
        <f t="shared" si="79"/>
        <v>5.5692000000000004</v>
      </c>
      <c r="J58" s="77">
        <f t="shared" si="79"/>
        <v>5.9510879999999995</v>
      </c>
      <c r="K58" s="77">
        <f t="shared" si="79"/>
        <v>6.0701097600000002</v>
      </c>
      <c r="L58" s="77">
        <f t="shared" si="79"/>
        <v>5.9100795935999999</v>
      </c>
      <c r="M58" s="77">
        <f t="shared" si="79"/>
        <v>6.6024032031360003</v>
      </c>
      <c r="N58" s="77">
        <f t="shared" si="79"/>
        <v>6.1488468091814399</v>
      </c>
      <c r="O58" s="77">
        <f t="shared" si="79"/>
        <v>5.9731654717762561</v>
      </c>
      <c r="P58" s="77">
        <f t="shared" si="79"/>
        <v>7.006523098393548</v>
      </c>
      <c r="Q58" s="77">
        <f t="shared" si="79"/>
        <v>6.835929492519619</v>
      </c>
      <c r="R58" s="77">
        <f t="shared" si="79"/>
        <v>6.6557095331713745</v>
      </c>
      <c r="S58" s="77">
        <f t="shared" si="79"/>
        <v>7.1121010440174102</v>
      </c>
      <c r="T58" s="77">
        <f t="shared" si="79"/>
        <v>7.6170602181426457</v>
      </c>
      <c r="U58" s="77">
        <f t="shared" si="79"/>
        <v>7.7694014225055001</v>
      </c>
      <c r="V58" s="77">
        <f t="shared" si="79"/>
        <v>7.9247894509556112</v>
      </c>
      <c r="W58" s="77">
        <f t="shared" si="79"/>
        <v>7.7158631836122353</v>
      </c>
      <c r="X58" s="77">
        <f t="shared" si="79"/>
        <v>8.2449509447742173</v>
      </c>
      <c r="Y58" s="77">
        <f t="shared" si="79"/>
        <v>8.7921158711092318</v>
      </c>
      <c r="Z58" s="77">
        <f t="shared" si="79"/>
        <v>8.1881357373547736</v>
      </c>
      <c r="AA58" s="77">
        <f t="shared" si="79"/>
        <v>7.9541890020017796</v>
      </c>
      <c r="AB58" s="77">
        <f t="shared" si="79"/>
        <v>9.3302636993480874</v>
      </c>
      <c r="AC58" s="77">
        <f t="shared" si="79"/>
        <v>8.6893151495667844</v>
      </c>
      <c r="AD58" s="77">
        <f t="shared" si="79"/>
        <v>9.2851539026799355</v>
      </c>
      <c r="AE58" s="77">
        <f t="shared" si="79"/>
        <v>9.4708569807335348</v>
      </c>
      <c r="AF58" s="77">
        <f t="shared" si="79"/>
        <v>9.6822292888035424</v>
      </c>
      <c r="AG58" s="77">
        <f t="shared" si="79"/>
        <v>10.816433291206243</v>
      </c>
      <c r="AH58" s="77">
        <f t="shared" si="79"/>
        <v>10.553076654550788</v>
      </c>
      <c r="AI58" s="77">
        <f t="shared" si="79"/>
        <v>10.274859179112628</v>
      </c>
      <c r="AJ58" s="77">
        <f t="shared" si="79"/>
        <v>10.979420951394639</v>
      </c>
      <c r="AK58" s="77">
        <f t="shared" si="79"/>
        <v>11.19900937042253</v>
      </c>
      <c r="AL58" s="77">
        <f t="shared" si="79"/>
        <v>11.422989557830983</v>
      </c>
      <c r="AM58" s="77">
        <f t="shared" si="79"/>
        <v>10.592226680897818</v>
      </c>
      <c r="AN58" s="77">
        <f t="shared" si="79"/>
        <v>12.424681896693142</v>
      </c>
    </row>
    <row r="59" spans="1:41" s="124" customFormat="1" x14ac:dyDescent="0.25">
      <c r="A59" s="121" t="s">
        <v>54</v>
      </c>
      <c r="B59" s="123"/>
      <c r="C59" s="123"/>
      <c r="D59" s="123"/>
      <c r="E59" s="122">
        <f>SUM(E56:E58)</f>
        <v>0</v>
      </c>
      <c r="F59" s="122">
        <f t="shared" ref="F59:AN59" si="80">SUM(F56:F58)</f>
        <v>0</v>
      </c>
      <c r="G59" s="122">
        <f t="shared" si="80"/>
        <v>0</v>
      </c>
      <c r="H59" s="122">
        <f t="shared" si="80"/>
        <v>9.5680000000000014</v>
      </c>
      <c r="I59" s="122">
        <f t="shared" si="80"/>
        <v>8.9107200000000013</v>
      </c>
      <c r="J59" s="122">
        <f t="shared" si="80"/>
        <v>9.5217407999999999</v>
      </c>
      <c r="K59" s="122">
        <f t="shared" si="80"/>
        <v>9.7121756159999997</v>
      </c>
      <c r="L59" s="122">
        <f t="shared" si="80"/>
        <v>9.4561273497599991</v>
      </c>
      <c r="M59" s="122">
        <f t="shared" si="80"/>
        <v>10.5638451250176</v>
      </c>
      <c r="N59" s="122">
        <f t="shared" si="80"/>
        <v>9.8381548946903035</v>
      </c>
      <c r="O59" s="122">
        <f t="shared" si="80"/>
        <v>9.5570647548420098</v>
      </c>
      <c r="P59" s="122">
        <f t="shared" si="80"/>
        <v>11.210436957429678</v>
      </c>
      <c r="Q59" s="122">
        <f t="shared" si="80"/>
        <v>10.93748718803139</v>
      </c>
      <c r="R59" s="122">
        <f t="shared" si="80"/>
        <v>10.649135253074199</v>
      </c>
      <c r="S59" s="122">
        <f t="shared" si="80"/>
        <v>11.379361670427858</v>
      </c>
      <c r="T59" s="122">
        <f t="shared" si="80"/>
        <v>12.187296349028234</v>
      </c>
      <c r="U59" s="122">
        <f t="shared" si="80"/>
        <v>12.4310422760088</v>
      </c>
      <c r="V59" s="122">
        <f t="shared" si="80"/>
        <v>12.679663121528979</v>
      </c>
      <c r="W59" s="122">
        <f t="shared" si="80"/>
        <v>12.345381093779576</v>
      </c>
      <c r="X59" s="122">
        <f t="shared" si="80"/>
        <v>13.191921511638746</v>
      </c>
      <c r="Y59" s="122">
        <f t="shared" si="80"/>
        <v>14.067385393774771</v>
      </c>
      <c r="Z59" s="122">
        <f t="shared" si="80"/>
        <v>13.101017179767638</v>
      </c>
      <c r="AA59" s="122">
        <f t="shared" si="80"/>
        <v>12.726702403202847</v>
      </c>
      <c r="AB59" s="122">
        <f t="shared" si="80"/>
        <v>14.928421918956939</v>
      </c>
      <c r="AC59" s="122">
        <f t="shared" si="80"/>
        <v>13.902904239306855</v>
      </c>
      <c r="AD59" s="122">
        <f t="shared" si="80"/>
        <v>14.856246244287897</v>
      </c>
      <c r="AE59" s="122">
        <f t="shared" si="80"/>
        <v>15.153371169173656</v>
      </c>
      <c r="AF59" s="122">
        <f t="shared" si="80"/>
        <v>15.491566862085667</v>
      </c>
      <c r="AG59" s="122">
        <f t="shared" si="80"/>
        <v>17.306293265929988</v>
      </c>
      <c r="AH59" s="122">
        <f t="shared" si="80"/>
        <v>16.884922647281257</v>
      </c>
      <c r="AI59" s="122">
        <f t="shared" si="80"/>
        <v>16.439774686580208</v>
      </c>
      <c r="AJ59" s="122">
        <f t="shared" si="80"/>
        <v>17.567073522231421</v>
      </c>
      <c r="AK59" s="122">
        <f t="shared" si="80"/>
        <v>17.918414992676048</v>
      </c>
      <c r="AL59" s="122">
        <f t="shared" si="80"/>
        <v>18.276783292529572</v>
      </c>
      <c r="AM59" s="122">
        <f t="shared" si="80"/>
        <v>16.947562689436509</v>
      </c>
      <c r="AN59" s="122">
        <f t="shared" si="80"/>
        <v>19.879491034709027</v>
      </c>
    </row>
    <row r="60" spans="1:41" x14ac:dyDescent="0.25">
      <c r="A60" s="105"/>
    </row>
    <row r="62" spans="1:41" x14ac:dyDescent="0.25">
      <c r="A62" s="114" t="s">
        <v>112</v>
      </c>
    </row>
    <row r="63" spans="1:41" x14ac:dyDescent="0.25">
      <c r="A63" s="104" t="s">
        <v>4</v>
      </c>
    </row>
    <row r="64" spans="1:41" x14ac:dyDescent="0.25">
      <c r="A64" s="103" t="s">
        <v>6</v>
      </c>
      <c r="E64" s="77">
        <f t="shared" ref="E64:AN64" si="81">E$15*E$7*E34/den</f>
        <v>0</v>
      </c>
      <c r="F64" s="77">
        <f t="shared" si="81"/>
        <v>0</v>
      </c>
      <c r="G64" s="77">
        <f t="shared" si="81"/>
        <v>0</v>
      </c>
      <c r="H64" s="77">
        <f t="shared" si="81"/>
        <v>1.04</v>
      </c>
      <c r="I64" s="77">
        <f t="shared" si="81"/>
        <v>1.3520000000000001</v>
      </c>
      <c r="J64" s="77">
        <f t="shared" si="81"/>
        <v>1.1248640000000001</v>
      </c>
      <c r="K64" s="77">
        <f t="shared" si="81"/>
        <v>1.3160908800000002</v>
      </c>
      <c r="L64" s="77">
        <f t="shared" si="81"/>
        <v>1.3687345152000003</v>
      </c>
      <c r="M64" s="77">
        <f t="shared" si="81"/>
        <v>1.2653190184960001</v>
      </c>
      <c r="N64" s="77">
        <f t="shared" si="81"/>
        <v>1.6449147240448001</v>
      </c>
      <c r="O64" s="77">
        <f t="shared" si="81"/>
        <v>1.3685690504052737</v>
      </c>
      <c r="P64" s="77">
        <f t="shared" si="81"/>
        <v>1.4233118124214847</v>
      </c>
      <c r="Q64" s="77">
        <f t="shared" si="81"/>
        <v>1.4802442849183444</v>
      </c>
      <c r="R64" s="77">
        <f t="shared" si="81"/>
        <v>1.924317570393848</v>
      </c>
      <c r="S64" s="77">
        <f t="shared" si="81"/>
        <v>1.6010322185676815</v>
      </c>
      <c r="T64" s="77">
        <f t="shared" si="81"/>
        <v>1.9668680805103971</v>
      </c>
      <c r="U64" s="77">
        <f t="shared" si="81"/>
        <v>2.0455428037308128</v>
      </c>
      <c r="V64" s="77">
        <f t="shared" si="81"/>
        <v>1.8909906807822627</v>
      </c>
      <c r="W64" s="77">
        <f t="shared" si="81"/>
        <v>2.4582878850169418</v>
      </c>
      <c r="X64" s="77">
        <f t="shared" si="81"/>
        <v>2.0452955203340957</v>
      </c>
      <c r="Y64" s="77">
        <f t="shared" si="81"/>
        <v>2.1271073411474597</v>
      </c>
      <c r="Z64" s="77">
        <f t="shared" si="81"/>
        <v>2.7652395434916972</v>
      </c>
      <c r="AA64" s="77">
        <f t="shared" si="81"/>
        <v>2.300679300185092</v>
      </c>
      <c r="AB64" s="77">
        <f t="shared" si="81"/>
        <v>2.3927064721924962</v>
      </c>
      <c r="AC64" s="77">
        <f t="shared" si="81"/>
        <v>2.7994665724652203</v>
      </c>
      <c r="AD64" s="77">
        <f t="shared" si="81"/>
        <v>2.9114452353638294</v>
      </c>
      <c r="AE64" s="77">
        <f t="shared" si="81"/>
        <v>2.6914693731363402</v>
      </c>
      <c r="AF64" s="77">
        <f t="shared" si="81"/>
        <v>3.6738556943311051</v>
      </c>
      <c r="AG64" s="77">
        <f t="shared" si="81"/>
        <v>3.0566479376834792</v>
      </c>
      <c r="AH64" s="77">
        <f t="shared" si="81"/>
        <v>3.1789138551908183</v>
      </c>
      <c r="AI64" s="77">
        <f t="shared" si="81"/>
        <v>4.132588011748064</v>
      </c>
      <c r="AJ64" s="77">
        <f t="shared" si="81"/>
        <v>3.4383132257743894</v>
      </c>
      <c r="AK64" s="77">
        <f t="shared" si="81"/>
        <v>3.9689999999999999</v>
      </c>
      <c r="AL64" s="77">
        <f t="shared" si="81"/>
        <v>3.9689999999999999</v>
      </c>
      <c r="AM64" s="77">
        <f t="shared" si="81"/>
        <v>3.528</v>
      </c>
      <c r="AN64" s="77">
        <f t="shared" si="81"/>
        <v>3.528</v>
      </c>
    </row>
    <row r="65" spans="1:40" x14ac:dyDescent="0.25">
      <c r="A65" s="103" t="s">
        <v>7</v>
      </c>
      <c r="E65" s="77">
        <f t="shared" ref="E65:AN65" si="82">E$15*E$7*E35/den</f>
        <v>0</v>
      </c>
      <c r="F65" s="77">
        <f t="shared" si="82"/>
        <v>0</v>
      </c>
      <c r="G65" s="77">
        <f t="shared" si="82"/>
        <v>0</v>
      </c>
      <c r="H65" s="77">
        <f t="shared" si="82"/>
        <v>0.41599999999999998</v>
      </c>
      <c r="I65" s="77">
        <f t="shared" si="82"/>
        <v>0.54079999999999995</v>
      </c>
      <c r="J65" s="77">
        <f t="shared" si="82"/>
        <v>0.4499456</v>
      </c>
      <c r="K65" s="77">
        <f t="shared" si="82"/>
        <v>0.52643635200000005</v>
      </c>
      <c r="L65" s="77">
        <f t="shared" si="82"/>
        <v>0.54749380608000009</v>
      </c>
      <c r="M65" s="77">
        <f t="shared" si="82"/>
        <v>0.50612760739840001</v>
      </c>
      <c r="N65" s="77">
        <f t="shared" si="82"/>
        <v>0.65796588961792002</v>
      </c>
      <c r="O65" s="77">
        <f t="shared" si="82"/>
        <v>0.54742762016210955</v>
      </c>
      <c r="P65" s="77">
        <f t="shared" si="82"/>
        <v>0.56932472496859399</v>
      </c>
      <c r="Q65" s="77">
        <f t="shared" si="82"/>
        <v>0.59209771396733779</v>
      </c>
      <c r="R65" s="77">
        <f t="shared" si="82"/>
        <v>0.76972702815753913</v>
      </c>
      <c r="S65" s="77">
        <f t="shared" si="82"/>
        <v>0.64041288742707259</v>
      </c>
      <c r="T65" s="77">
        <f t="shared" si="82"/>
        <v>0.78674723220415876</v>
      </c>
      <c r="U65" s="77">
        <f t="shared" si="82"/>
        <v>0.81821712149232506</v>
      </c>
      <c r="V65" s="77">
        <f t="shared" si="82"/>
        <v>0.75639627231290507</v>
      </c>
      <c r="W65" s="77">
        <f t="shared" si="82"/>
        <v>0.98331515400677671</v>
      </c>
      <c r="X65" s="77">
        <f t="shared" si="82"/>
        <v>0.81811820813363823</v>
      </c>
      <c r="Y65" s="77">
        <f t="shared" si="82"/>
        <v>0.85084293645898379</v>
      </c>
      <c r="Z65" s="77">
        <f t="shared" si="82"/>
        <v>1.1060958173966788</v>
      </c>
      <c r="AA65" s="77">
        <f t="shared" si="82"/>
        <v>0.9202717200740369</v>
      </c>
      <c r="AB65" s="77">
        <f t="shared" si="82"/>
        <v>0.95708258887699837</v>
      </c>
      <c r="AC65" s="77">
        <f t="shared" si="82"/>
        <v>1.1197866289860883</v>
      </c>
      <c r="AD65" s="77">
        <f t="shared" si="82"/>
        <v>1.1645780941455317</v>
      </c>
      <c r="AE65" s="77">
        <f t="shared" si="82"/>
        <v>1.0765877492545362</v>
      </c>
      <c r="AF65" s="77">
        <f t="shared" si="82"/>
        <v>1.4695422777324421</v>
      </c>
      <c r="AG65" s="77">
        <f t="shared" si="82"/>
        <v>1.2226591750733917</v>
      </c>
      <c r="AH65" s="77">
        <f t="shared" si="82"/>
        <v>1.2715655420763274</v>
      </c>
      <c r="AI65" s="77">
        <f t="shared" si="82"/>
        <v>1.6530352046992258</v>
      </c>
      <c r="AJ65" s="77">
        <f t="shared" si="82"/>
        <v>1.3753252903097559</v>
      </c>
      <c r="AK65" s="77">
        <f t="shared" si="82"/>
        <v>1.5875999999999999</v>
      </c>
      <c r="AL65" s="77">
        <f t="shared" si="82"/>
        <v>1.5875999999999999</v>
      </c>
      <c r="AM65" s="77">
        <f t="shared" si="82"/>
        <v>1.4112</v>
      </c>
      <c r="AN65" s="77">
        <f t="shared" si="82"/>
        <v>1.4112</v>
      </c>
    </row>
    <row r="66" spans="1:40" x14ac:dyDescent="0.25">
      <c r="A66" s="103" t="s">
        <v>8</v>
      </c>
      <c r="E66" s="77">
        <f t="shared" ref="E66:AN66" si="83">E$15*E$7*E36/den</f>
        <v>0</v>
      </c>
      <c r="F66" s="77">
        <f t="shared" si="83"/>
        <v>0</v>
      </c>
      <c r="G66" s="77">
        <f t="shared" si="83"/>
        <v>0</v>
      </c>
      <c r="H66" s="77">
        <f t="shared" si="83"/>
        <v>2.08</v>
      </c>
      <c r="I66" s="77">
        <f t="shared" si="83"/>
        <v>2.7040000000000002</v>
      </c>
      <c r="J66" s="77">
        <f t="shared" si="83"/>
        <v>2.2497280000000002</v>
      </c>
      <c r="K66" s="77">
        <f t="shared" si="83"/>
        <v>2.6321817600000004</v>
      </c>
      <c r="L66" s="77">
        <f t="shared" si="83"/>
        <v>2.7374690304000007</v>
      </c>
      <c r="M66" s="77">
        <f t="shared" si="83"/>
        <v>2.5306380369920003</v>
      </c>
      <c r="N66" s="77">
        <f t="shared" si="83"/>
        <v>3.2898294480896002</v>
      </c>
      <c r="O66" s="77">
        <f t="shared" si="83"/>
        <v>2.7371381008105473</v>
      </c>
      <c r="P66" s="77">
        <f t="shared" si="83"/>
        <v>2.8466236248429695</v>
      </c>
      <c r="Q66" s="77">
        <f t="shared" si="83"/>
        <v>2.9604885698366887</v>
      </c>
      <c r="R66" s="77">
        <f t="shared" si="83"/>
        <v>3.848635140787696</v>
      </c>
      <c r="S66" s="77">
        <f t="shared" si="83"/>
        <v>3.202064437135363</v>
      </c>
      <c r="T66" s="77">
        <f t="shared" si="83"/>
        <v>3.9337361610207942</v>
      </c>
      <c r="U66" s="77">
        <f t="shared" si="83"/>
        <v>4.0910856074616255</v>
      </c>
      <c r="V66" s="77">
        <f t="shared" si="83"/>
        <v>3.7819813615645255</v>
      </c>
      <c r="W66" s="77">
        <f t="shared" si="83"/>
        <v>4.9165757700338837</v>
      </c>
      <c r="X66" s="77">
        <f t="shared" si="83"/>
        <v>4.0905910406681913</v>
      </c>
      <c r="Y66" s="77">
        <f t="shared" si="83"/>
        <v>4.2542146822949194</v>
      </c>
      <c r="Z66" s="77">
        <f t="shared" si="83"/>
        <v>5.5304790869833944</v>
      </c>
      <c r="AA66" s="77">
        <f t="shared" si="83"/>
        <v>4.6013586003701841</v>
      </c>
      <c r="AB66" s="77">
        <f t="shared" si="83"/>
        <v>4.7854129443849924</v>
      </c>
      <c r="AC66" s="77">
        <f t="shared" si="83"/>
        <v>5.5989331449304407</v>
      </c>
      <c r="AD66" s="77">
        <f t="shared" si="83"/>
        <v>5.8228904707276588</v>
      </c>
      <c r="AE66" s="77">
        <f t="shared" si="83"/>
        <v>5.3829387462726803</v>
      </c>
      <c r="AF66" s="77">
        <f t="shared" si="83"/>
        <v>7.3477113886622103</v>
      </c>
      <c r="AG66" s="77">
        <f t="shared" si="83"/>
        <v>6.1132958753669584</v>
      </c>
      <c r="AH66" s="77">
        <f t="shared" si="83"/>
        <v>6.3578277103816365</v>
      </c>
      <c r="AI66" s="77">
        <f t="shared" si="83"/>
        <v>8.265176023496128</v>
      </c>
      <c r="AJ66" s="77">
        <f t="shared" si="83"/>
        <v>6.8766264515487787</v>
      </c>
      <c r="AK66" s="77">
        <f t="shared" si="83"/>
        <v>7.9379999999999997</v>
      </c>
      <c r="AL66" s="77">
        <f t="shared" si="83"/>
        <v>7.9379999999999997</v>
      </c>
      <c r="AM66" s="77">
        <f t="shared" si="83"/>
        <v>7.056</v>
      </c>
      <c r="AN66" s="77">
        <f t="shared" si="83"/>
        <v>7.056</v>
      </c>
    </row>
    <row r="67" spans="1:40" s="124" customFormat="1" x14ac:dyDescent="0.25">
      <c r="A67" s="121" t="s">
        <v>54</v>
      </c>
      <c r="B67" s="123"/>
      <c r="C67" s="123"/>
      <c r="D67" s="123"/>
      <c r="E67" s="122">
        <f t="shared" ref="E67:AN67" si="84">SUM(E64:E66)</f>
        <v>0</v>
      </c>
      <c r="F67" s="122">
        <f t="shared" si="84"/>
        <v>0</v>
      </c>
      <c r="G67" s="122">
        <f t="shared" si="84"/>
        <v>0</v>
      </c>
      <c r="H67" s="122">
        <f t="shared" si="84"/>
        <v>3.536</v>
      </c>
      <c r="I67" s="122">
        <f t="shared" si="84"/>
        <v>4.5968</v>
      </c>
      <c r="J67" s="122">
        <f t="shared" si="84"/>
        <v>3.8245376000000002</v>
      </c>
      <c r="K67" s="122">
        <f t="shared" si="84"/>
        <v>4.4747089920000001</v>
      </c>
      <c r="L67" s="122">
        <f t="shared" si="84"/>
        <v>4.6536973516800009</v>
      </c>
      <c r="M67" s="122">
        <f t="shared" si="84"/>
        <v>4.3020846628864007</v>
      </c>
      <c r="N67" s="122">
        <f t="shared" si="84"/>
        <v>5.5927100617523209</v>
      </c>
      <c r="O67" s="122">
        <f t="shared" si="84"/>
        <v>4.6531347713779301</v>
      </c>
      <c r="P67" s="122">
        <f t="shared" si="84"/>
        <v>4.8392601622330478</v>
      </c>
      <c r="Q67" s="122">
        <f t="shared" si="84"/>
        <v>5.0328305687223711</v>
      </c>
      <c r="R67" s="122">
        <f t="shared" si="84"/>
        <v>6.542679739339083</v>
      </c>
      <c r="S67" s="122">
        <f t="shared" si="84"/>
        <v>5.4435095431301175</v>
      </c>
      <c r="T67" s="122">
        <f t="shared" si="84"/>
        <v>6.6873514737353501</v>
      </c>
      <c r="U67" s="122">
        <f t="shared" si="84"/>
        <v>6.9548455326847636</v>
      </c>
      <c r="V67" s="122">
        <f t="shared" si="84"/>
        <v>6.4293683146596932</v>
      </c>
      <c r="W67" s="122">
        <f t="shared" si="84"/>
        <v>8.3581788090576019</v>
      </c>
      <c r="X67" s="122">
        <f t="shared" si="84"/>
        <v>6.954004769135925</v>
      </c>
      <c r="Y67" s="122">
        <f t="shared" si="84"/>
        <v>7.2321649599013629</v>
      </c>
      <c r="Z67" s="122">
        <f t="shared" si="84"/>
        <v>9.4018144478717716</v>
      </c>
      <c r="AA67" s="122">
        <f t="shared" si="84"/>
        <v>7.822309620629313</v>
      </c>
      <c r="AB67" s="122">
        <f t="shared" si="84"/>
        <v>8.135202005454488</v>
      </c>
      <c r="AC67" s="122">
        <f t="shared" si="84"/>
        <v>9.51818634638175</v>
      </c>
      <c r="AD67" s="122">
        <f t="shared" si="84"/>
        <v>9.8989138002370201</v>
      </c>
      <c r="AE67" s="122">
        <f t="shared" si="84"/>
        <v>9.1509958686635571</v>
      </c>
      <c r="AF67" s="122">
        <f t="shared" si="84"/>
        <v>12.491109360725758</v>
      </c>
      <c r="AG67" s="122">
        <f t="shared" si="84"/>
        <v>10.39260298812383</v>
      </c>
      <c r="AH67" s="122">
        <f t="shared" si="84"/>
        <v>10.808307107648783</v>
      </c>
      <c r="AI67" s="122">
        <f t="shared" si="84"/>
        <v>14.050799239943418</v>
      </c>
      <c r="AJ67" s="122">
        <f t="shared" si="84"/>
        <v>11.690264967632924</v>
      </c>
      <c r="AK67" s="122">
        <f t="shared" si="84"/>
        <v>13.494599999999998</v>
      </c>
      <c r="AL67" s="122">
        <f t="shared" si="84"/>
        <v>13.494599999999998</v>
      </c>
      <c r="AM67" s="122">
        <f t="shared" si="84"/>
        <v>11.995200000000001</v>
      </c>
      <c r="AN67" s="122">
        <f t="shared" si="84"/>
        <v>11.995200000000001</v>
      </c>
    </row>
    <row r="68" spans="1:40" x14ac:dyDescent="0.25">
      <c r="A68" s="105"/>
    </row>
    <row r="69" spans="1:40" x14ac:dyDescent="0.25">
      <c r="A69" s="102" t="s">
        <v>16</v>
      </c>
    </row>
    <row r="70" spans="1:40" x14ac:dyDescent="0.25">
      <c r="A70" s="103" t="s">
        <v>6</v>
      </c>
      <c r="E70" s="77">
        <f t="shared" ref="E70:AN70" si="85">E$16*E$7*E40/den</f>
        <v>0</v>
      </c>
      <c r="F70" s="77">
        <f t="shared" si="85"/>
        <v>0</v>
      </c>
      <c r="G70" s="77">
        <f t="shared" si="85"/>
        <v>0</v>
      </c>
      <c r="H70" s="77">
        <f t="shared" si="85"/>
        <v>1.56</v>
      </c>
      <c r="I70" s="77">
        <f t="shared" si="85"/>
        <v>2.028</v>
      </c>
      <c r="J70" s="77">
        <f t="shared" si="85"/>
        <v>1.6872960000000004</v>
      </c>
      <c r="K70" s="77">
        <f t="shared" si="85"/>
        <v>1.9741363200000006</v>
      </c>
      <c r="L70" s="77">
        <f t="shared" si="85"/>
        <v>2.0531017728000007</v>
      </c>
      <c r="M70" s="77">
        <f t="shared" si="85"/>
        <v>1.8979785277440007</v>
      </c>
      <c r="N70" s="77">
        <f t="shared" si="85"/>
        <v>2.4673720860672006</v>
      </c>
      <c r="O70" s="77">
        <f t="shared" si="85"/>
        <v>2.0528535756079109</v>
      </c>
      <c r="P70" s="77">
        <f t="shared" si="85"/>
        <v>2.1349677186322271</v>
      </c>
      <c r="Q70" s="77">
        <f t="shared" si="85"/>
        <v>2.2203664273775163</v>
      </c>
      <c r="R70" s="77">
        <f t="shared" si="85"/>
        <v>2.8864763555907715</v>
      </c>
      <c r="S70" s="77">
        <f t="shared" si="85"/>
        <v>2.4015483278515224</v>
      </c>
      <c r="T70" s="77">
        <f t="shared" si="85"/>
        <v>2.9503021207655955</v>
      </c>
      <c r="U70" s="77">
        <f t="shared" si="85"/>
        <v>3.0683142055962196</v>
      </c>
      <c r="V70" s="77">
        <f t="shared" si="85"/>
        <v>2.8364860211733931</v>
      </c>
      <c r="W70" s="77">
        <f t="shared" si="85"/>
        <v>3.6874318275254114</v>
      </c>
      <c r="X70" s="77">
        <f t="shared" si="85"/>
        <v>3.0679432805011428</v>
      </c>
      <c r="Y70" s="77">
        <f t="shared" si="85"/>
        <v>3.1906610117211884</v>
      </c>
      <c r="Z70" s="77">
        <f t="shared" si="85"/>
        <v>4.1478593152375458</v>
      </c>
      <c r="AA70" s="77">
        <f t="shared" si="85"/>
        <v>3.4510189502776378</v>
      </c>
      <c r="AB70" s="77">
        <f t="shared" si="85"/>
        <v>3.5890597082887434</v>
      </c>
      <c r="AC70" s="77">
        <f t="shared" si="85"/>
        <v>4.1991998586978303</v>
      </c>
      <c r="AD70" s="77">
        <f t="shared" si="85"/>
        <v>4.3671678530457436</v>
      </c>
      <c r="AE70" s="77">
        <f t="shared" si="85"/>
        <v>4.0372040597045098</v>
      </c>
      <c r="AF70" s="77">
        <f t="shared" si="85"/>
        <v>5.5148207455563618</v>
      </c>
      <c r="AG70" s="77">
        <f t="shared" si="85"/>
        <v>4.5883308603028921</v>
      </c>
      <c r="AH70" s="77">
        <f t="shared" si="85"/>
        <v>4.7718640947150082</v>
      </c>
      <c r="AI70" s="77">
        <f t="shared" si="85"/>
        <v>6.2034233231295106</v>
      </c>
      <c r="AJ70" s="77">
        <f t="shared" si="85"/>
        <v>5.1612482048437531</v>
      </c>
      <c r="AK70" s="77">
        <f t="shared" si="85"/>
        <v>5.8089149999999998</v>
      </c>
      <c r="AL70" s="77">
        <f t="shared" si="85"/>
        <v>5.8089149999999998</v>
      </c>
      <c r="AM70" s="77">
        <f t="shared" si="85"/>
        <v>5.1634799999999998</v>
      </c>
      <c r="AN70" s="77">
        <f t="shared" si="85"/>
        <v>5.1634799999999998</v>
      </c>
    </row>
    <row r="71" spans="1:40" x14ac:dyDescent="0.25">
      <c r="A71" s="103" t="s">
        <v>7</v>
      </c>
      <c r="E71" s="77">
        <f t="shared" ref="E71:AN71" si="86">E$16*E$7*E41/den</f>
        <v>0</v>
      </c>
      <c r="F71" s="77">
        <f t="shared" si="86"/>
        <v>0</v>
      </c>
      <c r="G71" s="77">
        <f t="shared" si="86"/>
        <v>0</v>
      </c>
      <c r="H71" s="77">
        <f t="shared" si="86"/>
        <v>0.6</v>
      </c>
      <c r="I71" s="77">
        <f t="shared" si="86"/>
        <v>0.78</v>
      </c>
      <c r="J71" s="77">
        <f t="shared" si="86"/>
        <v>0.64896000000000009</v>
      </c>
      <c r="K71" s="77">
        <f t="shared" si="86"/>
        <v>0.75928320000000027</v>
      </c>
      <c r="L71" s="77">
        <f t="shared" si="86"/>
        <v>0.78965452800000024</v>
      </c>
      <c r="M71" s="77">
        <f t="shared" si="86"/>
        <v>0.72999174144000023</v>
      </c>
      <c r="N71" s="77">
        <f t="shared" si="86"/>
        <v>0.94898926387200011</v>
      </c>
      <c r="O71" s="77">
        <f t="shared" si="86"/>
        <v>0.78955906754150418</v>
      </c>
      <c r="P71" s="77">
        <f t="shared" si="86"/>
        <v>0.82114143024316433</v>
      </c>
      <c r="Q71" s="77">
        <f t="shared" si="86"/>
        <v>0.85398708745289098</v>
      </c>
      <c r="R71" s="77">
        <f t="shared" si="86"/>
        <v>1.1101832136887582</v>
      </c>
      <c r="S71" s="77">
        <f t="shared" si="86"/>
        <v>0.92367243378904706</v>
      </c>
      <c r="T71" s="77">
        <f t="shared" si="86"/>
        <v>1.1347315849098445</v>
      </c>
      <c r="U71" s="77">
        <f t="shared" si="86"/>
        <v>1.1801208483062382</v>
      </c>
      <c r="V71" s="77">
        <f t="shared" si="86"/>
        <v>1.0909561619897667</v>
      </c>
      <c r="W71" s="77">
        <f t="shared" si="86"/>
        <v>1.418243010586697</v>
      </c>
      <c r="X71" s="77">
        <f t="shared" si="86"/>
        <v>1.1799781848081319</v>
      </c>
      <c r="Y71" s="77">
        <f t="shared" si="86"/>
        <v>1.227177312200457</v>
      </c>
      <c r="Z71" s="77">
        <f t="shared" si="86"/>
        <v>1.5953305058605947</v>
      </c>
      <c r="AA71" s="77">
        <f t="shared" si="86"/>
        <v>1.3273149808760145</v>
      </c>
      <c r="AB71" s="77">
        <f t="shared" si="86"/>
        <v>1.3804075801110549</v>
      </c>
      <c r="AC71" s="77">
        <f t="shared" si="86"/>
        <v>1.6150768687299348</v>
      </c>
      <c r="AD71" s="77">
        <f t="shared" si="86"/>
        <v>1.6796799434791323</v>
      </c>
      <c r="AE71" s="77">
        <f t="shared" si="86"/>
        <v>1.5527707921940423</v>
      </c>
      <c r="AF71" s="77">
        <f t="shared" si="86"/>
        <v>2.1235693354045724</v>
      </c>
      <c r="AG71" s="77">
        <f t="shared" si="86"/>
        <v>1.7668096870566039</v>
      </c>
      <c r="AH71" s="77">
        <f t="shared" si="86"/>
        <v>1.8374820745388682</v>
      </c>
      <c r="AI71" s="77">
        <f t="shared" si="86"/>
        <v>2.388726696900529</v>
      </c>
      <c r="AJ71" s="77">
        <f t="shared" si="86"/>
        <v>1.9874206118212401</v>
      </c>
      <c r="AK71" s="77">
        <f t="shared" si="86"/>
        <v>2.2368149999999996</v>
      </c>
      <c r="AL71" s="77">
        <f t="shared" si="86"/>
        <v>2.2368149999999996</v>
      </c>
      <c r="AM71" s="77">
        <f t="shared" si="86"/>
        <v>1.9882799999999996</v>
      </c>
      <c r="AN71" s="77">
        <f t="shared" si="86"/>
        <v>1.9882799999999996</v>
      </c>
    </row>
    <row r="72" spans="1:40" x14ac:dyDescent="0.25">
      <c r="A72" s="103" t="s">
        <v>8</v>
      </c>
      <c r="E72" s="77">
        <f t="shared" ref="E72:AN72" si="87">E$16*E$7*E42/den</f>
        <v>0</v>
      </c>
      <c r="F72" s="77">
        <f t="shared" si="87"/>
        <v>0</v>
      </c>
      <c r="G72" s="77">
        <f t="shared" si="87"/>
        <v>0</v>
      </c>
      <c r="H72" s="77">
        <f t="shared" si="87"/>
        <v>2.4</v>
      </c>
      <c r="I72" s="77">
        <f t="shared" si="87"/>
        <v>3.12</v>
      </c>
      <c r="J72" s="77">
        <f t="shared" si="87"/>
        <v>2.5958400000000004</v>
      </c>
      <c r="K72" s="77">
        <f t="shared" si="87"/>
        <v>3.0371328000000011</v>
      </c>
      <c r="L72" s="77">
        <f t="shared" si="87"/>
        <v>3.158618112000001</v>
      </c>
      <c r="M72" s="77">
        <f t="shared" si="87"/>
        <v>2.9199669657600009</v>
      </c>
      <c r="N72" s="77">
        <f t="shared" si="87"/>
        <v>3.7959570554880004</v>
      </c>
      <c r="O72" s="77">
        <f t="shared" si="87"/>
        <v>3.1582362701660167</v>
      </c>
      <c r="P72" s="77">
        <f t="shared" si="87"/>
        <v>3.2845657209726573</v>
      </c>
      <c r="Q72" s="77">
        <f t="shared" si="87"/>
        <v>3.4159483498115639</v>
      </c>
      <c r="R72" s="77">
        <f t="shared" si="87"/>
        <v>4.4407328547550327</v>
      </c>
      <c r="S72" s="77">
        <f t="shared" si="87"/>
        <v>3.6946897351561883</v>
      </c>
      <c r="T72" s="77">
        <f t="shared" si="87"/>
        <v>4.538926339639378</v>
      </c>
      <c r="U72" s="77">
        <f t="shared" si="87"/>
        <v>4.7204833932249528</v>
      </c>
      <c r="V72" s="77">
        <f t="shared" si="87"/>
        <v>4.363824647959067</v>
      </c>
      <c r="W72" s="77">
        <f t="shared" si="87"/>
        <v>5.672972042346788</v>
      </c>
      <c r="X72" s="77">
        <f t="shared" si="87"/>
        <v>4.7199127392325275</v>
      </c>
      <c r="Y72" s="77">
        <f t="shared" si="87"/>
        <v>4.908709248801828</v>
      </c>
      <c r="Z72" s="77">
        <f t="shared" si="87"/>
        <v>6.3813220234423786</v>
      </c>
      <c r="AA72" s="77">
        <f t="shared" si="87"/>
        <v>5.3092599235040581</v>
      </c>
      <c r="AB72" s="77">
        <f t="shared" si="87"/>
        <v>5.5216303204442196</v>
      </c>
      <c r="AC72" s="77">
        <f t="shared" si="87"/>
        <v>6.4603074749197393</v>
      </c>
      <c r="AD72" s="77">
        <f t="shared" si="87"/>
        <v>6.7187197739165292</v>
      </c>
      <c r="AE72" s="77">
        <f t="shared" si="87"/>
        <v>6.2110831687761694</v>
      </c>
      <c r="AF72" s="77">
        <f t="shared" si="87"/>
        <v>8.4781285253794731</v>
      </c>
      <c r="AG72" s="77">
        <f t="shared" si="87"/>
        <v>7.0538029331157208</v>
      </c>
      <c r="AH72" s="77">
        <f t="shared" si="87"/>
        <v>7.335955050440349</v>
      </c>
      <c r="AI72" s="77">
        <f t="shared" si="87"/>
        <v>9.5367415655724557</v>
      </c>
      <c r="AJ72" s="77">
        <f t="shared" si="87"/>
        <v>7.9345689825562822</v>
      </c>
      <c r="AK72" s="77">
        <f t="shared" si="87"/>
        <v>8.9302499999999991</v>
      </c>
      <c r="AL72" s="77">
        <f t="shared" si="87"/>
        <v>8.9302499999999991</v>
      </c>
      <c r="AM72" s="77">
        <f t="shared" si="87"/>
        <v>7.9379999999999997</v>
      </c>
      <c r="AN72" s="77">
        <f t="shared" si="87"/>
        <v>7.9379999999999997</v>
      </c>
    </row>
    <row r="73" spans="1:40" s="124" customFormat="1" x14ac:dyDescent="0.25">
      <c r="A73" s="121" t="s">
        <v>54</v>
      </c>
      <c r="B73" s="123"/>
      <c r="C73" s="123"/>
      <c r="D73" s="123"/>
      <c r="E73" s="122">
        <f t="shared" ref="E73:AN73" si="88">SUM(E70:E72)</f>
        <v>0</v>
      </c>
      <c r="F73" s="122">
        <f t="shared" si="88"/>
        <v>0</v>
      </c>
      <c r="G73" s="122">
        <f t="shared" si="88"/>
        <v>0</v>
      </c>
      <c r="H73" s="122">
        <f t="shared" si="88"/>
        <v>4.5600000000000005</v>
      </c>
      <c r="I73" s="122">
        <f t="shared" si="88"/>
        <v>5.9279999999999999</v>
      </c>
      <c r="J73" s="122">
        <f t="shared" si="88"/>
        <v>4.9320960000000014</v>
      </c>
      <c r="K73" s="122">
        <f t="shared" si="88"/>
        <v>5.770552320000002</v>
      </c>
      <c r="L73" s="122">
        <f t="shared" si="88"/>
        <v>6.0013744128000024</v>
      </c>
      <c r="M73" s="122">
        <f t="shared" si="88"/>
        <v>5.5479372349440013</v>
      </c>
      <c r="N73" s="122">
        <f t="shared" si="88"/>
        <v>7.2123184054272009</v>
      </c>
      <c r="O73" s="122">
        <f t="shared" si="88"/>
        <v>6.0006489133154322</v>
      </c>
      <c r="P73" s="122">
        <f t="shared" si="88"/>
        <v>6.240674869848049</v>
      </c>
      <c r="Q73" s="122">
        <f t="shared" si="88"/>
        <v>6.490301864641971</v>
      </c>
      <c r="R73" s="122">
        <f t="shared" si="88"/>
        <v>8.437392424034563</v>
      </c>
      <c r="S73" s="122">
        <f t="shared" si="88"/>
        <v>7.0199104967967578</v>
      </c>
      <c r="T73" s="122">
        <f t="shared" si="88"/>
        <v>8.6239600453148171</v>
      </c>
      <c r="U73" s="122">
        <f t="shared" si="88"/>
        <v>8.968918447127411</v>
      </c>
      <c r="V73" s="122">
        <f t="shared" si="88"/>
        <v>8.2912668311222273</v>
      </c>
      <c r="W73" s="122">
        <f t="shared" si="88"/>
        <v>10.778646880458897</v>
      </c>
      <c r="X73" s="122">
        <f t="shared" si="88"/>
        <v>8.967834204541802</v>
      </c>
      <c r="Y73" s="122">
        <f t="shared" si="88"/>
        <v>9.3265475727234737</v>
      </c>
      <c r="Z73" s="122">
        <f t="shared" si="88"/>
        <v>12.124511844540519</v>
      </c>
      <c r="AA73" s="122">
        <f t="shared" si="88"/>
        <v>10.08759385465771</v>
      </c>
      <c r="AB73" s="122">
        <f t="shared" si="88"/>
        <v>10.491097608844019</v>
      </c>
      <c r="AC73" s="122">
        <f t="shared" si="88"/>
        <v>12.274584202347505</v>
      </c>
      <c r="AD73" s="122">
        <f t="shared" si="88"/>
        <v>12.765567570441405</v>
      </c>
      <c r="AE73" s="122">
        <f t="shared" si="88"/>
        <v>11.801058020674722</v>
      </c>
      <c r="AF73" s="122">
        <f t="shared" si="88"/>
        <v>16.116518606340406</v>
      </c>
      <c r="AG73" s="122">
        <f t="shared" si="88"/>
        <v>13.408943480475216</v>
      </c>
      <c r="AH73" s="122">
        <f t="shared" si="88"/>
        <v>13.945301219694226</v>
      </c>
      <c r="AI73" s="122">
        <f t="shared" si="88"/>
        <v>18.128891585602496</v>
      </c>
      <c r="AJ73" s="122">
        <f t="shared" si="88"/>
        <v>15.083237799221276</v>
      </c>
      <c r="AK73" s="122">
        <f t="shared" si="88"/>
        <v>16.97598</v>
      </c>
      <c r="AL73" s="122">
        <f t="shared" si="88"/>
        <v>16.97598</v>
      </c>
      <c r="AM73" s="122">
        <f t="shared" si="88"/>
        <v>15.089759999999998</v>
      </c>
      <c r="AN73" s="122">
        <f t="shared" si="88"/>
        <v>15.089759999999998</v>
      </c>
    </row>
    <row r="75" spans="1:40" x14ac:dyDescent="0.25">
      <c r="A75" s="106" t="s">
        <v>114</v>
      </c>
    </row>
    <row r="76" spans="1:40" x14ac:dyDescent="0.25">
      <c r="A76" s="103" t="s">
        <v>6</v>
      </c>
      <c r="E76" s="77">
        <f>SUM(E50,E56,E64,E70)</f>
        <v>0</v>
      </c>
      <c r="F76" s="77">
        <f t="shared" ref="F76:AN76" si="89">SUM(F50,F56,F64,F70)</f>
        <v>0</v>
      </c>
      <c r="G76" s="77">
        <f t="shared" si="89"/>
        <v>0</v>
      </c>
      <c r="H76" s="77">
        <f t="shared" si="89"/>
        <v>6.3719999999999999</v>
      </c>
      <c r="I76" s="77">
        <f t="shared" si="89"/>
        <v>6.8928799999999999</v>
      </c>
      <c r="J76" s="77">
        <f t="shared" si="89"/>
        <v>6.5659232000000003</v>
      </c>
      <c r="K76" s="77">
        <f t="shared" si="89"/>
        <v>7.1190656640000007</v>
      </c>
      <c r="L76" s="77">
        <f t="shared" si="89"/>
        <v>7.1497326470400013</v>
      </c>
      <c r="M76" s="77">
        <f t="shared" si="89"/>
        <v>7.3278903359104008</v>
      </c>
      <c r="N76" s="77">
        <f t="shared" si="89"/>
        <v>7.9907901820572169</v>
      </c>
      <c r="O76" s="77">
        <f t="shared" si="89"/>
        <v>7.1891116159028225</v>
      </c>
      <c r="P76" s="77">
        <f t="shared" si="89"/>
        <v>7.9777787161942584</v>
      </c>
      <c r="Q76" s="77">
        <f t="shared" si="89"/>
        <v>8.0125046998851595</v>
      </c>
      <c r="R76" s="77">
        <f t="shared" si="89"/>
        <v>9.0090107084465636</v>
      </c>
      <c r="S76" s="77">
        <f t="shared" si="89"/>
        <v>8.4886750511071103</v>
      </c>
      <c r="T76" s="77">
        <f t="shared" si="89"/>
        <v>9.7217774157967405</v>
      </c>
      <c r="U76" s="77">
        <f t="shared" si="89"/>
        <v>10.014556368138194</v>
      </c>
      <c r="V76" s="77">
        <f t="shared" si="89"/>
        <v>9.7261900479430405</v>
      </c>
      <c r="W76" s="77">
        <f t="shared" si="89"/>
        <v>11.012648797590071</v>
      </c>
      <c r="X76" s="77">
        <f t="shared" si="89"/>
        <v>10.313900166000515</v>
      </c>
      <c r="Y76" s="77">
        <f t="shared" si="89"/>
        <v>10.863564517722164</v>
      </c>
      <c r="Z76" s="77">
        <f t="shared" si="89"/>
        <v>12.077922939214561</v>
      </c>
      <c r="AA76" s="77">
        <f t="shared" si="89"/>
        <v>10.768955928648468</v>
      </c>
      <c r="AB76" s="77">
        <f t="shared" si="89"/>
        <v>11.867009436993111</v>
      </c>
      <c r="AC76" s="77">
        <f t="shared" si="89"/>
        <v>12.479619063966716</v>
      </c>
      <c r="AD76" s="77">
        <f t="shared" si="89"/>
        <v>13.135402473176917</v>
      </c>
      <c r="AE76" s="77">
        <f t="shared" si="89"/>
        <v>12.702598605303542</v>
      </c>
      <c r="AF76" s="77">
        <f t="shared" si="89"/>
        <v>15.295928760517393</v>
      </c>
      <c r="AG76" s="77">
        <f t="shared" si="89"/>
        <v>14.467652104747231</v>
      </c>
      <c r="AH76" s="77">
        <f t="shared" si="89"/>
        <v>14.607333993545554</v>
      </c>
      <c r="AI76" s="77">
        <f t="shared" si="89"/>
        <v>16.817076355548618</v>
      </c>
      <c r="AJ76" s="77">
        <f t="shared" si="89"/>
        <v>15.525042338420915</v>
      </c>
      <c r="AK76" s="77">
        <f t="shared" si="89"/>
        <v>16.841905525958829</v>
      </c>
      <c r="AL76" s="77">
        <f t="shared" si="89"/>
        <v>16.983185336478005</v>
      </c>
      <c r="AM76" s="77">
        <f t="shared" si="89"/>
        <v>15.372730675643242</v>
      </c>
      <c r="AN76" s="77">
        <f t="shared" si="89"/>
        <v>16.528587042529523</v>
      </c>
    </row>
    <row r="77" spans="1:40" x14ac:dyDescent="0.25">
      <c r="A77" s="103" t="s">
        <v>7</v>
      </c>
      <c r="E77" s="77">
        <f t="shared" ref="E77:AN77" si="90">SUM(E51,E57,E65,E71)</f>
        <v>0</v>
      </c>
      <c r="F77" s="77">
        <f t="shared" si="90"/>
        <v>0</v>
      </c>
      <c r="G77" s="77">
        <f t="shared" si="90"/>
        <v>0</v>
      </c>
      <c r="H77" s="77">
        <f t="shared" si="90"/>
        <v>3.1320000000000001</v>
      </c>
      <c r="I77" s="77">
        <f t="shared" si="90"/>
        <v>3.2914399999999997</v>
      </c>
      <c r="J77" s="77">
        <f t="shared" si="90"/>
        <v>3.2046752000000001</v>
      </c>
      <c r="K77" s="77">
        <f t="shared" si="90"/>
        <v>3.4336045440000005</v>
      </c>
      <c r="L77" s="77">
        <f t="shared" si="90"/>
        <v>3.4284072672000003</v>
      </c>
      <c r="M77" s="77">
        <f t="shared" si="90"/>
        <v>3.5723543284095998</v>
      </c>
      <c r="N77" s="77">
        <f t="shared" si="90"/>
        <v>3.7827009475079683</v>
      </c>
      <c r="O77" s="77">
        <f t="shared" si="90"/>
        <v>3.450568316178289</v>
      </c>
      <c r="P77" s="77">
        <f t="shared" si="90"/>
        <v>3.8696974054125528</v>
      </c>
      <c r="Q77" s="77">
        <f t="shared" si="90"/>
        <v>3.8649521603117858</v>
      </c>
      <c r="R77" s="77">
        <f t="shared" si="90"/>
        <v>4.2350074612761679</v>
      </c>
      <c r="S77" s="77">
        <f t="shared" si="90"/>
        <v>4.0806749214068958</v>
      </c>
      <c r="T77" s="77">
        <f t="shared" si="90"/>
        <v>4.616746278918324</v>
      </c>
      <c r="U77" s="77">
        <f t="shared" si="90"/>
        <v>4.7475107808389714</v>
      </c>
      <c r="V77" s="77">
        <f t="shared" si="90"/>
        <v>4.6515087015638876</v>
      </c>
      <c r="W77" s="77">
        <f t="shared" si="90"/>
        <v>5.1317866757178034</v>
      </c>
      <c r="X77" s="77">
        <f t="shared" si="90"/>
        <v>4.9155405734003388</v>
      </c>
      <c r="Y77" s="77">
        <f t="shared" si="90"/>
        <v>5.1890766338211698</v>
      </c>
      <c r="Z77" s="77">
        <f t="shared" si="90"/>
        <v>5.5987666610905009</v>
      </c>
      <c r="AA77" s="77">
        <f t="shared" si="90"/>
        <v>5.0621458862737576</v>
      </c>
      <c r="AB77" s="77">
        <f t="shared" si="90"/>
        <v>5.6389680933727613</v>
      </c>
      <c r="AC77" s="77">
        <f t="shared" si="90"/>
        <v>5.8095442429473465</v>
      </c>
      <c r="AD77" s="77">
        <f t="shared" si="90"/>
        <v>6.129774033957565</v>
      </c>
      <c r="AE77" s="77">
        <f t="shared" si="90"/>
        <v>5.9805848577081377</v>
      </c>
      <c r="AF77" s="77">
        <f t="shared" si="90"/>
        <v>7.0191312076367298</v>
      </c>
      <c r="AG77" s="77">
        <f t="shared" si="90"/>
        <v>6.8168221805568194</v>
      </c>
      <c r="AH77" s="77">
        <f t="shared" si="90"/>
        <v>6.8432132020716283</v>
      </c>
      <c r="AI77" s="77">
        <f t="shared" si="90"/>
        <v>7.6774813034396079</v>
      </c>
      <c r="AJ77" s="77">
        <f t="shared" si="90"/>
        <v>7.2477717772398682</v>
      </c>
      <c r="AK77" s="77">
        <f t="shared" si="90"/>
        <v>7.7871413926110495</v>
      </c>
      <c r="AL77" s="77">
        <f t="shared" si="90"/>
        <v>7.8663959204632707</v>
      </c>
      <c r="AM77" s="77">
        <f t="shared" si="90"/>
        <v>7.147498671702305</v>
      </c>
      <c r="AN77" s="77">
        <f t="shared" si="90"/>
        <v>7.7959059019068038</v>
      </c>
    </row>
    <row r="78" spans="1:40" x14ac:dyDescent="0.25">
      <c r="A78" s="103" t="s">
        <v>8</v>
      </c>
      <c r="E78" s="77">
        <f t="shared" ref="E78:AN78" si="91">SUM(E52,E58,E66,E72)</f>
        <v>0</v>
      </c>
      <c r="F78" s="77">
        <f t="shared" si="91"/>
        <v>0</v>
      </c>
      <c r="G78" s="77">
        <f t="shared" si="91"/>
        <v>0</v>
      </c>
      <c r="H78" s="77">
        <f t="shared" si="91"/>
        <v>15.06</v>
      </c>
      <c r="I78" s="77">
        <f t="shared" si="91"/>
        <v>15.677200000000003</v>
      </c>
      <c r="J78" s="77">
        <f t="shared" si="91"/>
        <v>15.374416000000002</v>
      </c>
      <c r="K78" s="77">
        <f t="shared" si="91"/>
        <v>16.408739520000001</v>
      </c>
      <c r="L78" s="77">
        <f t="shared" si="91"/>
        <v>16.352381808000004</v>
      </c>
      <c r="M78" s="77">
        <f t="shared" si="91"/>
        <v>17.131779900608002</v>
      </c>
      <c r="N78" s="77">
        <f t="shared" si="91"/>
        <v>17.964515473667841</v>
      </c>
      <c r="O78" s="77">
        <f t="shared" si="91"/>
        <v>16.463282513349942</v>
      </c>
      <c r="P78" s="77">
        <f t="shared" si="91"/>
        <v>18.527345596819597</v>
      </c>
      <c r="Q78" s="77">
        <f t="shared" si="91"/>
        <v>18.470773714106041</v>
      </c>
      <c r="R78" s="77">
        <f t="shared" si="91"/>
        <v>20.064854092692084</v>
      </c>
      <c r="S78" s="77">
        <f t="shared" si="91"/>
        <v>19.479702173245432</v>
      </c>
      <c r="T78" s="77">
        <f t="shared" si="91"/>
        <v>21.948999809681776</v>
      </c>
      <c r="U78" s="77">
        <f t="shared" si="91"/>
        <v>22.557433055888616</v>
      </c>
      <c r="V78" s="77">
        <f t="shared" si="91"/>
        <v>22.166587345829672</v>
      </c>
      <c r="W78" s="77">
        <f t="shared" si="91"/>
        <v>24.240690368002319</v>
      </c>
      <c r="X78" s="77">
        <f t="shared" si="91"/>
        <v>23.397724682193562</v>
      </c>
      <c r="Y78" s="77">
        <f t="shared" si="91"/>
        <v>24.718205856905389</v>
      </c>
      <c r="Z78" s="77">
        <f t="shared" si="91"/>
        <v>26.398502799591913</v>
      </c>
      <c r="AA78" s="77">
        <f t="shared" si="91"/>
        <v>23.983414450492777</v>
      </c>
      <c r="AB78" s="77">
        <f t="shared" si="91"/>
        <v>26.814432886752751</v>
      </c>
      <c r="AC78" s="77">
        <f t="shared" si="91"/>
        <v>27.432644346006803</v>
      </c>
      <c r="AD78" s="77">
        <f t="shared" si="91"/>
        <v>28.969190226308687</v>
      </c>
      <c r="AE78" s="77">
        <f t="shared" si="91"/>
        <v>28.350153496346643</v>
      </c>
      <c r="AF78" s="77">
        <f t="shared" si="91"/>
        <v>32.955937886540262</v>
      </c>
      <c r="AG78" s="77">
        <f t="shared" si="91"/>
        <v>32.3038654006168</v>
      </c>
      <c r="AH78" s="77">
        <f t="shared" si="91"/>
        <v>32.364610688104143</v>
      </c>
      <c r="AI78" s="77">
        <f t="shared" si="91"/>
        <v>35.980514598267852</v>
      </c>
      <c r="AJ78" s="77">
        <f t="shared" si="91"/>
        <v>34.236324809649417</v>
      </c>
      <c r="AK78" s="77">
        <f t="shared" si="91"/>
        <v>36.681881963055247</v>
      </c>
      <c r="AL78" s="77">
        <f t="shared" si="91"/>
        <v>37.078154602316353</v>
      </c>
      <c r="AM78" s="77">
        <f t="shared" si="91"/>
        <v>33.734093358511529</v>
      </c>
      <c r="AN78" s="77">
        <f t="shared" si="91"/>
        <v>36.976129509534026</v>
      </c>
    </row>
    <row r="79" spans="1:40" s="124" customFormat="1" x14ac:dyDescent="0.25">
      <c r="A79" s="121" t="s">
        <v>54</v>
      </c>
      <c r="B79" s="123"/>
      <c r="C79" s="123"/>
      <c r="D79" s="123"/>
      <c r="E79" s="122">
        <f t="shared" ref="E79:AN79" si="92">SUM(E76:E78)</f>
        <v>0</v>
      </c>
      <c r="F79" s="122">
        <f t="shared" si="92"/>
        <v>0</v>
      </c>
      <c r="G79" s="122">
        <f t="shared" si="92"/>
        <v>0</v>
      </c>
      <c r="H79" s="122">
        <f t="shared" si="92"/>
        <v>24.564</v>
      </c>
      <c r="I79" s="122">
        <f t="shared" si="92"/>
        <v>25.861520000000002</v>
      </c>
      <c r="J79" s="122">
        <f t="shared" si="92"/>
        <v>25.145014400000001</v>
      </c>
      <c r="K79" s="122">
        <f t="shared" si="92"/>
        <v>26.961409728000003</v>
      </c>
      <c r="L79" s="122">
        <f t="shared" si="92"/>
        <v>26.930521722240005</v>
      </c>
      <c r="M79" s="122">
        <f t="shared" si="92"/>
        <v>28.032024564928001</v>
      </c>
      <c r="N79" s="122">
        <f t="shared" si="92"/>
        <v>29.738006603233025</v>
      </c>
      <c r="O79" s="122">
        <f t="shared" si="92"/>
        <v>27.102962445431054</v>
      </c>
      <c r="P79" s="122">
        <f t="shared" si="92"/>
        <v>30.374821718426407</v>
      </c>
      <c r="Q79" s="122">
        <f t="shared" si="92"/>
        <v>30.348230574302988</v>
      </c>
      <c r="R79" s="122">
        <f t="shared" si="92"/>
        <v>33.308872262414816</v>
      </c>
      <c r="S79" s="122">
        <f t="shared" si="92"/>
        <v>32.04905214575944</v>
      </c>
      <c r="T79" s="122">
        <f t="shared" si="92"/>
        <v>36.287523504396844</v>
      </c>
      <c r="U79" s="122">
        <f t="shared" si="92"/>
        <v>37.319500204865783</v>
      </c>
      <c r="V79" s="122">
        <f t="shared" si="92"/>
        <v>36.544286095336602</v>
      </c>
      <c r="W79" s="122">
        <f t="shared" si="92"/>
        <v>40.385125841310192</v>
      </c>
      <c r="X79" s="122">
        <f t="shared" si="92"/>
        <v>38.627165421594412</v>
      </c>
      <c r="Y79" s="122">
        <f t="shared" si="92"/>
        <v>40.770847008448726</v>
      </c>
      <c r="Z79" s="122">
        <f t="shared" si="92"/>
        <v>44.075192399896977</v>
      </c>
      <c r="AA79" s="122">
        <f t="shared" si="92"/>
        <v>39.814516265415001</v>
      </c>
      <c r="AB79" s="122">
        <f t="shared" si="92"/>
        <v>44.320410417118623</v>
      </c>
      <c r="AC79" s="122">
        <f t="shared" si="92"/>
        <v>45.721807652920866</v>
      </c>
      <c r="AD79" s="122">
        <f t="shared" si="92"/>
        <v>48.234366733443167</v>
      </c>
      <c r="AE79" s="122">
        <f t="shared" si="92"/>
        <v>47.033336959358323</v>
      </c>
      <c r="AF79" s="122">
        <f t="shared" si="92"/>
        <v>55.270997854694386</v>
      </c>
      <c r="AG79" s="122">
        <f t="shared" si="92"/>
        <v>53.58833968592085</v>
      </c>
      <c r="AH79" s="122">
        <f t="shared" si="92"/>
        <v>53.815157883721326</v>
      </c>
      <c r="AI79" s="122">
        <f t="shared" si="92"/>
        <v>60.47507225725608</v>
      </c>
      <c r="AJ79" s="122">
        <f t="shared" si="92"/>
        <v>57.009138925310197</v>
      </c>
      <c r="AK79" s="122">
        <f t="shared" si="92"/>
        <v>61.310928881625124</v>
      </c>
      <c r="AL79" s="122">
        <f t="shared" si="92"/>
        <v>61.927735859257631</v>
      </c>
      <c r="AM79" s="122">
        <f t="shared" si="92"/>
        <v>56.254322705857078</v>
      </c>
      <c r="AN79" s="122">
        <f t="shared" si="92"/>
        <v>61.300622453970348</v>
      </c>
    </row>
    <row r="82" spans="1:40" s="111" customFormat="1" x14ac:dyDescent="0.25">
      <c r="A82" s="112" t="s">
        <v>115</v>
      </c>
      <c r="B82" s="109"/>
      <c r="C82" s="109"/>
      <c r="D82" s="109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A09-CD16-4FD0-83ED-5D12C2084026}">
  <dimension ref="A1:AN36"/>
  <sheetViews>
    <sheetView workbookViewId="0">
      <pane xSplit="4" ySplit="4" topLeftCell="M8" activePane="bottomRight" state="frozen"/>
      <selection pane="topRight" activeCell="E1" sqref="E1"/>
      <selection pane="bottomLeft" activeCell="A5" sqref="A5"/>
      <selection pane="bottomRight" activeCell="N42" sqref="N42"/>
    </sheetView>
  </sheetViews>
  <sheetFormatPr defaultRowHeight="15" x14ac:dyDescent="0.25"/>
  <cols>
    <col min="1" max="1" width="42.140625" customWidth="1"/>
    <col min="4" max="4" width="3.7109375" customWidth="1"/>
    <col min="5" max="5" width="11.5703125" style="115" bestFit="1" customWidth="1"/>
    <col min="6" max="6" width="12.140625" style="115" bestFit="1" customWidth="1"/>
    <col min="7" max="7" width="11.42578125" style="115" bestFit="1" customWidth="1"/>
    <col min="8" max="8" width="12" style="115" bestFit="1" customWidth="1"/>
    <col min="9" max="9" width="11.85546875" style="115" bestFit="1" customWidth="1"/>
    <col min="10" max="10" width="11.7109375" style="115" bestFit="1" customWidth="1"/>
    <col min="11" max="11" width="11.5703125" style="115" bestFit="1" customWidth="1"/>
    <col min="12" max="12" width="12" style="115" bestFit="1" customWidth="1"/>
    <col min="13" max="13" width="11.7109375" style="115" bestFit="1" customWidth="1"/>
    <col min="14" max="14" width="11.5703125" style="115" bestFit="1" customWidth="1"/>
    <col min="15" max="15" width="11.7109375" style="115" bestFit="1" customWidth="1"/>
    <col min="16" max="16" width="11.85546875" style="115" bestFit="1" customWidth="1"/>
    <col min="17" max="17" width="11.5703125" style="115" bestFit="1" customWidth="1"/>
    <col min="18" max="18" width="12.140625" style="115" bestFit="1" customWidth="1"/>
    <col min="19" max="20" width="11.5703125" style="115" bestFit="1" customWidth="1"/>
    <col min="21" max="21" width="11.85546875" style="115" bestFit="1" customWidth="1"/>
    <col min="22" max="22" width="11.7109375" style="115" bestFit="1" customWidth="1"/>
    <col min="23" max="23" width="11.5703125" style="115" bestFit="1" customWidth="1"/>
    <col min="24" max="24" width="12" style="115" bestFit="1" customWidth="1"/>
    <col min="25" max="25" width="11.7109375" style="115" bestFit="1" customWidth="1"/>
    <col min="26" max="26" width="11.5703125" style="115" bestFit="1" customWidth="1"/>
    <col min="27" max="27" width="11.7109375" style="115" bestFit="1" customWidth="1"/>
    <col min="28" max="28" width="11.85546875" style="115" bestFit="1" customWidth="1"/>
    <col min="29" max="29" width="11.5703125" style="115" bestFit="1" customWidth="1"/>
    <col min="30" max="30" width="12.140625" style="115" bestFit="1" customWidth="1"/>
    <col min="31" max="32" width="11.5703125" style="115" bestFit="1" customWidth="1"/>
    <col min="33" max="33" width="11.85546875" style="115" bestFit="1" customWidth="1"/>
    <col min="34" max="34" width="11.7109375" style="115" bestFit="1" customWidth="1"/>
    <col min="35" max="35" width="11.5703125" style="115" bestFit="1" customWidth="1"/>
    <col min="36" max="36" width="12" style="115" bestFit="1" customWidth="1"/>
    <col min="37" max="37" width="11.7109375" style="115" bestFit="1" customWidth="1"/>
    <col min="38" max="38" width="11.5703125" style="115" bestFit="1" customWidth="1"/>
    <col min="39" max="39" width="11.7109375" style="115" bestFit="1" customWidth="1"/>
    <col min="40" max="40" width="11.85546875" style="115" bestFit="1" customWidth="1"/>
    <col min="41" max="16384" width="9.140625" style="96"/>
  </cols>
  <sheetData>
    <row r="1" spans="1:40" customFormat="1" x14ac:dyDescent="0.25">
      <c r="A1" s="125" t="s">
        <v>106</v>
      </c>
      <c r="B1" s="92" t="str">
        <f>Converter!C1</f>
        <v xml:space="preserve"> Lakh </v>
      </c>
    </row>
    <row r="2" spans="1:40" customFormat="1" x14ac:dyDescent="0.25">
      <c r="N2" s="139"/>
      <c r="O2" s="139"/>
    </row>
    <row r="3" spans="1:40" customFormat="1" x14ac:dyDescent="0.25">
      <c r="E3" s="93">
        <v>1</v>
      </c>
      <c r="F3" s="93">
        <f>E3+1</f>
        <v>2</v>
      </c>
      <c r="G3" s="93">
        <f t="shared" ref="G3:AN3" si="0">F3+1</f>
        <v>3</v>
      </c>
      <c r="H3" s="93">
        <f t="shared" si="0"/>
        <v>4</v>
      </c>
      <c r="I3" s="93">
        <f t="shared" si="0"/>
        <v>5</v>
      </c>
      <c r="J3" s="93">
        <f t="shared" si="0"/>
        <v>6</v>
      </c>
      <c r="K3" s="93">
        <f t="shared" si="0"/>
        <v>7</v>
      </c>
      <c r="L3" s="93">
        <f t="shared" si="0"/>
        <v>8</v>
      </c>
      <c r="M3" s="93">
        <f t="shared" si="0"/>
        <v>9</v>
      </c>
      <c r="N3" s="93">
        <f t="shared" si="0"/>
        <v>10</v>
      </c>
      <c r="O3" s="93">
        <f t="shared" si="0"/>
        <v>11</v>
      </c>
      <c r="P3" s="93">
        <f t="shared" si="0"/>
        <v>12</v>
      </c>
      <c r="Q3" s="93">
        <f t="shared" si="0"/>
        <v>13</v>
      </c>
      <c r="R3" s="93">
        <f t="shared" si="0"/>
        <v>14</v>
      </c>
      <c r="S3" s="93">
        <f t="shared" si="0"/>
        <v>15</v>
      </c>
      <c r="T3" s="93">
        <f t="shared" si="0"/>
        <v>16</v>
      </c>
      <c r="U3" s="93">
        <f t="shared" si="0"/>
        <v>17</v>
      </c>
      <c r="V3" s="93">
        <f t="shared" si="0"/>
        <v>18</v>
      </c>
      <c r="W3" s="93">
        <f t="shared" si="0"/>
        <v>19</v>
      </c>
      <c r="X3" s="93">
        <f t="shared" si="0"/>
        <v>20</v>
      </c>
      <c r="Y3" s="93">
        <f t="shared" si="0"/>
        <v>21</v>
      </c>
      <c r="Z3" s="93">
        <f t="shared" si="0"/>
        <v>22</v>
      </c>
      <c r="AA3" s="93">
        <f t="shared" si="0"/>
        <v>23</v>
      </c>
      <c r="AB3" s="93">
        <f t="shared" si="0"/>
        <v>24</v>
      </c>
      <c r="AC3" s="93">
        <f t="shared" si="0"/>
        <v>25</v>
      </c>
      <c r="AD3" s="93">
        <f t="shared" si="0"/>
        <v>26</v>
      </c>
      <c r="AE3" s="93">
        <f t="shared" si="0"/>
        <v>27</v>
      </c>
      <c r="AF3" s="93">
        <f t="shared" si="0"/>
        <v>28</v>
      </c>
      <c r="AG3" s="93">
        <f t="shared" si="0"/>
        <v>29</v>
      </c>
      <c r="AH3" s="93">
        <f t="shared" si="0"/>
        <v>30</v>
      </c>
      <c r="AI3" s="93">
        <f t="shared" si="0"/>
        <v>31</v>
      </c>
      <c r="AJ3" s="93">
        <f t="shared" si="0"/>
        <v>32</v>
      </c>
      <c r="AK3" s="93">
        <f t="shared" si="0"/>
        <v>33</v>
      </c>
      <c r="AL3" s="93">
        <f t="shared" si="0"/>
        <v>34</v>
      </c>
      <c r="AM3" s="93">
        <f t="shared" si="0"/>
        <v>35</v>
      </c>
      <c r="AN3" s="93">
        <f t="shared" si="0"/>
        <v>36</v>
      </c>
    </row>
    <row r="4" spans="1:40" customFormat="1" x14ac:dyDescent="0.25">
      <c r="E4" s="94">
        <f>EOMONTH(Assumptions!G3,0)</f>
        <v>43951</v>
      </c>
      <c r="F4" s="94">
        <f>EOMONTH(E4,1)</f>
        <v>43982</v>
      </c>
      <c r="G4" s="94">
        <f t="shared" ref="G4:AN4" si="1">EOMONTH(F4,1)</f>
        <v>44012</v>
      </c>
      <c r="H4" s="94">
        <f t="shared" si="1"/>
        <v>44043</v>
      </c>
      <c r="I4" s="94">
        <f t="shared" si="1"/>
        <v>44074</v>
      </c>
      <c r="J4" s="94">
        <f t="shared" si="1"/>
        <v>44104</v>
      </c>
      <c r="K4" s="94">
        <f t="shared" si="1"/>
        <v>44135</v>
      </c>
      <c r="L4" s="94">
        <f t="shared" si="1"/>
        <v>44165</v>
      </c>
      <c r="M4" s="94">
        <f t="shared" si="1"/>
        <v>44196</v>
      </c>
      <c r="N4" s="94">
        <f t="shared" si="1"/>
        <v>44227</v>
      </c>
      <c r="O4" s="94">
        <f t="shared" si="1"/>
        <v>44255</v>
      </c>
      <c r="P4" s="94">
        <f t="shared" si="1"/>
        <v>44286</v>
      </c>
      <c r="Q4" s="94">
        <f t="shared" si="1"/>
        <v>44316</v>
      </c>
      <c r="R4" s="94">
        <f t="shared" si="1"/>
        <v>44347</v>
      </c>
      <c r="S4" s="94">
        <f t="shared" si="1"/>
        <v>44377</v>
      </c>
      <c r="T4" s="94">
        <f t="shared" si="1"/>
        <v>44408</v>
      </c>
      <c r="U4" s="94">
        <f t="shared" si="1"/>
        <v>44439</v>
      </c>
      <c r="V4" s="94">
        <f t="shared" si="1"/>
        <v>44469</v>
      </c>
      <c r="W4" s="94">
        <f t="shared" si="1"/>
        <v>44500</v>
      </c>
      <c r="X4" s="94">
        <f t="shared" si="1"/>
        <v>44530</v>
      </c>
      <c r="Y4" s="94">
        <f t="shared" si="1"/>
        <v>44561</v>
      </c>
      <c r="Z4" s="94">
        <f t="shared" si="1"/>
        <v>44592</v>
      </c>
      <c r="AA4" s="94">
        <f t="shared" si="1"/>
        <v>44620</v>
      </c>
      <c r="AB4" s="94">
        <f t="shared" si="1"/>
        <v>44651</v>
      </c>
      <c r="AC4" s="94">
        <f t="shared" si="1"/>
        <v>44681</v>
      </c>
      <c r="AD4" s="94">
        <f t="shared" si="1"/>
        <v>44712</v>
      </c>
      <c r="AE4" s="94">
        <f t="shared" si="1"/>
        <v>44742</v>
      </c>
      <c r="AF4" s="94">
        <f t="shared" si="1"/>
        <v>44773</v>
      </c>
      <c r="AG4" s="94">
        <f t="shared" si="1"/>
        <v>44804</v>
      </c>
      <c r="AH4" s="94">
        <f t="shared" si="1"/>
        <v>44834</v>
      </c>
      <c r="AI4" s="94">
        <f t="shared" si="1"/>
        <v>44865</v>
      </c>
      <c r="AJ4" s="94">
        <f t="shared" si="1"/>
        <v>44895</v>
      </c>
      <c r="AK4" s="94">
        <f t="shared" si="1"/>
        <v>44926</v>
      </c>
      <c r="AL4" s="94">
        <f t="shared" si="1"/>
        <v>44957</v>
      </c>
      <c r="AM4" s="94">
        <f t="shared" si="1"/>
        <v>44985</v>
      </c>
      <c r="AN4" s="94">
        <f t="shared" si="1"/>
        <v>45016</v>
      </c>
    </row>
    <row r="5" spans="1:40" x14ac:dyDescent="0.25">
      <c r="A5" s="106" t="s">
        <v>116</v>
      </c>
    </row>
    <row r="6" spans="1:40" x14ac:dyDescent="0.25">
      <c r="A6" s="103" t="str">
        <f>'Monthly Revenue'!A76</f>
        <v>Alcoholic Beverages</v>
      </c>
      <c r="E6" s="115">
        <f>'Monthly Revenue'!E76</f>
        <v>0</v>
      </c>
      <c r="F6" s="115">
        <f>'Monthly Revenue'!F76</f>
        <v>0</v>
      </c>
      <c r="G6" s="115">
        <f>'Monthly Revenue'!G76</f>
        <v>0</v>
      </c>
      <c r="H6" s="77">
        <f>'Monthly Revenue'!H76</f>
        <v>6.3719999999999999</v>
      </c>
      <c r="I6" s="115">
        <f>'Monthly Revenue'!I76</f>
        <v>6.8928799999999999</v>
      </c>
      <c r="J6" s="115">
        <f>'Monthly Revenue'!J76</f>
        <v>6.5659232000000003</v>
      </c>
      <c r="K6" s="115">
        <f>'Monthly Revenue'!K76</f>
        <v>7.1190656640000007</v>
      </c>
      <c r="L6" s="115">
        <f>'Monthly Revenue'!L76</f>
        <v>7.1497326470400013</v>
      </c>
      <c r="M6" s="115">
        <f>'Monthly Revenue'!M76</f>
        <v>7.3278903359104008</v>
      </c>
      <c r="N6" s="115">
        <f>'Monthly Revenue'!N76</f>
        <v>7.9907901820572169</v>
      </c>
      <c r="O6" s="115">
        <f>'Monthly Revenue'!O76</f>
        <v>7.1891116159028225</v>
      </c>
      <c r="P6" s="115">
        <f>'Monthly Revenue'!P76</f>
        <v>7.9777787161942584</v>
      </c>
      <c r="Q6" s="115">
        <f>'Monthly Revenue'!Q76</f>
        <v>8.0125046998851595</v>
      </c>
      <c r="R6" s="115">
        <f>'Monthly Revenue'!R76</f>
        <v>9.0090107084465636</v>
      </c>
      <c r="S6" s="115">
        <f>'Monthly Revenue'!S76</f>
        <v>8.4886750511071103</v>
      </c>
      <c r="T6" s="115">
        <f>'Monthly Revenue'!T76</f>
        <v>9.7217774157967405</v>
      </c>
      <c r="U6" s="115">
        <f>'Monthly Revenue'!U76</f>
        <v>10.014556368138194</v>
      </c>
      <c r="V6" s="115">
        <f>'Monthly Revenue'!V76</f>
        <v>9.7261900479430405</v>
      </c>
      <c r="W6" s="115">
        <f>'Monthly Revenue'!W76</f>
        <v>11.012648797590071</v>
      </c>
      <c r="X6" s="115">
        <f>'Monthly Revenue'!X76</f>
        <v>10.313900166000515</v>
      </c>
      <c r="Y6" s="115">
        <f>'Monthly Revenue'!Y76</f>
        <v>10.863564517722164</v>
      </c>
      <c r="Z6" s="115">
        <f>'Monthly Revenue'!Z76</f>
        <v>12.077922939214561</v>
      </c>
      <c r="AA6" s="115">
        <f>'Monthly Revenue'!AA76</f>
        <v>10.768955928648468</v>
      </c>
      <c r="AB6" s="115">
        <f>'Monthly Revenue'!AB76</f>
        <v>11.867009436993111</v>
      </c>
      <c r="AC6" s="115">
        <f>'Monthly Revenue'!AC76</f>
        <v>12.479619063966716</v>
      </c>
      <c r="AD6" s="115">
        <f>'Monthly Revenue'!AD76</f>
        <v>13.135402473176917</v>
      </c>
      <c r="AE6" s="115">
        <f>'Monthly Revenue'!AE76</f>
        <v>12.702598605303542</v>
      </c>
      <c r="AF6" s="115">
        <f>'Monthly Revenue'!AF76</f>
        <v>15.295928760517393</v>
      </c>
      <c r="AG6" s="115">
        <f>'Monthly Revenue'!AG76</f>
        <v>14.467652104747231</v>
      </c>
      <c r="AH6" s="115">
        <f>'Monthly Revenue'!AH76</f>
        <v>14.607333993545554</v>
      </c>
      <c r="AI6" s="115">
        <f>'Monthly Revenue'!AI76</f>
        <v>16.817076355548618</v>
      </c>
      <c r="AJ6" s="115">
        <f>'Monthly Revenue'!AJ76</f>
        <v>15.525042338420915</v>
      </c>
      <c r="AK6" s="115">
        <f>'Monthly Revenue'!AK76</f>
        <v>16.841905525958829</v>
      </c>
      <c r="AL6" s="115">
        <f>'Monthly Revenue'!AL76</f>
        <v>16.983185336478005</v>
      </c>
      <c r="AM6" s="115">
        <f>'Monthly Revenue'!AM76</f>
        <v>15.372730675643242</v>
      </c>
      <c r="AN6" s="115">
        <f>'Monthly Revenue'!AN76</f>
        <v>16.528587042529523</v>
      </c>
    </row>
    <row r="7" spans="1:40" x14ac:dyDescent="0.25">
      <c r="A7" s="103" t="str">
        <f>'Monthly Revenue'!A77</f>
        <v>Non Alcoholic Beverages</v>
      </c>
      <c r="E7" s="115">
        <f>'Monthly Revenue'!E77</f>
        <v>0</v>
      </c>
      <c r="F7" s="115">
        <f>'Monthly Revenue'!F77</f>
        <v>0</v>
      </c>
      <c r="G7" s="115">
        <f>'Monthly Revenue'!G77</f>
        <v>0</v>
      </c>
      <c r="H7" s="115">
        <f>'Monthly Revenue'!H77</f>
        <v>3.1320000000000001</v>
      </c>
      <c r="I7" s="115">
        <f>'Monthly Revenue'!I77</f>
        <v>3.2914399999999997</v>
      </c>
      <c r="J7" s="115">
        <f>'Monthly Revenue'!J77</f>
        <v>3.2046752000000001</v>
      </c>
      <c r="K7" s="115">
        <f>'Monthly Revenue'!K77</f>
        <v>3.4336045440000005</v>
      </c>
      <c r="L7" s="115">
        <f>'Monthly Revenue'!L77</f>
        <v>3.4284072672000003</v>
      </c>
      <c r="M7" s="115">
        <f>'Monthly Revenue'!M77</f>
        <v>3.5723543284095998</v>
      </c>
      <c r="N7" s="115">
        <f>'Monthly Revenue'!N77</f>
        <v>3.7827009475079683</v>
      </c>
      <c r="O7" s="115">
        <f>'Monthly Revenue'!O77</f>
        <v>3.450568316178289</v>
      </c>
      <c r="P7" s="115">
        <f>'Monthly Revenue'!P77</f>
        <v>3.8696974054125528</v>
      </c>
      <c r="Q7" s="115">
        <f>'Monthly Revenue'!Q77</f>
        <v>3.8649521603117858</v>
      </c>
      <c r="R7" s="115">
        <f>'Monthly Revenue'!R77</f>
        <v>4.2350074612761679</v>
      </c>
      <c r="S7" s="115">
        <f>'Monthly Revenue'!S77</f>
        <v>4.0806749214068958</v>
      </c>
      <c r="T7" s="115">
        <f>'Monthly Revenue'!T77</f>
        <v>4.616746278918324</v>
      </c>
      <c r="U7" s="115">
        <f>'Monthly Revenue'!U77</f>
        <v>4.7475107808389714</v>
      </c>
      <c r="V7" s="115">
        <f>'Monthly Revenue'!V77</f>
        <v>4.6515087015638876</v>
      </c>
      <c r="W7" s="115">
        <f>'Monthly Revenue'!W77</f>
        <v>5.1317866757178034</v>
      </c>
      <c r="X7" s="115">
        <f>'Monthly Revenue'!X77</f>
        <v>4.9155405734003388</v>
      </c>
      <c r="Y7" s="115">
        <f>'Monthly Revenue'!Y77</f>
        <v>5.1890766338211698</v>
      </c>
      <c r="Z7" s="115">
        <f>'Monthly Revenue'!Z77</f>
        <v>5.5987666610905009</v>
      </c>
      <c r="AA7" s="115">
        <f>'Monthly Revenue'!AA77</f>
        <v>5.0621458862737576</v>
      </c>
      <c r="AB7" s="115">
        <f>'Monthly Revenue'!AB77</f>
        <v>5.6389680933727613</v>
      </c>
      <c r="AC7" s="115">
        <f>'Monthly Revenue'!AC77</f>
        <v>5.8095442429473465</v>
      </c>
      <c r="AD7" s="115">
        <f>'Monthly Revenue'!AD77</f>
        <v>6.129774033957565</v>
      </c>
      <c r="AE7" s="115">
        <f>'Monthly Revenue'!AE77</f>
        <v>5.9805848577081377</v>
      </c>
      <c r="AF7" s="115">
        <f>'Monthly Revenue'!AF77</f>
        <v>7.0191312076367298</v>
      </c>
      <c r="AG7" s="115">
        <f>'Monthly Revenue'!AG77</f>
        <v>6.8168221805568194</v>
      </c>
      <c r="AH7" s="115">
        <f>'Monthly Revenue'!AH77</f>
        <v>6.8432132020716283</v>
      </c>
      <c r="AI7" s="115">
        <f>'Monthly Revenue'!AI77</f>
        <v>7.6774813034396079</v>
      </c>
      <c r="AJ7" s="115">
        <f>'Monthly Revenue'!AJ77</f>
        <v>7.2477717772398682</v>
      </c>
      <c r="AK7" s="115">
        <f>'Monthly Revenue'!AK77</f>
        <v>7.7871413926110495</v>
      </c>
      <c r="AL7" s="115">
        <f>'Monthly Revenue'!AL77</f>
        <v>7.8663959204632707</v>
      </c>
      <c r="AM7" s="115">
        <f>'Monthly Revenue'!AM77</f>
        <v>7.147498671702305</v>
      </c>
      <c r="AN7" s="115">
        <f>'Monthly Revenue'!AN77</f>
        <v>7.7959059019068038</v>
      </c>
    </row>
    <row r="8" spans="1:40" x14ac:dyDescent="0.25">
      <c r="A8" s="103" t="str">
        <f>'Monthly Revenue'!A78</f>
        <v>Food</v>
      </c>
      <c r="E8" s="115">
        <f>'Monthly Revenue'!E78</f>
        <v>0</v>
      </c>
      <c r="F8" s="115">
        <f>'Monthly Revenue'!F78</f>
        <v>0</v>
      </c>
      <c r="G8" s="115">
        <f>'Monthly Revenue'!G78</f>
        <v>0</v>
      </c>
      <c r="H8" s="115">
        <f>'Monthly Revenue'!H78</f>
        <v>15.06</v>
      </c>
      <c r="I8" s="115">
        <f>'Monthly Revenue'!I78</f>
        <v>15.677200000000003</v>
      </c>
      <c r="J8" s="115">
        <f>'Monthly Revenue'!J78</f>
        <v>15.374416000000002</v>
      </c>
      <c r="K8" s="115">
        <f>'Monthly Revenue'!K78</f>
        <v>16.408739520000001</v>
      </c>
      <c r="L8" s="115">
        <f>'Monthly Revenue'!L78</f>
        <v>16.352381808000004</v>
      </c>
      <c r="M8" s="115">
        <f>'Monthly Revenue'!M78</f>
        <v>17.131779900608002</v>
      </c>
      <c r="N8" s="115">
        <f>'Monthly Revenue'!N78</f>
        <v>17.964515473667841</v>
      </c>
      <c r="O8" s="115">
        <f>'Monthly Revenue'!O78</f>
        <v>16.463282513349942</v>
      </c>
      <c r="P8" s="115">
        <f>'Monthly Revenue'!P78</f>
        <v>18.527345596819597</v>
      </c>
      <c r="Q8" s="115">
        <f>'Monthly Revenue'!Q78</f>
        <v>18.470773714106041</v>
      </c>
      <c r="R8" s="115">
        <f>'Monthly Revenue'!R78</f>
        <v>20.064854092692084</v>
      </c>
      <c r="S8" s="115">
        <f>'Monthly Revenue'!S78</f>
        <v>19.479702173245432</v>
      </c>
      <c r="T8" s="115">
        <f>'Monthly Revenue'!T78</f>
        <v>21.948999809681776</v>
      </c>
      <c r="U8" s="115">
        <f>'Monthly Revenue'!U78</f>
        <v>22.557433055888616</v>
      </c>
      <c r="V8" s="115">
        <f>'Monthly Revenue'!V78</f>
        <v>22.166587345829672</v>
      </c>
      <c r="W8" s="115">
        <f>'Monthly Revenue'!W78</f>
        <v>24.240690368002319</v>
      </c>
      <c r="X8" s="115">
        <f>'Monthly Revenue'!X78</f>
        <v>23.397724682193562</v>
      </c>
      <c r="Y8" s="115">
        <f>'Monthly Revenue'!Y78</f>
        <v>24.718205856905389</v>
      </c>
      <c r="Z8" s="115">
        <f>'Monthly Revenue'!Z78</f>
        <v>26.398502799591913</v>
      </c>
      <c r="AA8" s="115">
        <f>'Monthly Revenue'!AA78</f>
        <v>23.983414450492777</v>
      </c>
      <c r="AB8" s="115">
        <f>'Monthly Revenue'!AB78</f>
        <v>26.814432886752751</v>
      </c>
      <c r="AC8" s="115">
        <f>'Monthly Revenue'!AC78</f>
        <v>27.432644346006803</v>
      </c>
      <c r="AD8" s="115">
        <f>'Monthly Revenue'!AD78</f>
        <v>28.969190226308687</v>
      </c>
      <c r="AE8" s="115">
        <f>'Monthly Revenue'!AE78</f>
        <v>28.350153496346643</v>
      </c>
      <c r="AF8" s="115">
        <f>'Monthly Revenue'!AF78</f>
        <v>32.955937886540262</v>
      </c>
      <c r="AG8" s="115">
        <f>'Monthly Revenue'!AG78</f>
        <v>32.3038654006168</v>
      </c>
      <c r="AH8" s="115">
        <f>'Monthly Revenue'!AH78</f>
        <v>32.364610688104143</v>
      </c>
      <c r="AI8" s="115">
        <f>'Monthly Revenue'!AI78</f>
        <v>35.980514598267852</v>
      </c>
      <c r="AJ8" s="115">
        <f>'Monthly Revenue'!AJ78</f>
        <v>34.236324809649417</v>
      </c>
      <c r="AK8" s="115">
        <f>'Monthly Revenue'!AK78</f>
        <v>36.681881963055247</v>
      </c>
      <c r="AL8" s="115">
        <f>'Monthly Revenue'!AL78</f>
        <v>37.078154602316353</v>
      </c>
      <c r="AM8" s="115">
        <f>'Monthly Revenue'!AM78</f>
        <v>33.734093358511529</v>
      </c>
      <c r="AN8" s="115">
        <f>'Monthly Revenue'!AN78</f>
        <v>36.976129509534026</v>
      </c>
    </row>
    <row r="9" spans="1:40" s="120" customFormat="1" x14ac:dyDescent="0.25">
      <c r="A9" s="117" t="str">
        <f>'Monthly Revenue'!A79</f>
        <v>Total</v>
      </c>
      <c r="B9" s="118"/>
      <c r="C9" s="118"/>
      <c r="D9" s="118"/>
      <c r="E9" s="119">
        <f>'Monthly Revenue'!E79</f>
        <v>0</v>
      </c>
      <c r="F9" s="119">
        <f>'Monthly Revenue'!F79</f>
        <v>0</v>
      </c>
      <c r="G9" s="119">
        <f>'Monthly Revenue'!G79</f>
        <v>0</v>
      </c>
      <c r="H9" s="131">
        <f>'Monthly Revenue'!H79</f>
        <v>24.564</v>
      </c>
      <c r="I9" s="119">
        <f>'Monthly Revenue'!I79</f>
        <v>25.861520000000002</v>
      </c>
      <c r="J9" s="119">
        <f>'Monthly Revenue'!J79</f>
        <v>25.145014400000001</v>
      </c>
      <c r="K9" s="119">
        <f>'Monthly Revenue'!K79</f>
        <v>26.961409728000003</v>
      </c>
      <c r="L9" s="119">
        <f>'Monthly Revenue'!L79</f>
        <v>26.930521722240005</v>
      </c>
      <c r="M9" s="119">
        <f>'Monthly Revenue'!M79</f>
        <v>28.032024564928001</v>
      </c>
      <c r="N9" s="119">
        <f>'Monthly Revenue'!N79</f>
        <v>29.738006603233025</v>
      </c>
      <c r="O9" s="119">
        <f>'Monthly Revenue'!O79</f>
        <v>27.102962445431054</v>
      </c>
      <c r="P9" s="119">
        <f>'Monthly Revenue'!P79</f>
        <v>30.374821718426407</v>
      </c>
      <c r="Q9" s="119">
        <f>'Monthly Revenue'!Q79</f>
        <v>30.348230574302988</v>
      </c>
      <c r="R9" s="119">
        <f>'Monthly Revenue'!R79</f>
        <v>33.308872262414816</v>
      </c>
      <c r="S9" s="119">
        <f>'Monthly Revenue'!S79</f>
        <v>32.04905214575944</v>
      </c>
      <c r="T9" s="119">
        <f>'Monthly Revenue'!T79</f>
        <v>36.287523504396844</v>
      </c>
      <c r="U9" s="119">
        <f>'Monthly Revenue'!U79</f>
        <v>37.319500204865783</v>
      </c>
      <c r="V9" s="119">
        <f>'Monthly Revenue'!V79</f>
        <v>36.544286095336602</v>
      </c>
      <c r="W9" s="119">
        <f>'Monthly Revenue'!W79</f>
        <v>40.385125841310192</v>
      </c>
      <c r="X9" s="119">
        <f>'Monthly Revenue'!X79</f>
        <v>38.627165421594412</v>
      </c>
      <c r="Y9" s="119">
        <f>'Monthly Revenue'!Y79</f>
        <v>40.770847008448726</v>
      </c>
      <c r="Z9" s="119">
        <f>'Monthly Revenue'!Z79</f>
        <v>44.075192399896977</v>
      </c>
      <c r="AA9" s="119">
        <f>'Monthly Revenue'!AA79</f>
        <v>39.814516265415001</v>
      </c>
      <c r="AB9" s="119">
        <f>'Monthly Revenue'!AB79</f>
        <v>44.320410417118623</v>
      </c>
      <c r="AC9" s="119">
        <f>'Monthly Revenue'!AC79</f>
        <v>45.721807652920866</v>
      </c>
      <c r="AD9" s="119">
        <f>'Monthly Revenue'!AD79</f>
        <v>48.234366733443167</v>
      </c>
      <c r="AE9" s="119">
        <f>'Monthly Revenue'!AE79</f>
        <v>47.033336959358323</v>
      </c>
      <c r="AF9" s="119">
        <f>'Monthly Revenue'!AF79</f>
        <v>55.270997854694386</v>
      </c>
      <c r="AG9" s="119">
        <f>'Monthly Revenue'!AG79</f>
        <v>53.58833968592085</v>
      </c>
      <c r="AH9" s="119">
        <f>'Monthly Revenue'!AH79</f>
        <v>53.815157883721326</v>
      </c>
      <c r="AI9" s="119">
        <f>'Monthly Revenue'!AI79</f>
        <v>60.47507225725608</v>
      </c>
      <c r="AJ9" s="119">
        <f>'Monthly Revenue'!AJ79</f>
        <v>57.009138925310197</v>
      </c>
      <c r="AK9" s="119">
        <f>'Monthly Revenue'!AK79</f>
        <v>61.310928881625124</v>
      </c>
      <c r="AL9" s="119">
        <f>'Monthly Revenue'!AL79</f>
        <v>61.927735859257631</v>
      </c>
      <c r="AM9" s="119">
        <f>'Monthly Revenue'!AM79</f>
        <v>56.254322705857078</v>
      </c>
      <c r="AN9" s="119">
        <f>'Monthly Revenue'!AN79</f>
        <v>61.300622453970348</v>
      </c>
    </row>
    <row r="11" spans="1:40" x14ac:dyDescent="0.25">
      <c r="A11" s="7" t="s">
        <v>117</v>
      </c>
    </row>
    <row r="12" spans="1:40" x14ac:dyDescent="0.25">
      <c r="A12" t="str">
        <f>Assumptions!A25</f>
        <v>Alcoholic Beverage cost (% of revenue)</v>
      </c>
      <c r="E12" s="115">
        <f>E6*Assumptions!$G25</f>
        <v>0</v>
      </c>
      <c r="F12" s="115">
        <f>F6*Assumptions!$G25</f>
        <v>0</v>
      </c>
      <c r="G12" s="115">
        <f>G6*Assumptions!$G25</f>
        <v>0</v>
      </c>
      <c r="H12" s="115">
        <f>H6*Assumptions!$G25</f>
        <v>2.2302</v>
      </c>
      <c r="I12" s="115">
        <f>I6*Assumptions!$G25</f>
        <v>2.4125079999999999</v>
      </c>
      <c r="J12" s="115">
        <f>J6*Assumptions!$G25</f>
        <v>2.2980731199999997</v>
      </c>
      <c r="K12" s="115">
        <f>K6*Assumptions!$G25</f>
        <v>2.4916729823999999</v>
      </c>
      <c r="L12" s="115">
        <f>L6*Assumptions!$G25</f>
        <v>2.5024064264640002</v>
      </c>
      <c r="M12" s="115">
        <f>M6*Assumptions!$G25</f>
        <v>2.5647616175686401</v>
      </c>
      <c r="N12" s="115">
        <f>N6*Assumptions!$G25</f>
        <v>2.7967765637200257</v>
      </c>
      <c r="O12" s="115">
        <f>O6*Assumptions!$G25</f>
        <v>2.5161890655659875</v>
      </c>
      <c r="P12" s="115">
        <f>P6*Assumptions!$G25</f>
        <v>2.7922225506679901</v>
      </c>
      <c r="Q12" s="115">
        <f>Q6*Assumptions!$G25</f>
        <v>2.8043766449598055</v>
      </c>
      <c r="R12" s="115">
        <f>R6*Assumptions!$G25</f>
        <v>3.153153747956297</v>
      </c>
      <c r="S12" s="115">
        <f>S6*Assumptions!$G25</f>
        <v>2.9710362678874884</v>
      </c>
      <c r="T12" s="115">
        <f>T6*Assumptions!$G25</f>
        <v>3.4026220955288591</v>
      </c>
      <c r="U12" s="115">
        <f>U6*Assumptions!$G25</f>
        <v>3.5050947288483676</v>
      </c>
      <c r="V12" s="115">
        <f>V6*Assumptions!$G25</f>
        <v>3.4041665167800641</v>
      </c>
      <c r="W12" s="115">
        <f>W6*Assumptions!$G25</f>
        <v>3.8544270791565247</v>
      </c>
      <c r="X12" s="115">
        <f>X6*Assumptions!$G25</f>
        <v>3.6098650581001799</v>
      </c>
      <c r="Y12" s="115">
        <f>Y6*Assumptions!$G25</f>
        <v>3.802247581202757</v>
      </c>
      <c r="Z12" s="115">
        <f>Z6*Assumptions!$G25</f>
        <v>4.2272730287250964</v>
      </c>
      <c r="AA12" s="115">
        <f>AA6*Assumptions!$G25</f>
        <v>3.7691345750269636</v>
      </c>
      <c r="AB12" s="115">
        <f>AB6*Assumptions!$G25</f>
        <v>4.1534533029475886</v>
      </c>
      <c r="AC12" s="115">
        <f>AC6*Assumptions!$G25</f>
        <v>4.3678666723883506</v>
      </c>
      <c r="AD12" s="115">
        <f>AD6*Assumptions!$G25</f>
        <v>4.5973908656119207</v>
      </c>
      <c r="AE12" s="115">
        <f>AE6*Assumptions!$G25</f>
        <v>4.4459095118562395</v>
      </c>
      <c r="AF12" s="115">
        <f>AF6*Assumptions!$G25</f>
        <v>5.3535750661810875</v>
      </c>
      <c r="AG12" s="115">
        <f>AG6*Assumptions!$G25</f>
        <v>5.0636782366615307</v>
      </c>
      <c r="AH12" s="115">
        <f>AH6*Assumptions!$G25</f>
        <v>5.112566897740944</v>
      </c>
      <c r="AI12" s="115">
        <f>AI6*Assumptions!$G25</f>
        <v>5.885976724442016</v>
      </c>
      <c r="AJ12" s="115">
        <f>AJ6*Assumptions!$G25</f>
        <v>5.4337648184473197</v>
      </c>
      <c r="AK12" s="115">
        <f>AK6*Assumptions!$G25</f>
        <v>5.8946669340855902</v>
      </c>
      <c r="AL12" s="115">
        <f>AL6*Assumptions!$G25</f>
        <v>5.9441148677673015</v>
      </c>
      <c r="AM12" s="115">
        <f>AM6*Assumptions!$G25</f>
        <v>5.3804557364751346</v>
      </c>
      <c r="AN12" s="115">
        <f>AN6*Assumptions!$G25</f>
        <v>5.7850054648853328</v>
      </c>
    </row>
    <row r="13" spans="1:40" x14ac:dyDescent="0.25">
      <c r="A13" t="str">
        <f>Assumptions!A26</f>
        <v>Non Alcoholic Beverages (% of revenue)</v>
      </c>
      <c r="E13" s="115">
        <f>E7*Assumptions!$G26</f>
        <v>0</v>
      </c>
      <c r="F13" s="115">
        <f>F7*Assumptions!$G26</f>
        <v>0</v>
      </c>
      <c r="G13" s="115">
        <f>G7*Assumptions!$G26</f>
        <v>0</v>
      </c>
      <c r="H13" s="115">
        <f>H7*Assumptions!$G26</f>
        <v>1.2528000000000001</v>
      </c>
      <c r="I13" s="115">
        <f>I7*Assumptions!$G26</f>
        <v>1.316576</v>
      </c>
      <c r="J13" s="115">
        <f>J7*Assumptions!$G26</f>
        <v>1.28187008</v>
      </c>
      <c r="K13" s="115">
        <f>K7*Assumptions!$G26</f>
        <v>1.3734418176000003</v>
      </c>
      <c r="L13" s="115">
        <f>L7*Assumptions!$G26</f>
        <v>1.3713629068800002</v>
      </c>
      <c r="M13" s="115">
        <f>M7*Assumptions!$G26</f>
        <v>1.42894173136384</v>
      </c>
      <c r="N13" s="115">
        <f>N7*Assumptions!$G26</f>
        <v>1.5130803790031875</v>
      </c>
      <c r="O13" s="115">
        <f>O7*Assumptions!$G26</f>
        <v>1.3802273264713156</v>
      </c>
      <c r="P13" s="115">
        <f>P7*Assumptions!$G26</f>
        <v>1.5478789621650213</v>
      </c>
      <c r="Q13" s="115">
        <f>Q7*Assumptions!$G26</f>
        <v>1.5459808641247144</v>
      </c>
      <c r="R13" s="115">
        <f>R7*Assumptions!$G26</f>
        <v>1.6940029845104672</v>
      </c>
      <c r="S13" s="115">
        <f>S7*Assumptions!$G26</f>
        <v>1.6322699685627584</v>
      </c>
      <c r="T13" s="115">
        <f>T7*Assumptions!$G26</f>
        <v>1.8466985115673298</v>
      </c>
      <c r="U13" s="115">
        <f>U7*Assumptions!$G26</f>
        <v>1.8990043123355886</v>
      </c>
      <c r="V13" s="115">
        <f>V7*Assumptions!$G26</f>
        <v>1.8606034806255551</v>
      </c>
      <c r="W13" s="115">
        <f>W7*Assumptions!$G26</f>
        <v>2.0527146702871213</v>
      </c>
      <c r="X13" s="115">
        <f>X7*Assumptions!$G26</f>
        <v>1.9662162293601355</v>
      </c>
      <c r="Y13" s="115">
        <f>Y7*Assumptions!$G26</f>
        <v>2.0756306535284681</v>
      </c>
      <c r="Z13" s="115">
        <f>Z7*Assumptions!$G26</f>
        <v>2.2395066644362003</v>
      </c>
      <c r="AA13" s="115">
        <f>AA7*Assumptions!$G26</f>
        <v>2.0248583545095031</v>
      </c>
      <c r="AB13" s="115">
        <f>AB7*Assumptions!$G26</f>
        <v>2.2555872373491046</v>
      </c>
      <c r="AC13" s="115">
        <f>AC7*Assumptions!$G26</f>
        <v>2.3238176971789386</v>
      </c>
      <c r="AD13" s="115">
        <f>AD7*Assumptions!$G26</f>
        <v>2.4519096135830263</v>
      </c>
      <c r="AE13" s="115">
        <f>AE7*Assumptions!$G26</f>
        <v>2.3922339430832551</v>
      </c>
      <c r="AF13" s="115">
        <f>AF7*Assumptions!$G26</f>
        <v>2.8076524830546923</v>
      </c>
      <c r="AG13" s="115">
        <f>AG7*Assumptions!$G26</f>
        <v>2.7267288722227279</v>
      </c>
      <c r="AH13" s="115">
        <f>AH7*Assumptions!$G26</f>
        <v>2.7372852808286514</v>
      </c>
      <c r="AI13" s="115">
        <f>AI7*Assumptions!$G26</f>
        <v>3.0709925213758433</v>
      </c>
      <c r="AJ13" s="115">
        <f>AJ7*Assumptions!$G26</f>
        <v>2.8991087108959475</v>
      </c>
      <c r="AK13" s="115">
        <f>AK7*Assumptions!$G26</f>
        <v>3.11485655704442</v>
      </c>
      <c r="AL13" s="115">
        <f>AL7*Assumptions!$G26</f>
        <v>3.1465583681853087</v>
      </c>
      <c r="AM13" s="115">
        <f>AM7*Assumptions!$G26</f>
        <v>2.8589994686809224</v>
      </c>
      <c r="AN13" s="115">
        <f>AN7*Assumptions!$G26</f>
        <v>3.1183623607627218</v>
      </c>
    </row>
    <row r="14" spans="1:40" x14ac:dyDescent="0.25">
      <c r="A14" t="str">
        <f>Assumptions!A27</f>
        <v>Food (% of revenue)</v>
      </c>
      <c r="E14" s="115">
        <f>E8*Assumptions!$G27</f>
        <v>0</v>
      </c>
      <c r="F14" s="115">
        <f>F8*Assumptions!$G27</f>
        <v>0</v>
      </c>
      <c r="G14" s="115">
        <f>G8*Assumptions!$G27</f>
        <v>0</v>
      </c>
      <c r="H14" s="115">
        <f>H8*Assumptions!$G27</f>
        <v>4.5179999999999998</v>
      </c>
      <c r="I14" s="115">
        <f>I8*Assumptions!$G27</f>
        <v>4.7031600000000005</v>
      </c>
      <c r="J14" s="115">
        <f>J8*Assumptions!$G27</f>
        <v>4.6123248000000006</v>
      </c>
      <c r="K14" s="115">
        <f>K8*Assumptions!$G27</f>
        <v>4.9226218560000001</v>
      </c>
      <c r="L14" s="115">
        <f>L8*Assumptions!$G27</f>
        <v>4.905714542400001</v>
      </c>
      <c r="M14" s="115">
        <f>M8*Assumptions!$G27</f>
        <v>5.1395339701824003</v>
      </c>
      <c r="N14" s="115">
        <f>N8*Assumptions!$G27</f>
        <v>5.3893546421003524</v>
      </c>
      <c r="O14" s="115">
        <f>O8*Assumptions!$G27</f>
        <v>4.9389847540049825</v>
      </c>
      <c r="P14" s="115">
        <f>P8*Assumptions!$G27</f>
        <v>5.5582036790458789</v>
      </c>
      <c r="Q14" s="115">
        <f>Q8*Assumptions!$G27</f>
        <v>5.5412321142318124</v>
      </c>
      <c r="R14" s="115">
        <f>R8*Assumptions!$G27</f>
        <v>6.0194562278076251</v>
      </c>
      <c r="S14" s="115">
        <f>S8*Assumptions!$G27</f>
        <v>5.843910651973629</v>
      </c>
      <c r="T14" s="115">
        <f>T8*Assumptions!$G27</f>
        <v>6.5846999429045328</v>
      </c>
      <c r="U14" s="115">
        <f>U8*Assumptions!$G27</f>
        <v>6.7672299167665848</v>
      </c>
      <c r="V14" s="115">
        <f>V8*Assumptions!$G27</f>
        <v>6.6499762037489019</v>
      </c>
      <c r="W14" s="115">
        <f>W8*Assumptions!$G27</f>
        <v>7.2722071104006956</v>
      </c>
      <c r="X14" s="115">
        <f>X8*Assumptions!$G27</f>
        <v>7.0193174046580689</v>
      </c>
      <c r="Y14" s="115">
        <f>Y8*Assumptions!$G27</f>
        <v>7.4154617570716166</v>
      </c>
      <c r="Z14" s="115">
        <f>Z8*Assumptions!$G27</f>
        <v>7.9195508398775738</v>
      </c>
      <c r="AA14" s="115">
        <f>AA8*Assumptions!$G27</f>
        <v>7.1950243351478331</v>
      </c>
      <c r="AB14" s="115">
        <f>AB8*Assumptions!$G27</f>
        <v>8.0443298660258247</v>
      </c>
      <c r="AC14" s="115">
        <f>AC8*Assumptions!$G27</f>
        <v>8.2297933038020403</v>
      </c>
      <c r="AD14" s="115">
        <f>AD8*Assumptions!$G27</f>
        <v>8.6907570678926049</v>
      </c>
      <c r="AE14" s="115">
        <f>AE8*Assumptions!$G27</f>
        <v>8.5050460489039921</v>
      </c>
      <c r="AF14" s="115">
        <f>AF8*Assumptions!$G27</f>
        <v>9.8867813659620776</v>
      </c>
      <c r="AG14" s="115">
        <f>AG8*Assumptions!$G27</f>
        <v>9.6911596201850401</v>
      </c>
      <c r="AH14" s="115">
        <f>AH8*Assumptions!$G27</f>
        <v>9.7093832064312426</v>
      </c>
      <c r="AI14" s="115">
        <f>AI8*Assumptions!$G27</f>
        <v>10.794154379480355</v>
      </c>
      <c r="AJ14" s="115">
        <f>AJ8*Assumptions!$G27</f>
        <v>10.270897442894825</v>
      </c>
      <c r="AK14" s="115">
        <f>AK8*Assumptions!$G27</f>
        <v>11.004564588916574</v>
      </c>
      <c r="AL14" s="115">
        <f>AL8*Assumptions!$G27</f>
        <v>11.123446380694906</v>
      </c>
      <c r="AM14" s="115">
        <f>AM8*Assumptions!$G27</f>
        <v>10.120228007553459</v>
      </c>
      <c r="AN14" s="115">
        <f>AN8*Assumptions!$G27</f>
        <v>11.092838852860208</v>
      </c>
    </row>
    <row r="15" spans="1:40" x14ac:dyDescent="0.25">
      <c r="A15" t="s">
        <v>118</v>
      </c>
      <c r="E15" s="115">
        <f>IF(MOD(E$3,12)=4,MAX(D15*(1+Assumptions!$G$41),Assumptions!G50),'Monthly P&amp;L'!D15)</f>
        <v>0</v>
      </c>
      <c r="F15" s="115">
        <f>IF(MOD(F$3,12)=4,MAX(E15*(1+Assumptions!$G$41),Assumptions!$G$40/den),'Monthly P&amp;L'!E15)</f>
        <v>0</v>
      </c>
      <c r="G15" s="115">
        <f>IF(MOD(G$3,12)=4,MAX(F15*(1+Assumptions!$G$41),Assumptions!$G$40/den),'Monthly P&amp;L'!F15)</f>
        <v>0</v>
      </c>
      <c r="H15" s="115">
        <f>IF(MOD(H$3,12)=4,MAX(G15*(1+Assumptions!$G$41),Assumptions!$G$40/den),'Monthly P&amp;L'!G15)</f>
        <v>9.86</v>
      </c>
      <c r="I15" s="115">
        <f>IF(MOD(I$3,12)=4,MAX(H15*(1+Assumptions!$G$41),Assumptions!$G$40/den),'Monthly P&amp;L'!H15)</f>
        <v>9.86</v>
      </c>
      <c r="J15" s="115">
        <f>IF(MOD(J$3,12)=4,MAX(I15*(1+Assumptions!$G$41),Assumptions!$G$40/den),'Monthly P&amp;L'!I15)</f>
        <v>9.86</v>
      </c>
      <c r="K15" s="115">
        <f>IF(MOD(K$3,12)=4,MAX(J15*(1+Assumptions!$G$41),Assumptions!$G$40/den),'Monthly P&amp;L'!J15)</f>
        <v>9.86</v>
      </c>
      <c r="L15" s="115">
        <f>IF(MOD(L$3,12)=4,MAX(K15*(1+Assumptions!$G$41),Assumptions!$G$40/den),'Monthly P&amp;L'!K15)</f>
        <v>9.86</v>
      </c>
      <c r="M15" s="115">
        <f>IF(MOD(M$3,12)=4,MAX(L15*(1+Assumptions!$G$41),Assumptions!$G$40/den),'Monthly P&amp;L'!L15)</f>
        <v>9.86</v>
      </c>
      <c r="N15" s="115">
        <f>IF(MOD(N$3,12)=4,MAX(M15*(1+Assumptions!$G$41),Assumptions!$G$40/den),'Monthly P&amp;L'!M15)</f>
        <v>9.86</v>
      </c>
      <c r="O15" s="115">
        <f>IF(MOD(O$3,12)=4,MAX(N15*(1+Assumptions!$G$41),Assumptions!$G$40/den),'Monthly P&amp;L'!N15)</f>
        <v>9.86</v>
      </c>
      <c r="P15" s="115">
        <f>IF(MOD(P$3,12)=4,MAX(O15*(1+Assumptions!$G$41),Assumptions!$G$40/den),'Monthly P&amp;L'!O15)</f>
        <v>9.86</v>
      </c>
      <c r="Q15" s="115">
        <f>IF(MOD(Q$3,12)=4,MAX(P15*(1+Assumptions!$G$41),Assumptions!$G$40/den),'Monthly P&amp;L'!P15)</f>
        <v>9.86</v>
      </c>
      <c r="R15" s="115">
        <f>IF(MOD(R$3,12)=4,MAX(Q15*(1+Assumptions!$G$41),Assumptions!$G$40/den),'Monthly P&amp;L'!Q15)</f>
        <v>9.86</v>
      </c>
      <c r="S15" s="115">
        <f>IF(MOD(S$3,12)=4,MAX(R15*(1+Assumptions!$G$41),Assumptions!$G$40/den),'Monthly P&amp;L'!R15)</f>
        <v>9.86</v>
      </c>
      <c r="T15" s="115">
        <f>IF(MOD(T$3,12)=4,MAX(S15*(1+Assumptions!$G$41),Assumptions!$G$40/den),'Monthly P&amp;L'!S15)</f>
        <v>10.6488</v>
      </c>
      <c r="U15" s="115">
        <f>IF(MOD(U$3,12)=4,MAX(T15*(1+Assumptions!$G$41),Assumptions!$G$40/den),'Monthly P&amp;L'!T15)</f>
        <v>10.6488</v>
      </c>
      <c r="V15" s="115">
        <f>IF(MOD(V$3,12)=4,MAX(U15*(1+Assumptions!$G$41),Assumptions!$G$40/den),'Monthly P&amp;L'!U15)</f>
        <v>10.6488</v>
      </c>
      <c r="W15" s="115">
        <f>IF(MOD(W$3,12)=4,MAX(V15*(1+Assumptions!$G$41),Assumptions!$G$40/den),'Monthly P&amp;L'!V15)</f>
        <v>10.6488</v>
      </c>
      <c r="X15" s="115">
        <f>IF(MOD(X$3,12)=4,MAX(W15*(1+Assumptions!$G$41),Assumptions!$G$40/den),'Monthly P&amp;L'!W15)</f>
        <v>10.6488</v>
      </c>
      <c r="Y15" s="115">
        <f>IF(MOD(Y$3,12)=4,MAX(X15*(1+Assumptions!$G$41),Assumptions!$G$40/den),'Monthly P&amp;L'!X15)</f>
        <v>10.6488</v>
      </c>
      <c r="Z15" s="115">
        <f>IF(MOD(Z$3,12)=4,MAX(Y15*(1+Assumptions!$G$41),Assumptions!$G$40/den),'Monthly P&amp;L'!Y15)</f>
        <v>10.6488</v>
      </c>
      <c r="AA15" s="115">
        <f>IF(MOD(AA$3,12)=4,MAX(Z15*(1+Assumptions!$G$41),Assumptions!$G$40/den),'Monthly P&amp;L'!Z15)</f>
        <v>10.6488</v>
      </c>
      <c r="AB15" s="115">
        <f>IF(MOD(AB$3,12)=4,MAX(AA15*(1+Assumptions!$G$41),Assumptions!$G$40/den),'Monthly P&amp;L'!AA15)</f>
        <v>10.6488</v>
      </c>
      <c r="AC15" s="115">
        <f>IF(MOD(AC$3,12)=4,MAX(AB15*(1+Assumptions!$G$41),Assumptions!$G$40/den),'Monthly P&amp;L'!AB15)</f>
        <v>10.6488</v>
      </c>
      <c r="AD15" s="115">
        <f>IF(MOD(AD$3,12)=4,MAX(AC15*(1+Assumptions!$G$41),Assumptions!$G$40/den),'Monthly P&amp;L'!AC15)</f>
        <v>10.6488</v>
      </c>
      <c r="AE15" s="115">
        <f>IF(MOD(AE$3,12)=4,MAX(AD15*(1+Assumptions!$G$41),Assumptions!$G$40/den),'Monthly P&amp;L'!AD15)</f>
        <v>10.6488</v>
      </c>
      <c r="AF15" s="115">
        <f>IF(MOD(AF$3,12)=4,MAX(AE15*(1+Assumptions!$G$41),Assumptions!$G$40/den),'Monthly P&amp;L'!AE15)</f>
        <v>11.500704000000001</v>
      </c>
      <c r="AG15" s="115">
        <f>IF(MOD(AG$3,12)=4,MAX(AF15*(1+Assumptions!$G$41),Assumptions!$G$40/den),'Monthly P&amp;L'!AF15)</f>
        <v>11.500704000000001</v>
      </c>
      <c r="AH15" s="115">
        <f>IF(MOD(AH$3,12)=4,MAX(AG15*(1+Assumptions!$G$41),Assumptions!$G$40/den),'Monthly P&amp;L'!AG15)</f>
        <v>11.500704000000001</v>
      </c>
      <c r="AI15" s="115">
        <f>IF(MOD(AI$3,12)=4,MAX(AH15*(1+Assumptions!$G$41),Assumptions!$G$40/den),'Monthly P&amp;L'!AH15)</f>
        <v>11.500704000000001</v>
      </c>
      <c r="AJ15" s="115">
        <f>IF(MOD(AJ$3,12)=4,MAX(AI15*(1+Assumptions!$G$41),Assumptions!$G$40/den),'Monthly P&amp;L'!AI15)</f>
        <v>11.500704000000001</v>
      </c>
      <c r="AK15" s="115">
        <f>IF(MOD(AK$3,12)=4,MAX(AJ15*(1+Assumptions!$G$41),Assumptions!$G$40/den),'Monthly P&amp;L'!AJ15)</f>
        <v>11.500704000000001</v>
      </c>
      <c r="AL15" s="115">
        <f>IF(MOD(AL$3,12)=4,MAX(AK15*(1+Assumptions!$G$41),Assumptions!$G$40/den),'Monthly P&amp;L'!AK15)</f>
        <v>11.500704000000001</v>
      </c>
      <c r="AM15" s="115">
        <f>IF(MOD(AM$3,12)=4,MAX(AL15*(1+Assumptions!$G$41),Assumptions!$G$40/den),'Monthly P&amp;L'!AL15)</f>
        <v>11.500704000000001</v>
      </c>
      <c r="AN15" s="115">
        <f>IF(MOD(AN$3,12)=4,MAX(AM15*(1+Assumptions!$G$41),Assumptions!$G$40/den),'Monthly P&amp;L'!AM15)</f>
        <v>11.500704000000001</v>
      </c>
    </row>
    <row r="16" spans="1:40" s="120" customFormat="1" x14ac:dyDescent="0.25">
      <c r="A16" s="118" t="s">
        <v>119</v>
      </c>
      <c r="B16" s="118"/>
      <c r="C16" s="118"/>
      <c r="D16" s="118"/>
      <c r="E16" s="119">
        <f t="shared" ref="E16:AN16" si="2">SUM(E12:E15)</f>
        <v>0</v>
      </c>
      <c r="F16" s="119">
        <f t="shared" si="2"/>
        <v>0</v>
      </c>
      <c r="G16" s="119">
        <f t="shared" si="2"/>
        <v>0</v>
      </c>
      <c r="H16" s="119">
        <f t="shared" si="2"/>
        <v>17.860999999999997</v>
      </c>
      <c r="I16" s="119">
        <f t="shared" si="2"/>
        <v>18.292244</v>
      </c>
      <c r="J16" s="119">
        <f t="shared" si="2"/>
        <v>18.052267999999998</v>
      </c>
      <c r="K16" s="119">
        <f t="shared" si="2"/>
        <v>18.647736655999999</v>
      </c>
      <c r="L16" s="119">
        <f t="shared" si="2"/>
        <v>18.639483875744002</v>
      </c>
      <c r="M16" s="119">
        <f t="shared" si="2"/>
        <v>18.993237319114879</v>
      </c>
      <c r="N16" s="119">
        <f t="shared" si="2"/>
        <v>19.559211584823565</v>
      </c>
      <c r="O16" s="119">
        <f t="shared" si="2"/>
        <v>18.695401146042286</v>
      </c>
      <c r="P16" s="119">
        <f t="shared" si="2"/>
        <v>19.75830519187889</v>
      </c>
      <c r="Q16" s="119">
        <f t="shared" si="2"/>
        <v>19.751589623316331</v>
      </c>
      <c r="R16" s="119">
        <f t="shared" si="2"/>
        <v>20.726612960274387</v>
      </c>
      <c r="S16" s="119">
        <f t="shared" si="2"/>
        <v>20.307216888423874</v>
      </c>
      <c r="T16" s="119">
        <f t="shared" si="2"/>
        <v>22.482820550000724</v>
      </c>
      <c r="U16" s="119">
        <f t="shared" si="2"/>
        <v>22.820128957950541</v>
      </c>
      <c r="V16" s="119">
        <f t="shared" si="2"/>
        <v>22.563546201154523</v>
      </c>
      <c r="W16" s="119">
        <f t="shared" si="2"/>
        <v>23.82814885984434</v>
      </c>
      <c r="X16" s="119">
        <f t="shared" si="2"/>
        <v>23.244198692118381</v>
      </c>
      <c r="Y16" s="119">
        <f t="shared" si="2"/>
        <v>23.94213999180284</v>
      </c>
      <c r="Z16" s="119">
        <f t="shared" si="2"/>
        <v>25.035130533038867</v>
      </c>
      <c r="AA16" s="119">
        <f t="shared" si="2"/>
        <v>23.637817264684301</v>
      </c>
      <c r="AB16" s="119">
        <f t="shared" si="2"/>
        <v>25.102170406322518</v>
      </c>
      <c r="AC16" s="119">
        <f t="shared" si="2"/>
        <v>25.570277673369329</v>
      </c>
      <c r="AD16" s="119">
        <f t="shared" si="2"/>
        <v>26.388857547087554</v>
      </c>
      <c r="AE16" s="119">
        <f t="shared" si="2"/>
        <v>25.991989503843484</v>
      </c>
      <c r="AF16" s="119">
        <f t="shared" si="2"/>
        <v>29.548712915197854</v>
      </c>
      <c r="AG16" s="119">
        <f t="shared" si="2"/>
        <v>28.982270729069299</v>
      </c>
      <c r="AH16" s="119">
        <f t="shared" si="2"/>
        <v>29.059939385000838</v>
      </c>
      <c r="AI16" s="119">
        <f t="shared" si="2"/>
        <v>31.251827625298212</v>
      </c>
      <c r="AJ16" s="119">
        <f t="shared" si="2"/>
        <v>30.104474972238094</v>
      </c>
      <c r="AK16" s="119">
        <f t="shared" si="2"/>
        <v>31.514792080046583</v>
      </c>
      <c r="AL16" s="119">
        <f t="shared" si="2"/>
        <v>31.714823616647514</v>
      </c>
      <c r="AM16" s="119">
        <f t="shared" si="2"/>
        <v>29.860387212709519</v>
      </c>
      <c r="AN16" s="119">
        <f t="shared" si="2"/>
        <v>31.496910678508264</v>
      </c>
    </row>
    <row r="18" spans="1:40" ht="14.25" customHeight="1" x14ac:dyDescent="0.25">
      <c r="A18" s="7" t="s">
        <v>120</v>
      </c>
    </row>
    <row r="19" spans="1:40" x14ac:dyDescent="0.25">
      <c r="A19" s="116" t="s">
        <v>121</v>
      </c>
      <c r="E19" s="115">
        <f>IF(MOD(E$3,12)=4,MAX(D19*(1+Assumptions!$G$41),Assumptions!$G$50/den),'Monthly P&amp;L'!D19)</f>
        <v>0</v>
      </c>
      <c r="F19" s="115">
        <f>IF(MOD(F$3,12)=4,MAX(E19*(1+Assumptions!$G$41),Assumptions!$G$50/den),'Monthly P&amp;L'!E19)</f>
        <v>0</v>
      </c>
      <c r="G19" s="115">
        <f>IF(MOD(G$3,12)=4,MAX(F19*(1+Assumptions!$G$41),Assumptions!$G$50/den),'Monthly P&amp;L'!F19)</f>
        <v>0</v>
      </c>
      <c r="H19" s="115">
        <f>IF(MOD(H$3,12)=4,MAX(G19*(1+Assumptions!$G$41),Assumptions!$G$50/den),'Monthly P&amp;L'!G19)</f>
        <v>3.8</v>
      </c>
      <c r="I19" s="115">
        <f>IF(MOD(I$3,12)=4,MAX(H19*(1+Assumptions!$G$41),Assumptions!$G$50/den),'Monthly P&amp;L'!H19)</f>
        <v>3.8</v>
      </c>
      <c r="J19" s="115">
        <f>IF(MOD(J$3,12)=4,MAX(I19*(1+Assumptions!$G$41),Assumptions!$G$50/den),'Monthly P&amp;L'!I19)</f>
        <v>3.8</v>
      </c>
      <c r="K19" s="115">
        <f>IF(MOD(K$3,12)=4,MAX(J19*(1+Assumptions!$G$41),Assumptions!$G$50/den),'Monthly P&amp;L'!J19)</f>
        <v>3.8</v>
      </c>
      <c r="L19" s="115">
        <f>IF(MOD(L$3,12)=4,MAX(K19*(1+Assumptions!$G$41),Assumptions!$G$50/den),'Monthly P&amp;L'!K19)</f>
        <v>3.8</v>
      </c>
      <c r="M19" s="115">
        <f>IF(MOD(M$3,12)=4,MAX(L19*(1+Assumptions!$G$41),Assumptions!$G$50/den),'Monthly P&amp;L'!L19)</f>
        <v>3.8</v>
      </c>
      <c r="N19" s="115">
        <f>IF(MOD(N$3,12)=4,MAX(M19*(1+Assumptions!$G$41),Assumptions!$G$50/den),'Monthly P&amp;L'!M19)</f>
        <v>3.8</v>
      </c>
      <c r="O19" s="115">
        <f>IF(MOD(O$3,12)=4,MAX(N19*(1+Assumptions!$G$41),Assumptions!$G$50/den),'Monthly P&amp;L'!N19)</f>
        <v>3.8</v>
      </c>
      <c r="P19" s="115">
        <f>IF(MOD(P$3,12)=4,MAX(O19*(1+Assumptions!$G$41),Assumptions!$G$50/den),'Monthly P&amp;L'!O19)</f>
        <v>3.8</v>
      </c>
      <c r="Q19" s="115">
        <f>IF(MOD(Q$3,12)=4,MAX(P19*(1+Assumptions!$G$41),Assumptions!$G$50/den),'Monthly P&amp;L'!P19)</f>
        <v>3.8</v>
      </c>
      <c r="R19" s="115">
        <f>IF(MOD(R$3,12)=4,MAX(Q19*(1+Assumptions!$G$41),Assumptions!$G$50/den),'Monthly P&amp;L'!Q19)</f>
        <v>3.8</v>
      </c>
      <c r="S19" s="115">
        <f>IF(MOD(S$3,12)=4,MAX(R19*(1+Assumptions!$G$41),Assumptions!$G$50/den),'Monthly P&amp;L'!R19)</f>
        <v>3.8</v>
      </c>
      <c r="T19" s="115">
        <f>IF(MOD(T$3,12)=4,MAX(S19*(1+Assumptions!$G$41),Assumptions!$G$50/den),'Monthly P&amp;L'!S19)</f>
        <v>4.1040000000000001</v>
      </c>
      <c r="U19" s="115">
        <f>IF(MOD(U$3,12)=4,MAX(T19*(1+Assumptions!$G$41),Assumptions!$G$50/den),'Monthly P&amp;L'!T19)</f>
        <v>4.1040000000000001</v>
      </c>
      <c r="V19" s="115">
        <f>IF(MOD(V$3,12)=4,MAX(U19*(1+Assumptions!$G$41),Assumptions!$G$50/den),'Monthly P&amp;L'!U19)</f>
        <v>4.1040000000000001</v>
      </c>
      <c r="W19" s="115">
        <f>IF(MOD(W$3,12)=4,MAX(V19*(1+Assumptions!$G$41),Assumptions!$G$50/den),'Monthly P&amp;L'!V19)</f>
        <v>4.1040000000000001</v>
      </c>
      <c r="X19" s="115">
        <f>IF(MOD(X$3,12)=4,MAX(W19*(1+Assumptions!$G$41),Assumptions!$G$50/den),'Monthly P&amp;L'!W19)</f>
        <v>4.1040000000000001</v>
      </c>
      <c r="Y19" s="115">
        <f>IF(MOD(Y$3,12)=4,MAX(X19*(1+Assumptions!$G$41),Assumptions!$G$50/den),'Monthly P&amp;L'!X19)</f>
        <v>4.1040000000000001</v>
      </c>
      <c r="Z19" s="115">
        <f>IF(MOD(Z$3,12)=4,MAX(Y19*(1+Assumptions!$G$41),Assumptions!$G$50/den),'Monthly P&amp;L'!Y19)</f>
        <v>4.1040000000000001</v>
      </c>
      <c r="AA19" s="115">
        <f>IF(MOD(AA$3,12)=4,MAX(Z19*(1+Assumptions!$G$41),Assumptions!$G$50/den),'Monthly P&amp;L'!Z19)</f>
        <v>4.1040000000000001</v>
      </c>
      <c r="AB19" s="115">
        <f>IF(MOD(AB$3,12)=4,MAX(AA19*(1+Assumptions!$G$41),Assumptions!$G$50/den),'Monthly P&amp;L'!AA19)</f>
        <v>4.1040000000000001</v>
      </c>
      <c r="AC19" s="115">
        <f>IF(MOD(AC$3,12)=4,MAX(AB19*(1+Assumptions!$G$41),Assumptions!$G$50/den),'Monthly P&amp;L'!AB19)</f>
        <v>4.1040000000000001</v>
      </c>
      <c r="AD19" s="115">
        <f>IF(MOD(AD$3,12)=4,MAX(AC19*(1+Assumptions!$G$41),Assumptions!$G$50/den),'Monthly P&amp;L'!AC19)</f>
        <v>4.1040000000000001</v>
      </c>
      <c r="AE19" s="115">
        <f>IF(MOD(AE$3,12)=4,MAX(AD19*(1+Assumptions!$G$41),Assumptions!$G$50/den),'Monthly P&amp;L'!AD19)</f>
        <v>4.1040000000000001</v>
      </c>
      <c r="AF19" s="115">
        <f>IF(MOD(AF$3,12)=4,MAX(AE19*(1+Assumptions!$G$41),Assumptions!$G$50/den),'Monthly P&amp;L'!AE19)</f>
        <v>4.4323200000000007</v>
      </c>
      <c r="AG19" s="115">
        <f>IF(MOD(AG$3,12)=4,MAX(AF19*(1+Assumptions!$G$41),Assumptions!$G$50/den),'Monthly P&amp;L'!AF19)</f>
        <v>4.4323200000000007</v>
      </c>
      <c r="AH19" s="115">
        <f>IF(MOD(AH$3,12)=4,MAX(AG19*(1+Assumptions!$G$41),Assumptions!$G$50/den),'Monthly P&amp;L'!AG19)</f>
        <v>4.4323200000000007</v>
      </c>
      <c r="AI19" s="115">
        <f>IF(MOD(AI$3,12)=4,MAX(AH19*(1+Assumptions!$G$41),Assumptions!$G$50/den),'Monthly P&amp;L'!AH19)</f>
        <v>4.4323200000000007</v>
      </c>
      <c r="AJ19" s="115">
        <f>IF(MOD(AJ$3,12)=4,MAX(AI19*(1+Assumptions!$G$41),Assumptions!$G$50/den),'Monthly P&amp;L'!AI19)</f>
        <v>4.4323200000000007</v>
      </c>
      <c r="AK19" s="115">
        <f>IF(MOD(AK$3,12)=4,MAX(AJ19*(1+Assumptions!$G$41),Assumptions!$G$50/den),'Monthly P&amp;L'!AJ19)</f>
        <v>4.4323200000000007</v>
      </c>
      <c r="AL19" s="115">
        <f>IF(MOD(AL$3,12)=4,MAX(AK19*(1+Assumptions!$G$41),Assumptions!$G$50/den),'Monthly P&amp;L'!AK19)</f>
        <v>4.4323200000000007</v>
      </c>
      <c r="AM19" s="115">
        <f>IF(MOD(AM$3,12)=4,MAX(AL19*(1+Assumptions!$G$41),Assumptions!$G$50/den),'Monthly P&amp;L'!AL19)</f>
        <v>4.4323200000000007</v>
      </c>
      <c r="AN19" s="115">
        <f>IF(MOD(AN$3,12)=4,MAX(AM19*(1+Assumptions!$G$41),Assumptions!$G$50/den),'Monthly P&amp;L'!AM19)</f>
        <v>4.4323200000000007</v>
      </c>
    </row>
    <row r="20" spans="1:40" x14ac:dyDescent="0.25">
      <c r="A20" t="str">
        <f>Assumptions!A52</f>
        <v>Rotalty to brand (% Of Revenue)</v>
      </c>
      <c r="E20" s="115">
        <f>E9*Assumptions!$G$52</f>
        <v>0</v>
      </c>
      <c r="F20" s="115">
        <f>F9*Assumptions!$G$52</f>
        <v>0</v>
      </c>
      <c r="G20" s="115">
        <f>G9*Assumptions!$G$52</f>
        <v>0</v>
      </c>
      <c r="H20" s="115">
        <f>H9*Assumptions!$G$52</f>
        <v>1.2282000000000002</v>
      </c>
      <c r="I20" s="115">
        <f>I9*Assumptions!$G$52</f>
        <v>1.2930760000000001</v>
      </c>
      <c r="J20" s="115">
        <f>J9*Assumptions!$G$52</f>
        <v>1.25725072</v>
      </c>
      <c r="K20" s="115">
        <f>K9*Assumptions!$G$52</f>
        <v>1.3480704864000002</v>
      </c>
      <c r="L20" s="115">
        <f>L9*Assumptions!$G$52</f>
        <v>1.3465260861120003</v>
      </c>
      <c r="M20" s="115">
        <f>M9*Assumptions!$G$52</f>
        <v>1.4016012282464001</v>
      </c>
      <c r="N20" s="115">
        <f>N9*Assumptions!$G$52</f>
        <v>1.4869003301616512</v>
      </c>
      <c r="O20" s="115">
        <f>O9*Assumptions!$G$52</f>
        <v>1.3551481222715527</v>
      </c>
      <c r="P20" s="115">
        <f>P9*Assumptions!$G$52</f>
        <v>1.5187410859213204</v>
      </c>
      <c r="Q20" s="115">
        <f>Q9*Assumptions!$G$52</f>
        <v>1.5174115287151495</v>
      </c>
      <c r="R20" s="115">
        <f>R9*Assumptions!$G$52</f>
        <v>1.6654436131207409</v>
      </c>
      <c r="S20" s="115">
        <f>S9*Assumptions!$G$52</f>
        <v>1.6024526072879721</v>
      </c>
      <c r="T20" s="115">
        <f>T9*Assumptions!$G$52</f>
        <v>1.8143761752198424</v>
      </c>
      <c r="U20" s="115">
        <f>U9*Assumptions!$G$52</f>
        <v>1.8659750102432893</v>
      </c>
      <c r="V20" s="115">
        <f>V9*Assumptions!$G$52</f>
        <v>1.8272143047668301</v>
      </c>
      <c r="W20" s="115">
        <f>W9*Assumptions!$G$52</f>
        <v>2.0192562920655095</v>
      </c>
      <c r="X20" s="115">
        <f>X9*Assumptions!$G$52</f>
        <v>1.9313582710797208</v>
      </c>
      <c r="Y20" s="115">
        <f>Y9*Assumptions!$G$52</f>
        <v>2.0385423504224365</v>
      </c>
      <c r="Z20" s="115">
        <f>Z9*Assumptions!$G$52</f>
        <v>2.203759619994849</v>
      </c>
      <c r="AA20" s="115">
        <f>AA9*Assumptions!$G$52</f>
        <v>1.9907258132707502</v>
      </c>
      <c r="AB20" s="115">
        <f>AB9*Assumptions!$G$52</f>
        <v>2.2160205208559312</v>
      </c>
      <c r="AC20" s="115">
        <f>AC9*Assumptions!$G$52</f>
        <v>2.2860903826460435</v>
      </c>
      <c r="AD20" s="115">
        <f>AD9*Assumptions!$G$52</f>
        <v>2.4117183366721586</v>
      </c>
      <c r="AE20" s="115">
        <f>AE9*Assumptions!$G$52</f>
        <v>2.3516668479679161</v>
      </c>
      <c r="AF20" s="115">
        <f>AF9*Assumptions!$G$52</f>
        <v>2.7635498927347193</v>
      </c>
      <c r="AG20" s="115">
        <f>AG9*Assumptions!$G$52</f>
        <v>2.6794169842960427</v>
      </c>
      <c r="AH20" s="115">
        <f>AH9*Assumptions!$G$52</f>
        <v>2.6907578941860666</v>
      </c>
      <c r="AI20" s="115">
        <f>AI9*Assumptions!$G$52</f>
        <v>3.0237536128628042</v>
      </c>
      <c r="AJ20" s="115">
        <f>AJ9*Assumptions!$G$52</f>
        <v>2.8504569462655098</v>
      </c>
      <c r="AK20" s="115">
        <f>AK9*Assumptions!$G$52</f>
        <v>3.0655464440812565</v>
      </c>
      <c r="AL20" s="115">
        <f>AL9*Assumptions!$G$52</f>
        <v>3.0963867929628819</v>
      </c>
      <c r="AM20" s="115">
        <f>AM9*Assumptions!$G$52</f>
        <v>2.8127161352928542</v>
      </c>
      <c r="AN20" s="115">
        <f>AN9*Assumptions!$G$52</f>
        <v>3.0650311226985174</v>
      </c>
    </row>
    <row r="21" spans="1:40" x14ac:dyDescent="0.25">
      <c r="A21" t="str">
        <f>Assumptions!A53</f>
        <v>Rent (as per contract) (% of revenue)</v>
      </c>
      <c r="E21" s="115">
        <f>E9*Assumptions!$G$53</f>
        <v>0</v>
      </c>
      <c r="F21" s="115">
        <f>F9*Assumptions!$G$53</f>
        <v>0</v>
      </c>
      <c r="G21" s="115">
        <f>G9*Assumptions!$G$53</f>
        <v>0</v>
      </c>
      <c r="H21" s="115">
        <f>H9*Assumptions!$G$53</f>
        <v>2.4564000000000004</v>
      </c>
      <c r="I21" s="115">
        <f>I9*Assumptions!$G$53</f>
        <v>2.5861520000000002</v>
      </c>
      <c r="J21" s="115">
        <f>J9*Assumptions!$G$53</f>
        <v>2.5145014400000001</v>
      </c>
      <c r="K21" s="115">
        <f>K9*Assumptions!$G$53</f>
        <v>2.6961409728000003</v>
      </c>
      <c r="L21" s="115">
        <f>L9*Assumptions!$G$53</f>
        <v>2.6930521722240006</v>
      </c>
      <c r="M21" s="115">
        <f>M9*Assumptions!$G$53</f>
        <v>2.8032024564928002</v>
      </c>
      <c r="N21" s="115">
        <f>N9*Assumptions!$G$53</f>
        <v>2.9738006603233025</v>
      </c>
      <c r="O21" s="115">
        <f>O9*Assumptions!$G$53</f>
        <v>2.7102962445431054</v>
      </c>
      <c r="P21" s="115">
        <f>P9*Assumptions!$G$53</f>
        <v>3.0374821718426408</v>
      </c>
      <c r="Q21" s="115">
        <f>Q9*Assumptions!$G$53</f>
        <v>3.034823057430299</v>
      </c>
      <c r="R21" s="115">
        <f>R9*Assumptions!$G$53</f>
        <v>3.3308872262414817</v>
      </c>
      <c r="S21" s="115">
        <f>S9*Assumptions!$G$53</f>
        <v>3.2049052145759442</v>
      </c>
      <c r="T21" s="115">
        <f>T9*Assumptions!$G$53</f>
        <v>3.6287523504396848</v>
      </c>
      <c r="U21" s="115">
        <f>U9*Assumptions!$G$53</f>
        <v>3.7319500204865785</v>
      </c>
      <c r="V21" s="115">
        <f>V9*Assumptions!$G$53</f>
        <v>3.6544286095336602</v>
      </c>
      <c r="W21" s="115">
        <f>W9*Assumptions!$G$53</f>
        <v>4.038512584131019</v>
      </c>
      <c r="X21" s="115">
        <f>X9*Assumptions!$G$53</f>
        <v>3.8627165421594416</v>
      </c>
      <c r="Y21" s="115">
        <f>Y9*Assumptions!$G$53</f>
        <v>4.077084700844873</v>
      </c>
      <c r="Z21" s="115">
        <f>Z9*Assumptions!$G$53</f>
        <v>4.4075192399896981</v>
      </c>
      <c r="AA21" s="115">
        <f>AA9*Assumptions!$G$53</f>
        <v>3.9814516265415003</v>
      </c>
      <c r="AB21" s="115">
        <f>AB9*Assumptions!$G$53</f>
        <v>4.4320410417118623</v>
      </c>
      <c r="AC21" s="115">
        <f>AC9*Assumptions!$G$53</f>
        <v>4.5721807652920869</v>
      </c>
      <c r="AD21" s="115">
        <f>AD9*Assumptions!$G$53</f>
        <v>4.8234366733443172</v>
      </c>
      <c r="AE21" s="115">
        <f>AE9*Assumptions!$G$53</f>
        <v>4.7033336959358323</v>
      </c>
      <c r="AF21" s="115">
        <f>AF9*Assumptions!$G$53</f>
        <v>5.5270997854694386</v>
      </c>
      <c r="AG21" s="115">
        <f>AG9*Assumptions!$G$53</f>
        <v>5.3588339685920854</v>
      </c>
      <c r="AH21" s="115">
        <f>AH9*Assumptions!$G$53</f>
        <v>5.3815157883721332</v>
      </c>
      <c r="AI21" s="115">
        <f>AI9*Assumptions!$G$53</f>
        <v>6.0475072257256084</v>
      </c>
      <c r="AJ21" s="115">
        <f>AJ9*Assumptions!$G$53</f>
        <v>5.7009138925310197</v>
      </c>
      <c r="AK21" s="115">
        <f>AK9*Assumptions!$G$53</f>
        <v>6.1310928881625131</v>
      </c>
      <c r="AL21" s="115">
        <f>AL9*Assumptions!$G$53</f>
        <v>6.1927735859257638</v>
      </c>
      <c r="AM21" s="115">
        <f>AM9*Assumptions!$G$53</f>
        <v>5.6254322705857085</v>
      </c>
      <c r="AN21" s="115">
        <f>AN9*Assumptions!$G$53</f>
        <v>6.1300622453970348</v>
      </c>
    </row>
    <row r="22" spans="1:40" x14ac:dyDescent="0.25">
      <c r="A22" t="str">
        <f>Assumptions!A54</f>
        <v>Water Cost (per month)</v>
      </c>
      <c r="E22" s="115">
        <f>IF(MOD(E$3,12)=4,MAX(D22*(1+Assumptions!$G$41),Assumptions!$G54/den),'Monthly P&amp;L'!D22)</f>
        <v>0</v>
      </c>
      <c r="F22" s="115">
        <f>IF(MOD(F$3,12)=4,MAX(E22*(1+Assumptions!$G$41),Assumptions!$G$54/den),'Monthly P&amp;L'!E22)</f>
        <v>0</v>
      </c>
      <c r="G22" s="115">
        <f>IF(MOD(G$3,12)=4,MAX(F22*(1+Assumptions!$G$41),Assumptions!$G$54/den),'Monthly P&amp;L'!F22)</f>
        <v>0</v>
      </c>
      <c r="H22" s="115">
        <f>IF(MOD(H$3,12)=4,MAX(G22*(1+Assumptions!$G$41),Assumptions!$G$54/den),'Monthly P&amp;L'!G22)</f>
        <v>0.1</v>
      </c>
      <c r="I22" s="115">
        <f>IF(MOD(I$3,12)=4,MAX(H22*(1+Assumptions!$G$41),Assumptions!$G$54/den),'Monthly P&amp;L'!H22)</f>
        <v>0.1</v>
      </c>
      <c r="J22" s="115">
        <f>IF(MOD(J$3,12)=4,MAX(I22*(1+Assumptions!$G$41),Assumptions!$G$54/den),'Monthly P&amp;L'!I22)</f>
        <v>0.1</v>
      </c>
      <c r="K22" s="115">
        <f>IF(MOD(K$3,12)=4,MAX(J22*(1+Assumptions!$G$41),Assumptions!$G$54/den),'Monthly P&amp;L'!J22)</f>
        <v>0.1</v>
      </c>
      <c r="L22" s="115">
        <f>IF(MOD(L$3,12)=4,MAX(K22*(1+Assumptions!$G$41),Assumptions!$G$54/den),'Monthly P&amp;L'!K22)</f>
        <v>0.1</v>
      </c>
      <c r="M22" s="115">
        <f>IF(MOD(M$3,12)=4,MAX(L22*(1+Assumptions!$G$41),Assumptions!$G$54/den),'Monthly P&amp;L'!L22)</f>
        <v>0.1</v>
      </c>
      <c r="N22" s="115">
        <f>IF(MOD(N$3,12)=4,MAX(M22*(1+Assumptions!$G$41),Assumptions!$G$54/den),'Monthly P&amp;L'!M22)</f>
        <v>0.1</v>
      </c>
      <c r="O22" s="115">
        <f>IF(MOD(O$3,12)=4,MAX(N22*(1+Assumptions!$G$41),Assumptions!$G$54/den),'Monthly P&amp;L'!N22)</f>
        <v>0.1</v>
      </c>
      <c r="P22" s="115">
        <f>IF(MOD(P$3,12)=4,MAX(O22*(1+Assumptions!$G$41),Assumptions!$G$54/den),'Monthly P&amp;L'!O22)</f>
        <v>0.1</v>
      </c>
      <c r="Q22" s="115">
        <f>IF(MOD(Q$3,12)=4,MAX(P22*(1+Assumptions!$G$41),Assumptions!$G$54/den),'Monthly P&amp;L'!P22)</f>
        <v>0.1</v>
      </c>
      <c r="R22" s="115">
        <f>IF(MOD(R$3,12)=4,MAX(Q22*(1+Assumptions!$G$41),Assumptions!$G$54/den),'Monthly P&amp;L'!Q22)</f>
        <v>0.1</v>
      </c>
      <c r="S22" s="115">
        <f>IF(MOD(S$3,12)=4,MAX(R22*(1+Assumptions!$G$41),Assumptions!$G$54/den),'Monthly P&amp;L'!R22)</f>
        <v>0.1</v>
      </c>
      <c r="T22" s="115">
        <f>IF(MOD(T$3,12)=4,MAX(S22*(1+Assumptions!$G$41),Assumptions!$G$54/den),'Monthly P&amp;L'!S22)</f>
        <v>0.10800000000000001</v>
      </c>
      <c r="U22" s="115">
        <f>IF(MOD(U$3,12)=4,MAX(T22*(1+Assumptions!$G$41),Assumptions!$G$54/den),'Monthly P&amp;L'!T22)</f>
        <v>0.10800000000000001</v>
      </c>
      <c r="V22" s="115">
        <f>IF(MOD(V$3,12)=4,MAX(U22*(1+Assumptions!$G$41),Assumptions!$G$54/den),'Monthly P&amp;L'!U22)</f>
        <v>0.10800000000000001</v>
      </c>
      <c r="W22" s="115">
        <f>IF(MOD(W$3,12)=4,MAX(V22*(1+Assumptions!$G$41),Assumptions!$G$54/den),'Monthly P&amp;L'!V22)</f>
        <v>0.10800000000000001</v>
      </c>
      <c r="X22" s="115">
        <f>IF(MOD(X$3,12)=4,MAX(W22*(1+Assumptions!$G$41),Assumptions!$G$54/den),'Monthly P&amp;L'!W22)</f>
        <v>0.10800000000000001</v>
      </c>
      <c r="Y22" s="115">
        <f>IF(MOD(Y$3,12)=4,MAX(X22*(1+Assumptions!$G$41),Assumptions!$G$54/den),'Monthly P&amp;L'!X22)</f>
        <v>0.10800000000000001</v>
      </c>
      <c r="Z22" s="115">
        <f>IF(MOD(Z$3,12)=4,MAX(Y22*(1+Assumptions!$G$41),Assumptions!$G$54/den),'Monthly P&amp;L'!Y22)</f>
        <v>0.10800000000000001</v>
      </c>
      <c r="AA22" s="115">
        <f>IF(MOD(AA$3,12)=4,MAX(Z22*(1+Assumptions!$G$41),Assumptions!$G$54/den),'Monthly P&amp;L'!Z22)</f>
        <v>0.10800000000000001</v>
      </c>
      <c r="AB22" s="115">
        <f>IF(MOD(AB$3,12)=4,MAX(AA22*(1+Assumptions!$G$41),Assumptions!$G$54/den),'Monthly P&amp;L'!AA22)</f>
        <v>0.10800000000000001</v>
      </c>
      <c r="AC22" s="115">
        <f>IF(MOD(AC$3,12)=4,MAX(AB22*(1+Assumptions!$G$41),Assumptions!$G$54/den),'Monthly P&amp;L'!AB22)</f>
        <v>0.10800000000000001</v>
      </c>
      <c r="AD22" s="115">
        <f>IF(MOD(AD$3,12)=4,MAX(AC22*(1+Assumptions!$G$41),Assumptions!$G$54/den),'Monthly P&amp;L'!AC22)</f>
        <v>0.10800000000000001</v>
      </c>
      <c r="AE22" s="115">
        <f>IF(MOD(AE$3,12)=4,MAX(AD22*(1+Assumptions!$G$41),Assumptions!$G$54/den),'Monthly P&amp;L'!AD22)</f>
        <v>0.10800000000000001</v>
      </c>
      <c r="AF22" s="115">
        <f>IF(MOD(AF$3,12)=4,MAX(AE22*(1+Assumptions!$G$41),Assumptions!$G$54/den),'Monthly P&amp;L'!AE22)</f>
        <v>0.11664000000000002</v>
      </c>
      <c r="AG22" s="115">
        <f>IF(MOD(AG$3,12)=4,MAX(AF22*(1+Assumptions!$G$41),Assumptions!$G$54/den),'Monthly P&amp;L'!AF22)</f>
        <v>0.11664000000000002</v>
      </c>
      <c r="AH22" s="115">
        <f>IF(MOD(AH$3,12)=4,MAX(AG22*(1+Assumptions!$G$41),Assumptions!$G$54/den),'Monthly P&amp;L'!AG22)</f>
        <v>0.11664000000000002</v>
      </c>
      <c r="AI22" s="115">
        <f>IF(MOD(AI$3,12)=4,MAX(AH22*(1+Assumptions!$G$41),Assumptions!$G$54/den),'Monthly P&amp;L'!AH22)</f>
        <v>0.11664000000000002</v>
      </c>
      <c r="AJ22" s="115">
        <f>IF(MOD(AJ$3,12)=4,MAX(AI22*(1+Assumptions!$G$41),Assumptions!$G$54/den),'Monthly P&amp;L'!AI22)</f>
        <v>0.11664000000000002</v>
      </c>
      <c r="AK22" s="115">
        <f>IF(MOD(AK$3,12)=4,MAX(AJ22*(1+Assumptions!$G$41),Assumptions!$G$54/den),'Monthly P&amp;L'!AJ22)</f>
        <v>0.11664000000000002</v>
      </c>
      <c r="AL22" s="115">
        <f>IF(MOD(AL$3,12)=4,MAX(AK22*(1+Assumptions!$G$41),Assumptions!$G$54/den),'Monthly P&amp;L'!AK22)</f>
        <v>0.11664000000000002</v>
      </c>
      <c r="AM22" s="115">
        <f>IF(MOD(AM$3,12)=4,MAX(AL22*(1+Assumptions!$G$41),Assumptions!$G$54/den),'Monthly P&amp;L'!AL22)</f>
        <v>0.11664000000000002</v>
      </c>
      <c r="AN22" s="115">
        <f>IF(MOD(AN$3,12)=4,MAX(AM22*(1+Assumptions!$G$41),Assumptions!$G$54/den),'Monthly P&amp;L'!AM22)</f>
        <v>0.11664000000000002</v>
      </c>
    </row>
    <row r="23" spans="1:40" x14ac:dyDescent="0.25">
      <c r="A23" t="str">
        <f>Assumptions!A55</f>
        <v>Maintenance (per month)</v>
      </c>
      <c r="E23" s="115">
        <f>IF(MOD(E$3,12)=4,MAX(D23*(1+Assumptions!$G$41),Assumptions!$G55/den),'Monthly P&amp;L'!D23)</f>
        <v>0</v>
      </c>
      <c r="F23" s="115">
        <f>IF(MOD(F$3,12)=4,MAX(E23*(1+Assumptions!$G$41),Assumptions!$G55/den),'Monthly P&amp;L'!E23)</f>
        <v>0</v>
      </c>
      <c r="G23" s="115">
        <f>IF(MOD(G$3,12)=4,MAX(F23*(1+Assumptions!$G$41),Assumptions!$G55/den),'Monthly P&amp;L'!F23)</f>
        <v>0</v>
      </c>
      <c r="H23" s="115">
        <f>IF(MOD(H$3,12)=4,MAX(G23*(1+Assumptions!$G$41),Assumptions!$G55/den),'Monthly P&amp;L'!G23)</f>
        <v>0.5</v>
      </c>
      <c r="I23" s="115">
        <f>IF(MOD(I$3,12)=4,MAX(H23*(1+Assumptions!$G$41),Assumptions!$G55/den),'Monthly P&amp;L'!H23)</f>
        <v>0.5</v>
      </c>
      <c r="J23" s="115">
        <f>IF(MOD(J$3,12)=4,MAX(I23*(1+Assumptions!$G$41),Assumptions!$G55/den),'Monthly P&amp;L'!I23)</f>
        <v>0.5</v>
      </c>
      <c r="K23" s="115">
        <f>IF(MOD(K$3,12)=4,MAX(J23*(1+Assumptions!$G$41),Assumptions!$G55/den),'Monthly P&amp;L'!J23)</f>
        <v>0.5</v>
      </c>
      <c r="L23" s="115">
        <f>IF(MOD(L$3,12)=4,MAX(K23*(1+Assumptions!$G$41),Assumptions!$G55/den),'Monthly P&amp;L'!K23)</f>
        <v>0.5</v>
      </c>
      <c r="M23" s="115">
        <f>IF(MOD(M$3,12)=4,MAX(L23*(1+Assumptions!$G$41),Assumptions!$G55/den),'Monthly P&amp;L'!L23)</f>
        <v>0.5</v>
      </c>
      <c r="N23" s="115">
        <f>IF(MOD(N$3,12)=4,MAX(M23*(1+Assumptions!$G$41),Assumptions!$G55/den),'Monthly P&amp;L'!M23)</f>
        <v>0.5</v>
      </c>
      <c r="O23" s="115">
        <f>IF(MOD(O$3,12)=4,MAX(N23*(1+Assumptions!$G$41),Assumptions!$G55/den),'Monthly P&amp;L'!N23)</f>
        <v>0.5</v>
      </c>
      <c r="P23" s="115">
        <f>IF(MOD(P$3,12)=4,MAX(O23*(1+Assumptions!$G$41),Assumptions!$G55/den),'Monthly P&amp;L'!O23)</f>
        <v>0.5</v>
      </c>
      <c r="Q23" s="115">
        <f>IF(MOD(Q$3,12)=4,MAX(P23*(1+Assumptions!$G$41),Assumptions!$G55/den),'Monthly P&amp;L'!P23)</f>
        <v>0.5</v>
      </c>
      <c r="R23" s="115">
        <f>IF(MOD(R$3,12)=4,MAX(Q23*(1+Assumptions!$G$41),Assumptions!$G55/den),'Monthly P&amp;L'!Q23)</f>
        <v>0.5</v>
      </c>
      <c r="S23" s="115">
        <f>IF(MOD(S$3,12)=4,MAX(R23*(1+Assumptions!$G$41),Assumptions!$G55/den),'Monthly P&amp;L'!R23)</f>
        <v>0.5</v>
      </c>
      <c r="T23" s="115">
        <f>IF(MOD(T$3,12)=4,MAX(S23*(1+Assumptions!$G$41),Assumptions!$G55/den),'Monthly P&amp;L'!S23)</f>
        <v>0.54</v>
      </c>
      <c r="U23" s="115">
        <f>IF(MOD(U$3,12)=4,MAX(T23*(1+Assumptions!$G$41),Assumptions!$G55/den),'Monthly P&amp;L'!T23)</f>
        <v>0.54</v>
      </c>
      <c r="V23" s="115">
        <f>IF(MOD(V$3,12)=4,MAX(U23*(1+Assumptions!$G$41),Assumptions!$G55/den),'Monthly P&amp;L'!U23)</f>
        <v>0.54</v>
      </c>
      <c r="W23" s="115">
        <f>IF(MOD(W$3,12)=4,MAX(V23*(1+Assumptions!$G$41),Assumptions!$G55/den),'Monthly P&amp;L'!V23)</f>
        <v>0.54</v>
      </c>
      <c r="X23" s="115">
        <f>IF(MOD(X$3,12)=4,MAX(W23*(1+Assumptions!$G$41),Assumptions!$G55/den),'Monthly P&amp;L'!W23)</f>
        <v>0.54</v>
      </c>
      <c r="Y23" s="115">
        <f>IF(MOD(Y$3,12)=4,MAX(X23*(1+Assumptions!$G$41),Assumptions!$G55/den),'Monthly P&amp;L'!X23)</f>
        <v>0.54</v>
      </c>
      <c r="Z23" s="115">
        <f>IF(MOD(Z$3,12)=4,MAX(Y23*(1+Assumptions!$G$41),Assumptions!$G55/den),'Monthly P&amp;L'!Y23)</f>
        <v>0.54</v>
      </c>
      <c r="AA23" s="115">
        <f>IF(MOD(AA$3,12)=4,MAX(Z23*(1+Assumptions!$G$41),Assumptions!$G55/den),'Monthly P&amp;L'!Z23)</f>
        <v>0.54</v>
      </c>
      <c r="AB23" s="115">
        <f>IF(MOD(AB$3,12)=4,MAX(AA23*(1+Assumptions!$G$41),Assumptions!$G55/den),'Monthly P&amp;L'!AA23)</f>
        <v>0.54</v>
      </c>
      <c r="AC23" s="115">
        <f>IF(MOD(AC$3,12)=4,MAX(AB23*(1+Assumptions!$G$41),Assumptions!$G55/den),'Monthly P&amp;L'!AB23)</f>
        <v>0.54</v>
      </c>
      <c r="AD23" s="115">
        <f>IF(MOD(AD$3,12)=4,MAX(AC23*(1+Assumptions!$G$41),Assumptions!$G55/den),'Monthly P&amp;L'!AC23)</f>
        <v>0.54</v>
      </c>
      <c r="AE23" s="115">
        <f>IF(MOD(AE$3,12)=4,MAX(AD23*(1+Assumptions!$G$41),Assumptions!$G55/den),'Monthly P&amp;L'!AD23)</f>
        <v>0.54</v>
      </c>
      <c r="AF23" s="115">
        <f>IF(MOD(AF$3,12)=4,MAX(AE23*(1+Assumptions!$G$41),Assumptions!$G55/den),'Monthly P&amp;L'!AE23)</f>
        <v>0.58320000000000005</v>
      </c>
      <c r="AG23" s="115">
        <f>IF(MOD(AG$3,12)=4,MAX(AF23*(1+Assumptions!$G$41),Assumptions!$G55/den),'Monthly P&amp;L'!AF23)</f>
        <v>0.58320000000000005</v>
      </c>
      <c r="AH23" s="115">
        <f>IF(MOD(AH$3,12)=4,MAX(AG23*(1+Assumptions!$G$41),Assumptions!$G55/den),'Monthly P&amp;L'!AG23)</f>
        <v>0.58320000000000005</v>
      </c>
      <c r="AI23" s="115">
        <f>IF(MOD(AI$3,12)=4,MAX(AH23*(1+Assumptions!$G$41),Assumptions!$G55/den),'Monthly P&amp;L'!AH23)</f>
        <v>0.58320000000000005</v>
      </c>
      <c r="AJ23" s="115">
        <f>IF(MOD(AJ$3,12)=4,MAX(AI23*(1+Assumptions!$G$41),Assumptions!$G55/den),'Monthly P&amp;L'!AI23)</f>
        <v>0.58320000000000005</v>
      </c>
      <c r="AK23" s="115">
        <f>IF(MOD(AK$3,12)=4,MAX(AJ23*(1+Assumptions!$G$41),Assumptions!$G55/den),'Monthly P&amp;L'!AJ23)</f>
        <v>0.58320000000000005</v>
      </c>
      <c r="AL23" s="115">
        <f>IF(MOD(AL$3,12)=4,MAX(AK23*(1+Assumptions!$G$41),Assumptions!$G55/den),'Monthly P&amp;L'!AK23)</f>
        <v>0.58320000000000005</v>
      </c>
      <c r="AM23" s="115">
        <f>IF(MOD(AM$3,12)=4,MAX(AL23*(1+Assumptions!$G$41),Assumptions!$G55/den),'Monthly P&amp;L'!AL23)</f>
        <v>0.58320000000000005</v>
      </c>
      <c r="AN23" s="115">
        <f>IF(MOD(AN$3,12)=4,MAX(AM23*(1+Assumptions!$G$41),Assumptions!$G55/den),'Monthly P&amp;L'!AM23)</f>
        <v>0.58320000000000005</v>
      </c>
    </row>
    <row r="24" spans="1:40" x14ac:dyDescent="0.25">
      <c r="A24" t="str">
        <f>Assumptions!A56</f>
        <v>Marketing cost (per month)</v>
      </c>
      <c r="E24" s="115">
        <f>IF(MOD(E$3,12)=4,MAX(D24*(1+Assumptions!$G41),Assumptions!$G$56/den),'Monthly P&amp;L'!D24)</f>
        <v>0</v>
      </c>
      <c r="F24" s="115">
        <f>IF(MOD(F$3,12)=4,MAX(E24*(1+Assumptions!$G41),Assumptions!$G$56/den),'Monthly P&amp;L'!E24)</f>
        <v>0</v>
      </c>
      <c r="G24" s="115">
        <f>IF(MOD(G$3,12)=4,MAX(F24*(1+Assumptions!$G41),Assumptions!$G$56/den),'Monthly P&amp;L'!F24)</f>
        <v>0</v>
      </c>
      <c r="H24" s="115">
        <f>IF(MOD(H$3,12)=4,MAX(G24*(1+Assumptions!$G41),Assumptions!$G$56/den),'Monthly P&amp;L'!G24)</f>
        <v>0.25</v>
      </c>
      <c r="I24" s="115">
        <f>IF(MOD(I$3,12)=4,MAX(H24*(1+Assumptions!$G41),Assumptions!$G$56/den),'Monthly P&amp;L'!H24)</f>
        <v>0.25</v>
      </c>
      <c r="J24" s="115">
        <f>IF(MOD(J$3,12)=4,MAX(I24*(1+Assumptions!$G41),Assumptions!$G$56/den),'Monthly P&amp;L'!I24)</f>
        <v>0.25</v>
      </c>
      <c r="K24" s="115">
        <f>IF(MOD(K$3,12)=4,MAX(J24*(1+Assumptions!$G41),Assumptions!$G$56/den),'Monthly P&amp;L'!J24)</f>
        <v>0.25</v>
      </c>
      <c r="L24" s="115">
        <f>IF(MOD(L$3,12)=4,MAX(K24*(1+Assumptions!$G41),Assumptions!$G$56/den),'Monthly P&amp;L'!K24)</f>
        <v>0.25</v>
      </c>
      <c r="M24" s="115">
        <f>IF(MOD(M$3,12)=4,MAX(L24*(1+Assumptions!$G41),Assumptions!$G$56/den),'Monthly P&amp;L'!L24)</f>
        <v>0.25</v>
      </c>
      <c r="N24" s="115">
        <f>IF(MOD(N$3,12)=4,MAX(M24*(1+Assumptions!$G41),Assumptions!$G$56/den),'Monthly P&amp;L'!M24)</f>
        <v>0.25</v>
      </c>
      <c r="O24" s="115">
        <f>IF(MOD(O$3,12)=4,MAX(N24*(1+Assumptions!$G41),Assumptions!$G$56/den),'Monthly P&amp;L'!N24)</f>
        <v>0.25</v>
      </c>
      <c r="P24" s="115">
        <f>IF(MOD(P$3,12)=4,MAX(O24*(1+Assumptions!$G41),Assumptions!$G$56/den),'Monthly P&amp;L'!O24)</f>
        <v>0.25</v>
      </c>
      <c r="Q24" s="115">
        <f>IF(MOD(Q$3,12)=4,MAX(P24*(1+Assumptions!$G41),Assumptions!$G$56/den),'Monthly P&amp;L'!P24)</f>
        <v>0.25</v>
      </c>
      <c r="R24" s="115">
        <f>IF(MOD(R$3,12)=4,MAX(Q24*(1+Assumptions!$G41),Assumptions!$G$56/den),'Monthly P&amp;L'!Q24)</f>
        <v>0.25</v>
      </c>
      <c r="S24" s="115">
        <f>IF(MOD(S$3,12)=4,MAX(R24*(1+Assumptions!$G41),Assumptions!$G$56/den),'Monthly P&amp;L'!R24)</f>
        <v>0.25</v>
      </c>
      <c r="T24" s="115">
        <f>IF(MOD(T$3,12)=4,MAX(S24*(1+Assumptions!$G41),Assumptions!$G$56/den),'Monthly P&amp;L'!S24)</f>
        <v>0.27</v>
      </c>
      <c r="U24" s="115">
        <f>IF(MOD(U$3,12)=4,MAX(T24*(1+Assumptions!$G41),Assumptions!$G$56/den),'Monthly P&amp;L'!T24)</f>
        <v>0.27</v>
      </c>
      <c r="V24" s="115">
        <f>IF(MOD(V$3,12)=4,MAX(U24*(1+Assumptions!$G41),Assumptions!$G$56/den),'Monthly P&amp;L'!U24)</f>
        <v>0.27</v>
      </c>
      <c r="W24" s="115">
        <f>IF(MOD(W$3,12)=4,MAX(V24*(1+Assumptions!$G41),Assumptions!$G$56/den),'Monthly P&amp;L'!V24)</f>
        <v>0.27</v>
      </c>
      <c r="X24" s="115">
        <f>IF(MOD(X$3,12)=4,MAX(W24*(1+Assumptions!$G41),Assumptions!$G$56/den),'Monthly P&amp;L'!W24)</f>
        <v>0.27</v>
      </c>
      <c r="Y24" s="115">
        <f>IF(MOD(Y$3,12)=4,MAX(X24*(1+Assumptions!$G41),Assumptions!$G$56/den),'Monthly P&amp;L'!X24)</f>
        <v>0.27</v>
      </c>
      <c r="Z24" s="115">
        <f>IF(MOD(Z$3,12)=4,MAX(Y24*(1+Assumptions!$G41),Assumptions!$G$56/den),'Monthly P&amp;L'!Y24)</f>
        <v>0.27</v>
      </c>
      <c r="AA24" s="115">
        <f>IF(MOD(AA$3,12)=4,MAX(Z24*(1+Assumptions!$G41),Assumptions!$G$56/den),'Monthly P&amp;L'!Z24)</f>
        <v>0.27</v>
      </c>
      <c r="AB24" s="115">
        <f>IF(MOD(AB$3,12)=4,MAX(AA24*(1+Assumptions!$G41),Assumptions!$G$56/den),'Monthly P&amp;L'!AA24)</f>
        <v>0.27</v>
      </c>
      <c r="AC24" s="115">
        <f>IF(MOD(AC$3,12)=4,MAX(AB24*(1+Assumptions!$G41),Assumptions!$G$56/den),'Monthly P&amp;L'!AB24)</f>
        <v>0.27</v>
      </c>
      <c r="AD24" s="115">
        <f>IF(MOD(AD$3,12)=4,MAX(AC24*(1+Assumptions!$G41),Assumptions!$G$56/den),'Monthly P&amp;L'!AC24)</f>
        <v>0.27</v>
      </c>
      <c r="AE24" s="115">
        <f>IF(MOD(AE$3,12)=4,MAX(AD24*(1+Assumptions!$G41),Assumptions!$G$56/den),'Monthly P&amp;L'!AD24)</f>
        <v>0.27</v>
      </c>
      <c r="AF24" s="115">
        <f>IF(MOD(AF$3,12)=4,MAX(AE24*(1+Assumptions!$G41),Assumptions!$G$56/den),'Monthly P&amp;L'!AE24)</f>
        <v>0.29160000000000003</v>
      </c>
      <c r="AG24" s="115">
        <f>IF(MOD(AG$3,12)=4,MAX(AF24*(1+Assumptions!$G41),Assumptions!$G$56/den),'Monthly P&amp;L'!AF24)</f>
        <v>0.29160000000000003</v>
      </c>
      <c r="AH24" s="115">
        <f>IF(MOD(AH$3,12)=4,MAX(AG24*(1+Assumptions!$G41),Assumptions!$G$56/den),'Monthly P&amp;L'!AG24)</f>
        <v>0.29160000000000003</v>
      </c>
      <c r="AI24" s="115">
        <f>IF(MOD(AI$3,12)=4,MAX(AH24*(1+Assumptions!$G41),Assumptions!$G$56/den),'Monthly P&amp;L'!AH24)</f>
        <v>0.29160000000000003</v>
      </c>
      <c r="AJ24" s="115">
        <f>IF(MOD(AJ$3,12)=4,MAX(AI24*(1+Assumptions!$G41),Assumptions!$G$56/den),'Monthly P&amp;L'!AI24)</f>
        <v>0.29160000000000003</v>
      </c>
      <c r="AK24" s="115">
        <f>IF(MOD(AK$3,12)=4,MAX(AJ24*(1+Assumptions!$G41),Assumptions!$G$56/den),'Monthly P&amp;L'!AJ24)</f>
        <v>0.29160000000000003</v>
      </c>
      <c r="AL24" s="115">
        <f>IF(MOD(AL$3,12)=4,MAX(AK24*(1+Assumptions!$G41),Assumptions!$G$56/den),'Monthly P&amp;L'!AK24)</f>
        <v>0.29160000000000003</v>
      </c>
      <c r="AM24" s="115">
        <f>IF(MOD(AM$3,12)=4,MAX(AL24*(1+Assumptions!$G41),Assumptions!$G$56/den),'Monthly P&amp;L'!AL24)</f>
        <v>0.29160000000000003</v>
      </c>
      <c r="AN24" s="115">
        <f>IF(MOD(AN$3,12)=4,MAX(AM24*(1+Assumptions!$G41),Assumptions!$G$56/den),'Monthly P&amp;L'!AM24)</f>
        <v>0.29160000000000003</v>
      </c>
    </row>
    <row r="25" spans="1:40" x14ac:dyDescent="0.25">
      <c r="A25" t="str">
        <f>Assumptions!A57</f>
        <v>Electricity (Based on area Rs./sq. Ft.)</v>
      </c>
      <c r="E25" s="115">
        <f>IF(MOD(E$3,12)=4,MAX(D25*(1+Assumptions!$G$41),Assumptions!$G57*Assumptions!$G$67/den),'Monthly P&amp;L'!D25)</f>
        <v>0</v>
      </c>
      <c r="F25" s="115">
        <f>IF(MOD(F$3,12)=4,MAX(E25*(1+Assumptions!$G$41),Assumptions!$G57*Assumptions!$G$67/den),'Monthly P&amp;L'!E25)</f>
        <v>0</v>
      </c>
      <c r="G25" s="115">
        <f>IF(MOD(G$3,12)=4,MAX(F25*(1+Assumptions!$G$41),Assumptions!$G57*Assumptions!$G$67/den),'Monthly P&amp;L'!F25)</f>
        <v>0</v>
      </c>
      <c r="H25" s="115">
        <f>IF(MOD(H$3,12)=4,MAX(G25*(1+Assumptions!$G$41),Assumptions!$G57*Assumptions!$G$67/den),'Monthly P&amp;L'!G25)</f>
        <v>0.26600000000000001</v>
      </c>
      <c r="I25" s="115">
        <f>IF(MOD(I$3,12)=4,MAX(H25*(1+Assumptions!$G$41),Assumptions!$G57*Assumptions!$G$67/den),'Monthly P&amp;L'!H25)</f>
        <v>0.26600000000000001</v>
      </c>
      <c r="J25" s="115">
        <f>IF(MOD(J$3,12)=4,MAX(I25*(1+Assumptions!$G$41),Assumptions!$G57*Assumptions!$G$67/den),'Monthly P&amp;L'!I25)</f>
        <v>0.26600000000000001</v>
      </c>
      <c r="K25" s="115">
        <f>IF(MOD(K$3,12)=4,MAX(J25*(1+Assumptions!$G$41),Assumptions!$G57*Assumptions!$G$67/den),'Monthly P&amp;L'!J25)</f>
        <v>0.26600000000000001</v>
      </c>
      <c r="L25" s="115">
        <f>IF(MOD(L$3,12)=4,MAX(K25*(1+Assumptions!$G$41),Assumptions!$G57*Assumptions!$G$67/den),'Monthly P&amp;L'!K25)</f>
        <v>0.26600000000000001</v>
      </c>
      <c r="M25" s="115">
        <f>IF(MOD(M$3,12)=4,MAX(L25*(1+Assumptions!$G$41),Assumptions!$G57*Assumptions!$G$67/den),'Monthly P&amp;L'!L25)</f>
        <v>0.26600000000000001</v>
      </c>
      <c r="N25" s="115">
        <f>IF(MOD(N$3,12)=4,MAX(M25*(1+Assumptions!$G$41),Assumptions!$G57*Assumptions!$G$67/den),'Monthly P&amp;L'!M25)</f>
        <v>0.26600000000000001</v>
      </c>
      <c r="O25" s="115">
        <f>IF(MOD(O$3,12)=4,MAX(N25*(1+Assumptions!$G$41),Assumptions!$G57*Assumptions!$G$67/den),'Monthly P&amp;L'!N25)</f>
        <v>0.26600000000000001</v>
      </c>
      <c r="P25" s="115">
        <f>IF(MOD(P$3,12)=4,MAX(O25*(1+Assumptions!$G$41),Assumptions!$G57*Assumptions!$G$67/den),'Monthly P&amp;L'!O25)</f>
        <v>0.26600000000000001</v>
      </c>
      <c r="Q25" s="115">
        <f>IF(MOD(Q$3,12)=4,MAX(P25*(1+Assumptions!$G$41),Assumptions!$G57*Assumptions!$G$67/den),'Monthly P&amp;L'!P25)</f>
        <v>0.26600000000000001</v>
      </c>
      <c r="R25" s="115">
        <f>IF(MOD(R$3,12)=4,MAX(Q25*(1+Assumptions!$G$41),Assumptions!$G57*Assumptions!$G$67/den),'Monthly P&amp;L'!Q25)</f>
        <v>0.26600000000000001</v>
      </c>
      <c r="S25" s="115">
        <f>IF(MOD(S$3,12)=4,MAX(R25*(1+Assumptions!$G$41),Assumptions!$G57*Assumptions!$G$67/den),'Monthly P&amp;L'!R25)</f>
        <v>0.26600000000000001</v>
      </c>
      <c r="T25" s="115">
        <f>IF(MOD(T$3,12)=4,MAX(S25*(1+Assumptions!$G$41),Assumptions!$G57*Assumptions!$G$67/den),'Monthly P&amp;L'!S25)</f>
        <v>0.28728000000000004</v>
      </c>
      <c r="U25" s="115">
        <f>IF(MOD(U$3,12)=4,MAX(T25*(1+Assumptions!$G$41),Assumptions!$G57*Assumptions!$G$67/den),'Monthly P&amp;L'!T25)</f>
        <v>0.28728000000000004</v>
      </c>
      <c r="V25" s="115">
        <f>IF(MOD(V$3,12)=4,MAX(U25*(1+Assumptions!$G$41),Assumptions!$G57*Assumptions!$G$67/den),'Monthly P&amp;L'!U25)</f>
        <v>0.28728000000000004</v>
      </c>
      <c r="W25" s="115">
        <f>IF(MOD(W$3,12)=4,MAX(V25*(1+Assumptions!$G$41),Assumptions!$G57*Assumptions!$G$67/den),'Monthly P&amp;L'!V25)</f>
        <v>0.28728000000000004</v>
      </c>
      <c r="X25" s="115">
        <f>IF(MOD(X$3,12)=4,MAX(W25*(1+Assumptions!$G$41),Assumptions!$G57*Assumptions!$G$67/den),'Monthly P&amp;L'!W25)</f>
        <v>0.28728000000000004</v>
      </c>
      <c r="Y25" s="115">
        <f>IF(MOD(Y$3,12)=4,MAX(X25*(1+Assumptions!$G$41),Assumptions!$G57*Assumptions!$G$67/den),'Monthly P&amp;L'!X25)</f>
        <v>0.28728000000000004</v>
      </c>
      <c r="Z25" s="115">
        <f>IF(MOD(Z$3,12)=4,MAX(Y25*(1+Assumptions!$G$41),Assumptions!$G57*Assumptions!$G$67/den),'Monthly P&amp;L'!Y25)</f>
        <v>0.28728000000000004</v>
      </c>
      <c r="AA25" s="115">
        <f>IF(MOD(AA$3,12)=4,MAX(Z25*(1+Assumptions!$G$41),Assumptions!$G57*Assumptions!$G$67/den),'Monthly P&amp;L'!Z25)</f>
        <v>0.28728000000000004</v>
      </c>
      <c r="AB25" s="115">
        <f>IF(MOD(AB$3,12)=4,MAX(AA25*(1+Assumptions!$G$41),Assumptions!$G57*Assumptions!$G$67/den),'Monthly P&amp;L'!AA25)</f>
        <v>0.28728000000000004</v>
      </c>
      <c r="AC25" s="115">
        <f>IF(MOD(AC$3,12)=4,MAX(AB25*(1+Assumptions!$G$41),Assumptions!$G57*Assumptions!$G$67/den),'Monthly P&amp;L'!AB25)</f>
        <v>0.28728000000000004</v>
      </c>
      <c r="AD25" s="115">
        <f>IF(MOD(AD$3,12)=4,MAX(AC25*(1+Assumptions!$G$41),Assumptions!$G57*Assumptions!$G$67/den),'Monthly P&amp;L'!AC25)</f>
        <v>0.28728000000000004</v>
      </c>
      <c r="AE25" s="115">
        <f>IF(MOD(AE$3,12)=4,MAX(AD25*(1+Assumptions!$G$41),Assumptions!$G57*Assumptions!$G$67/den),'Monthly P&amp;L'!AD25)</f>
        <v>0.28728000000000004</v>
      </c>
      <c r="AF25" s="115">
        <f>IF(MOD(AF$3,12)=4,MAX(AE25*(1+Assumptions!$G$41),Assumptions!$G57*Assumptions!$G$67/den),'Monthly P&amp;L'!AE25)</f>
        <v>0.31026240000000005</v>
      </c>
      <c r="AG25" s="115">
        <f>IF(MOD(AG$3,12)=4,MAX(AF25*(1+Assumptions!$G$41),Assumptions!$G57*Assumptions!$G$67/den),'Monthly P&amp;L'!AF25)</f>
        <v>0.31026240000000005</v>
      </c>
      <c r="AH25" s="115">
        <f>IF(MOD(AH$3,12)=4,MAX(AG25*(1+Assumptions!$G$41),Assumptions!$G57*Assumptions!$G$67/den),'Monthly P&amp;L'!AG25)</f>
        <v>0.31026240000000005</v>
      </c>
      <c r="AI25" s="115">
        <f>IF(MOD(AI$3,12)=4,MAX(AH25*(1+Assumptions!$G$41),Assumptions!$G57*Assumptions!$G$67/den),'Monthly P&amp;L'!AH25)</f>
        <v>0.31026240000000005</v>
      </c>
      <c r="AJ25" s="115">
        <f>IF(MOD(AJ$3,12)=4,MAX(AI25*(1+Assumptions!$G$41),Assumptions!$G57*Assumptions!$G$67/den),'Monthly P&amp;L'!AI25)</f>
        <v>0.31026240000000005</v>
      </c>
      <c r="AK25" s="115">
        <f>IF(MOD(AK$3,12)=4,MAX(AJ25*(1+Assumptions!$G$41),Assumptions!$G57*Assumptions!$G$67/den),'Monthly P&amp;L'!AJ25)</f>
        <v>0.31026240000000005</v>
      </c>
      <c r="AL25" s="115">
        <f>IF(MOD(AL$3,12)=4,MAX(AK25*(1+Assumptions!$G$41),Assumptions!$G57*Assumptions!$G$67/den),'Monthly P&amp;L'!AK25)</f>
        <v>0.31026240000000005</v>
      </c>
      <c r="AM25" s="115">
        <f>IF(MOD(AM$3,12)=4,MAX(AL25*(1+Assumptions!$G$41),Assumptions!$G57*Assumptions!$G$67/den),'Monthly P&amp;L'!AL25)</f>
        <v>0.31026240000000005</v>
      </c>
      <c r="AN25" s="115">
        <f>IF(MOD(AN$3,12)=4,MAX(AM25*(1+Assumptions!$G$41),Assumptions!$G57*Assumptions!$G$67/den),'Monthly P&amp;L'!AM25)</f>
        <v>0.31026240000000005</v>
      </c>
    </row>
    <row r="26" spans="1:40" x14ac:dyDescent="0.25">
      <c r="A26" t="str">
        <f>Assumptions!A58</f>
        <v>Phone and internet (per month)</v>
      </c>
      <c r="E26" s="115">
        <f>IF(MOD(E$3,12)=4,MAX(D26*(1+Assumptions!$G$41),Assumptions!$G$58/den),'Monthly P&amp;L'!D26)</f>
        <v>0</v>
      </c>
      <c r="F26" s="115">
        <f>IF(MOD(F$3,12)=4,MAX(E26*(1+Assumptions!$G$41),Assumptions!$G$58/den),'Monthly P&amp;L'!E26)</f>
        <v>0</v>
      </c>
      <c r="G26" s="115">
        <f>IF(MOD(G$3,12)=4,MAX(F26*(1+Assumptions!$G$41),Assumptions!$G$58/den),'Monthly P&amp;L'!F26)</f>
        <v>0</v>
      </c>
      <c r="H26" s="115">
        <f>IF(MOD(H$3,12)=4,MAX(G26*(1+Assumptions!$G$41),Assumptions!$G$58/den),'Monthly P&amp;L'!G26)</f>
        <v>0.15</v>
      </c>
      <c r="I26" s="115">
        <f>IF(MOD(I$3,12)=4,MAX(H26*(1+Assumptions!$G$41),Assumptions!$G$58/den),'Monthly P&amp;L'!H26)</f>
        <v>0.15</v>
      </c>
      <c r="J26" s="115">
        <f>IF(MOD(J$3,12)=4,MAX(I26*(1+Assumptions!$G$41),Assumptions!$G$58/den),'Monthly P&amp;L'!I26)</f>
        <v>0.15</v>
      </c>
      <c r="K26" s="115">
        <f>IF(MOD(K$3,12)=4,MAX(J26*(1+Assumptions!$G$41),Assumptions!$G$58/den),'Monthly P&amp;L'!J26)</f>
        <v>0.15</v>
      </c>
      <c r="L26" s="115">
        <f>IF(MOD(L$3,12)=4,MAX(K26*(1+Assumptions!$G$41),Assumptions!$G$58/den),'Monthly P&amp;L'!K26)</f>
        <v>0.15</v>
      </c>
      <c r="M26" s="115">
        <f>IF(MOD(M$3,12)=4,MAX(L26*(1+Assumptions!$G$41),Assumptions!$G$58/den),'Monthly P&amp;L'!L26)</f>
        <v>0.15</v>
      </c>
      <c r="N26" s="115">
        <f>IF(MOD(N$3,12)=4,MAX(M26*(1+Assumptions!$G$41),Assumptions!$G$58/den),'Monthly P&amp;L'!M26)</f>
        <v>0.15</v>
      </c>
      <c r="O26" s="115">
        <f>IF(MOD(O$3,12)=4,MAX(N26*(1+Assumptions!$G$41),Assumptions!$G$58/den),'Monthly P&amp;L'!N26)</f>
        <v>0.15</v>
      </c>
      <c r="P26" s="115">
        <f>IF(MOD(P$3,12)=4,MAX(O26*(1+Assumptions!$G$41),Assumptions!$G$58/den),'Monthly P&amp;L'!O26)</f>
        <v>0.15</v>
      </c>
      <c r="Q26" s="115">
        <f>IF(MOD(Q$3,12)=4,MAX(P26*(1+Assumptions!$G$41),Assumptions!$G$58/den),'Monthly P&amp;L'!P26)</f>
        <v>0.15</v>
      </c>
      <c r="R26" s="115">
        <f>IF(MOD(R$3,12)=4,MAX(Q26*(1+Assumptions!$G$41),Assumptions!$G$58/den),'Monthly P&amp;L'!Q26)</f>
        <v>0.15</v>
      </c>
      <c r="S26" s="115">
        <f>IF(MOD(S$3,12)=4,MAX(R26*(1+Assumptions!$G$41),Assumptions!$G$58/den),'Monthly P&amp;L'!R26)</f>
        <v>0.15</v>
      </c>
      <c r="T26" s="115">
        <f>IF(MOD(T$3,12)=4,MAX(S26*(1+Assumptions!$G$41),Assumptions!$G$58/den),'Monthly P&amp;L'!S26)</f>
        <v>0.16200000000000001</v>
      </c>
      <c r="U26" s="115">
        <f>IF(MOD(U$3,12)=4,MAX(T26*(1+Assumptions!$G$41),Assumptions!$G$58/den),'Monthly P&amp;L'!T26)</f>
        <v>0.16200000000000001</v>
      </c>
      <c r="V26" s="115">
        <f>IF(MOD(V$3,12)=4,MAX(U26*(1+Assumptions!$G$41),Assumptions!$G$58/den),'Monthly P&amp;L'!U26)</f>
        <v>0.16200000000000001</v>
      </c>
      <c r="W26" s="115">
        <f>IF(MOD(W$3,12)=4,MAX(V26*(1+Assumptions!$G$41),Assumptions!$G$58/den),'Monthly P&amp;L'!V26)</f>
        <v>0.16200000000000001</v>
      </c>
      <c r="X26" s="115">
        <f>IF(MOD(X$3,12)=4,MAX(W26*(1+Assumptions!$G$41),Assumptions!$G$58/den),'Monthly P&amp;L'!W26)</f>
        <v>0.16200000000000001</v>
      </c>
      <c r="Y26" s="115">
        <f>IF(MOD(Y$3,12)=4,MAX(X26*(1+Assumptions!$G$41),Assumptions!$G$58/den),'Monthly P&amp;L'!X26)</f>
        <v>0.16200000000000001</v>
      </c>
      <c r="Z26" s="115">
        <f>IF(MOD(Z$3,12)=4,MAX(Y26*(1+Assumptions!$G$41),Assumptions!$G$58/den),'Monthly P&amp;L'!Y26)</f>
        <v>0.16200000000000001</v>
      </c>
      <c r="AA26" s="115">
        <f>IF(MOD(AA$3,12)=4,MAX(Z26*(1+Assumptions!$G$41),Assumptions!$G$58/den),'Monthly P&amp;L'!Z26)</f>
        <v>0.16200000000000001</v>
      </c>
      <c r="AB26" s="115">
        <f>IF(MOD(AB$3,12)=4,MAX(AA26*(1+Assumptions!$G$41),Assumptions!$G$58/den),'Monthly P&amp;L'!AA26)</f>
        <v>0.16200000000000001</v>
      </c>
      <c r="AC26" s="115">
        <f>IF(MOD(AC$3,12)=4,MAX(AB26*(1+Assumptions!$G$41),Assumptions!$G$58/den),'Monthly P&amp;L'!AB26)</f>
        <v>0.16200000000000001</v>
      </c>
      <c r="AD26" s="115">
        <f>IF(MOD(AD$3,12)=4,MAX(AC26*(1+Assumptions!$G$41),Assumptions!$G$58/den),'Monthly P&amp;L'!AC26)</f>
        <v>0.16200000000000001</v>
      </c>
      <c r="AE26" s="115">
        <f>IF(MOD(AE$3,12)=4,MAX(AD26*(1+Assumptions!$G$41),Assumptions!$G$58/den),'Monthly P&amp;L'!AD26)</f>
        <v>0.16200000000000001</v>
      </c>
      <c r="AF26" s="115">
        <f>IF(MOD(AF$3,12)=4,MAX(AE26*(1+Assumptions!$G$41),Assumptions!$G$58/den),'Monthly P&amp;L'!AE26)</f>
        <v>0.17496</v>
      </c>
      <c r="AG26" s="115">
        <f>IF(MOD(AG$3,12)=4,MAX(AF26*(1+Assumptions!$G$41),Assumptions!$G$58/den),'Monthly P&amp;L'!AF26)</f>
        <v>0.17496</v>
      </c>
      <c r="AH26" s="115">
        <f>IF(MOD(AH$3,12)=4,MAX(AG26*(1+Assumptions!$G$41),Assumptions!$G$58/den),'Monthly P&amp;L'!AG26)</f>
        <v>0.17496</v>
      </c>
      <c r="AI26" s="115">
        <f>IF(MOD(AI$3,12)=4,MAX(AH26*(1+Assumptions!$G$41),Assumptions!$G$58/den),'Monthly P&amp;L'!AH26)</f>
        <v>0.17496</v>
      </c>
      <c r="AJ26" s="115">
        <f>IF(MOD(AJ$3,12)=4,MAX(AI26*(1+Assumptions!$G$41),Assumptions!$G$58/den),'Monthly P&amp;L'!AI26)</f>
        <v>0.17496</v>
      </c>
      <c r="AK26" s="115">
        <f>IF(MOD(AK$3,12)=4,MAX(AJ26*(1+Assumptions!$G$41),Assumptions!$G$58/den),'Monthly P&amp;L'!AJ26)</f>
        <v>0.17496</v>
      </c>
      <c r="AL26" s="115">
        <f>IF(MOD(AL$3,12)=4,MAX(AK26*(1+Assumptions!$G$41),Assumptions!$G$58/den),'Monthly P&amp;L'!AK26)</f>
        <v>0.17496</v>
      </c>
      <c r="AM26" s="115">
        <f>IF(MOD(AM$3,12)=4,MAX(AL26*(1+Assumptions!$G$41),Assumptions!$G$58/den),'Monthly P&amp;L'!AL26)</f>
        <v>0.17496</v>
      </c>
      <c r="AN26" s="115">
        <f>IF(MOD(AN$3,12)=4,MAX(AM26*(1+Assumptions!$G$41),Assumptions!$G$58/den),'Monthly P&amp;L'!AM26)</f>
        <v>0.17496</v>
      </c>
    </row>
    <row r="27" spans="1:40" x14ac:dyDescent="0.25">
      <c r="A27" t="str">
        <f>Assumptions!A59</f>
        <v>Housekeeping  &amp; Consumables (% of revenue)</v>
      </c>
      <c r="E27" s="115">
        <f>E9*Assumptions!$G$59</f>
        <v>0</v>
      </c>
      <c r="F27" s="115">
        <f>F9*Assumptions!$G$59</f>
        <v>0</v>
      </c>
      <c r="G27" s="115">
        <f>G9*Assumptions!$G$59</f>
        <v>0</v>
      </c>
      <c r="H27" s="115">
        <f>H9*Assumptions!$G$59</f>
        <v>0.49127999999999999</v>
      </c>
      <c r="I27" s="115">
        <f>I9*Assumptions!$G$59</f>
        <v>0.51723040000000009</v>
      </c>
      <c r="J27" s="115">
        <f>J9*Assumptions!$G$59</f>
        <v>0.50290028799999997</v>
      </c>
      <c r="K27" s="115">
        <f>K9*Assumptions!$G$59</f>
        <v>0.53922819456000004</v>
      </c>
      <c r="L27" s="115">
        <f>L9*Assumptions!$G$59</f>
        <v>0.53861043444480017</v>
      </c>
      <c r="M27" s="115">
        <f>M9*Assumptions!$G$59</f>
        <v>0.56064049129856008</v>
      </c>
      <c r="N27" s="115">
        <f>N9*Assumptions!$G$59</f>
        <v>0.5947601320646605</v>
      </c>
      <c r="O27" s="115">
        <f>O9*Assumptions!$G$59</f>
        <v>0.54205924890862112</v>
      </c>
      <c r="P27" s="115">
        <f>P9*Assumptions!$G$59</f>
        <v>0.60749643436852818</v>
      </c>
      <c r="Q27" s="115">
        <f>Q9*Assumptions!$G$59</f>
        <v>0.60696461148605974</v>
      </c>
      <c r="R27" s="115">
        <f>R9*Assumptions!$G$59</f>
        <v>0.66617744524829636</v>
      </c>
      <c r="S27" s="115">
        <f>S9*Assumptions!$G$59</f>
        <v>0.64098104291518876</v>
      </c>
      <c r="T27" s="115">
        <f>T9*Assumptions!$G$59</f>
        <v>0.72575047008793692</v>
      </c>
      <c r="U27" s="115">
        <f>U9*Assumptions!$G$59</f>
        <v>0.74639000409731571</v>
      </c>
      <c r="V27" s="115">
        <f>V9*Assumptions!$G$59</f>
        <v>0.73088572190673207</v>
      </c>
      <c r="W27" s="115">
        <f>W9*Assumptions!$G$59</f>
        <v>0.80770251682620386</v>
      </c>
      <c r="X27" s="115">
        <f>X9*Assumptions!$G$59</f>
        <v>0.77254330843188823</v>
      </c>
      <c r="Y27" s="115">
        <f>Y9*Assumptions!$G$59</f>
        <v>0.81541694016897459</v>
      </c>
      <c r="Z27" s="115">
        <f>Z9*Assumptions!$G$59</f>
        <v>0.88150384799793957</v>
      </c>
      <c r="AA27" s="115">
        <f>AA9*Assumptions!$G$59</f>
        <v>0.79629032530830002</v>
      </c>
      <c r="AB27" s="115">
        <f>AB9*Assumptions!$G$59</f>
        <v>0.88640820834237244</v>
      </c>
      <c r="AC27" s="115">
        <f>AC9*Assumptions!$G$59</f>
        <v>0.9144361530584173</v>
      </c>
      <c r="AD27" s="115">
        <f>AD9*Assumptions!$G$59</f>
        <v>0.96468733466886336</v>
      </c>
      <c r="AE27" s="115">
        <f>AE9*Assumptions!$G$59</f>
        <v>0.94066673918716648</v>
      </c>
      <c r="AF27" s="115">
        <f>AF9*Assumptions!$G$59</f>
        <v>1.1054199570938879</v>
      </c>
      <c r="AG27" s="115">
        <f>AG9*Assumptions!$G$59</f>
        <v>1.071766793718417</v>
      </c>
      <c r="AH27" s="115">
        <f>AH9*Assumptions!$G$59</f>
        <v>1.0763031576744266</v>
      </c>
      <c r="AI27" s="115">
        <f>AI9*Assumptions!$G$59</f>
        <v>1.2095014451451216</v>
      </c>
      <c r="AJ27" s="115">
        <f>AJ9*Assumptions!$G$59</f>
        <v>1.140182778506204</v>
      </c>
      <c r="AK27" s="115">
        <f>AK9*Assumptions!$G$59</f>
        <v>1.2262185776325025</v>
      </c>
      <c r="AL27" s="115">
        <f>AL9*Assumptions!$G$59</f>
        <v>1.2385547171851525</v>
      </c>
      <c r="AM27" s="115">
        <f>AM9*Assumptions!$G$59</f>
        <v>1.1250864541171415</v>
      </c>
      <c r="AN27" s="115">
        <f>AN9*Assumptions!$G$59</f>
        <v>1.2260124490794071</v>
      </c>
    </row>
    <row r="28" spans="1:40" x14ac:dyDescent="0.25">
      <c r="A28" t="str">
        <f>Assumptions!A60</f>
        <v>Payment Settlement Charges (% or revenue)</v>
      </c>
      <c r="E28" s="115">
        <f>E9*Assumptions!$G$61*Assumptions!$G$60</f>
        <v>0</v>
      </c>
      <c r="F28" s="115">
        <f>F9*Assumptions!$G$61*Assumptions!$G$60</f>
        <v>0</v>
      </c>
      <c r="G28" s="115">
        <f>G9*Assumptions!$G$61*Assumptions!$G$60</f>
        <v>0</v>
      </c>
      <c r="H28" s="126">
        <f>H9*Assumptions!$G$61*Assumptions!$G$60</f>
        <v>0.18423</v>
      </c>
      <c r="I28" s="126">
        <f>I9*Assumptions!$G$61*Assumptions!$G$60</f>
        <v>0.19396140000000001</v>
      </c>
      <c r="J28" s="126">
        <f>J9*Assumptions!$G$61*Assumptions!$G$60</f>
        <v>0.18858760799999999</v>
      </c>
      <c r="K28" s="126">
        <f>K9*Assumptions!$G$61*Assumptions!$G$60</f>
        <v>0.20221057296000003</v>
      </c>
      <c r="L28" s="126">
        <f>L9*Assumptions!$G$61*Assumptions!$G$60</f>
        <v>0.20197891291680004</v>
      </c>
      <c r="M28" s="126">
        <f>M9*Assumptions!$G$61*Assumptions!$G$60</f>
        <v>0.21024018423696</v>
      </c>
      <c r="N28" s="126">
        <f>N9*Assumptions!$G$61*Assumptions!$G$60</f>
        <v>0.22303504952424769</v>
      </c>
      <c r="O28" s="126">
        <f>O9*Assumptions!$G$61*Assumptions!$G$60</f>
        <v>0.20327221834073289</v>
      </c>
      <c r="P28" s="126">
        <f>P9*Assumptions!$G$61*Assumptions!$G$60</f>
        <v>0.22781116288819805</v>
      </c>
      <c r="Q28" s="126">
        <f>Q9*Assumptions!$G$61*Assumptions!$G$60</f>
        <v>0.22761172930727241</v>
      </c>
      <c r="R28" s="126">
        <f>R9*Assumptions!$G$61*Assumptions!$G$60</f>
        <v>0.24981654196811112</v>
      </c>
      <c r="S28" s="126">
        <f>S9*Assumptions!$G$61*Assumptions!$G$60</f>
        <v>0.24036789109319578</v>
      </c>
      <c r="T28" s="126">
        <f>T9*Assumptions!$G$61*Assumptions!$G$60</f>
        <v>0.27215642628297632</v>
      </c>
      <c r="U28" s="126">
        <f>U9*Assumptions!$G$61*Assumptions!$G$60</f>
        <v>0.27989625153649333</v>
      </c>
      <c r="V28" s="126">
        <f>V9*Assumptions!$G$61*Assumptions!$G$60</f>
        <v>0.27408214571502448</v>
      </c>
      <c r="W28" s="126">
        <f>W9*Assumptions!$G$61*Assumptions!$G$60</f>
        <v>0.30288844380982644</v>
      </c>
      <c r="X28" s="126">
        <f>X9*Assumptions!$G$61*Assumptions!$G$60</f>
        <v>0.28970374066195809</v>
      </c>
      <c r="Y28" s="126">
        <f>Y9*Assumptions!$G$61*Assumptions!$G$60</f>
        <v>0.30578135256336542</v>
      </c>
      <c r="Z28" s="126">
        <f>Z9*Assumptions!$G$61*Assumptions!$G$60</f>
        <v>0.33056394299922731</v>
      </c>
      <c r="AA28" s="126">
        <f>AA9*Assumptions!$G$61*Assumptions!$G$60</f>
        <v>0.29860887199061248</v>
      </c>
      <c r="AB28" s="126">
        <f>AB9*Assumptions!$G$61*Assumptions!$G$60</f>
        <v>0.33240307812838965</v>
      </c>
      <c r="AC28" s="126">
        <f>AC9*Assumptions!$G$61*Assumptions!$G$60</f>
        <v>0.34291355739690649</v>
      </c>
      <c r="AD28" s="126">
        <f>AD9*Assumptions!$G$61*Assumptions!$G$60</f>
        <v>0.36175775050082376</v>
      </c>
      <c r="AE28" s="126">
        <f>AE9*Assumptions!$G$61*Assumptions!$G$60</f>
        <v>0.35275002719518739</v>
      </c>
      <c r="AF28" s="126">
        <f>AF9*Assumptions!$G$61*Assumptions!$G$60</f>
        <v>0.41453248391020786</v>
      </c>
      <c r="AG28" s="126">
        <f>AG9*Assumptions!$G$61*Assumptions!$G$60</f>
        <v>0.40191254764440637</v>
      </c>
      <c r="AH28" s="126">
        <f>AH9*Assumptions!$G$61*Assumptions!$G$60</f>
        <v>0.40361368412790993</v>
      </c>
      <c r="AI28" s="126">
        <f>AI9*Assumptions!$G$61*Assumptions!$G$60</f>
        <v>0.4535630419294206</v>
      </c>
      <c r="AJ28" s="126">
        <f>AJ9*Assumptions!$G$61*Assumptions!$G$60</f>
        <v>0.42756854193982646</v>
      </c>
      <c r="AK28" s="126">
        <f>AK9*Assumptions!$G$61*Assumptions!$G$60</f>
        <v>0.45983196661218839</v>
      </c>
      <c r="AL28" s="126">
        <f>AL9*Assumptions!$G$61*Assumptions!$G$60</f>
        <v>0.46445801894443223</v>
      </c>
      <c r="AM28" s="126">
        <f>AM9*Assumptions!$G$61*Assumptions!$G$60</f>
        <v>0.42190742029392808</v>
      </c>
      <c r="AN28" s="126">
        <f>AN9*Assumptions!$G$61*Assumptions!$G$60</f>
        <v>0.45975466840477758</v>
      </c>
    </row>
    <row r="29" spans="1:40" s="120" customFormat="1" x14ac:dyDescent="0.25">
      <c r="A29" s="118" t="s">
        <v>122</v>
      </c>
      <c r="B29" s="118"/>
      <c r="C29" s="118"/>
      <c r="D29" s="118"/>
      <c r="E29" s="119">
        <f t="shared" ref="E29:AN29" si="3">SUM(E19:E28)</f>
        <v>0</v>
      </c>
      <c r="F29" s="119">
        <f t="shared" si="3"/>
        <v>0</v>
      </c>
      <c r="G29" s="119">
        <f t="shared" si="3"/>
        <v>0</v>
      </c>
      <c r="H29" s="119">
        <f t="shared" si="3"/>
        <v>9.4261099999999995</v>
      </c>
      <c r="I29" s="119">
        <f t="shared" si="3"/>
        <v>9.6564198000000001</v>
      </c>
      <c r="J29" s="119">
        <f t="shared" si="3"/>
        <v>9.5292400560000008</v>
      </c>
      <c r="K29" s="119">
        <f t="shared" si="3"/>
        <v>9.8516502267200003</v>
      </c>
      <c r="L29" s="119">
        <f t="shared" si="3"/>
        <v>9.8461676056976017</v>
      </c>
      <c r="M29" s="119">
        <f t="shared" si="3"/>
        <v>10.04168436027472</v>
      </c>
      <c r="N29" s="119">
        <f t="shared" si="3"/>
        <v>10.34449617207386</v>
      </c>
      <c r="O29" s="119">
        <f t="shared" si="3"/>
        <v>9.8767758340640128</v>
      </c>
      <c r="P29" s="119">
        <f t="shared" si="3"/>
        <v>10.457530855020687</v>
      </c>
      <c r="Q29" s="119">
        <f t="shared" si="3"/>
        <v>10.452810926938781</v>
      </c>
      <c r="R29" s="119">
        <f t="shared" si="3"/>
        <v>10.978324826578628</v>
      </c>
      <c r="S29" s="119">
        <f t="shared" si="3"/>
        <v>10.754706755872302</v>
      </c>
      <c r="T29" s="119">
        <f t="shared" si="3"/>
        <v>11.91231542203044</v>
      </c>
      <c r="U29" s="119">
        <f t="shared" si="3"/>
        <v>12.095491286363679</v>
      </c>
      <c r="V29" s="119">
        <f t="shared" si="3"/>
        <v>11.957890781922247</v>
      </c>
      <c r="W29" s="119">
        <f t="shared" si="3"/>
        <v>12.63963983683256</v>
      </c>
      <c r="X29" s="119">
        <f t="shared" si="3"/>
        <v>12.32760186233301</v>
      </c>
      <c r="Y29" s="119">
        <f t="shared" si="3"/>
        <v>12.70810534399965</v>
      </c>
      <c r="Z29" s="119">
        <f t="shared" si="3"/>
        <v>13.294626650981714</v>
      </c>
      <c r="AA29" s="119">
        <f t="shared" si="3"/>
        <v>12.538356637111166</v>
      </c>
      <c r="AB29" s="119">
        <f t="shared" si="3"/>
        <v>13.338152849038556</v>
      </c>
      <c r="AC29" s="119">
        <f t="shared" si="3"/>
        <v>13.586900858393458</v>
      </c>
      <c r="AD29" s="119">
        <f t="shared" si="3"/>
        <v>14.032880095186163</v>
      </c>
      <c r="AE29" s="119">
        <f t="shared" si="3"/>
        <v>13.819697310286102</v>
      </c>
      <c r="AF29" s="119">
        <f t="shared" si="3"/>
        <v>15.719584519208254</v>
      </c>
      <c r="AG29" s="119">
        <f t="shared" si="3"/>
        <v>15.420912694250951</v>
      </c>
      <c r="AH29" s="119">
        <f t="shared" si="3"/>
        <v>15.461172924360538</v>
      </c>
      <c r="AI29" s="119">
        <f t="shared" si="3"/>
        <v>16.643307725662954</v>
      </c>
      <c r="AJ29" s="119">
        <f t="shared" si="3"/>
        <v>16.028104559242561</v>
      </c>
      <c r="AK29" s="119">
        <f t="shared" si="3"/>
        <v>16.791672276488463</v>
      </c>
      <c r="AL29" s="119">
        <f t="shared" si="3"/>
        <v>16.901155515018228</v>
      </c>
      <c r="AM29" s="119">
        <f t="shared" si="3"/>
        <v>15.894124680289636</v>
      </c>
      <c r="AN29" s="119">
        <f t="shared" si="3"/>
        <v>16.789842885579738</v>
      </c>
    </row>
    <row r="31" spans="1:40" s="128" customFormat="1" x14ac:dyDescent="0.25">
      <c r="A31" s="7" t="s">
        <v>123</v>
      </c>
      <c r="B31" s="7"/>
      <c r="C31" s="7"/>
      <c r="D31" s="7"/>
      <c r="E31" s="127">
        <f>E9-E16-E29</f>
        <v>0</v>
      </c>
      <c r="F31" s="127">
        <f t="shared" ref="F31:AN33" si="4">F9-F16-F29</f>
        <v>0</v>
      </c>
      <c r="G31" s="127">
        <f t="shared" si="4"/>
        <v>0</v>
      </c>
      <c r="H31" s="129">
        <f t="shared" si="4"/>
        <v>-2.7231099999999966</v>
      </c>
      <c r="I31" s="127">
        <f t="shared" si="4"/>
        <v>-2.087143799999998</v>
      </c>
      <c r="J31" s="127">
        <f t="shared" si="4"/>
        <v>-2.4364936559999979</v>
      </c>
      <c r="K31" s="127">
        <f t="shared" si="4"/>
        <v>-1.5379771547199965</v>
      </c>
      <c r="L31" s="127">
        <f t="shared" si="4"/>
        <v>-1.5551297592015985</v>
      </c>
      <c r="M31" s="127">
        <f t="shared" si="4"/>
        <v>-1.0028971144615983</v>
      </c>
      <c r="N31" s="127">
        <f t="shared" si="4"/>
        <v>-0.16570115366440064</v>
      </c>
      <c r="O31" s="127">
        <f t="shared" si="4"/>
        <v>-1.4692145346752454</v>
      </c>
      <c r="P31" s="127">
        <f t="shared" si="4"/>
        <v>0.15898567152683007</v>
      </c>
      <c r="Q31" s="127">
        <f t="shared" si="4"/>
        <v>0.14383002404787604</v>
      </c>
      <c r="R31" s="127">
        <f t="shared" si="4"/>
        <v>1.6039344755618004</v>
      </c>
      <c r="S31" s="127">
        <f t="shared" si="4"/>
        <v>0.98712850146326403</v>
      </c>
      <c r="T31" s="127">
        <f t="shared" si="4"/>
        <v>1.8923875323656798</v>
      </c>
      <c r="U31" s="127">
        <f t="shared" si="4"/>
        <v>2.4038799605515635</v>
      </c>
      <c r="V31" s="127">
        <f t="shared" si="4"/>
        <v>2.0228491122598324</v>
      </c>
      <c r="W31" s="127">
        <f t="shared" si="4"/>
        <v>3.9173371446332919</v>
      </c>
      <c r="X31" s="127">
        <f t="shared" si="4"/>
        <v>3.0553648671430214</v>
      </c>
      <c r="Y31" s="127">
        <f t="shared" si="4"/>
        <v>4.1206016726462362</v>
      </c>
      <c r="Z31" s="127">
        <f t="shared" si="4"/>
        <v>5.7454352158763964</v>
      </c>
      <c r="AA31" s="127">
        <f t="shared" si="4"/>
        <v>3.6383423636195342</v>
      </c>
      <c r="AB31" s="127">
        <f t="shared" si="4"/>
        <v>5.8800871617575492</v>
      </c>
      <c r="AC31" s="127">
        <f t="shared" si="4"/>
        <v>6.5646291211580792</v>
      </c>
      <c r="AD31" s="127">
        <f t="shared" si="4"/>
        <v>7.81262909116945</v>
      </c>
      <c r="AE31" s="127">
        <f t="shared" si="4"/>
        <v>7.2216501452287361</v>
      </c>
      <c r="AF31" s="127">
        <f t="shared" si="4"/>
        <v>10.002700420288278</v>
      </c>
      <c r="AG31" s="127">
        <f t="shared" si="4"/>
        <v>9.1851562626006</v>
      </c>
      <c r="AH31" s="127">
        <f t="shared" si="4"/>
        <v>9.2940455743599504</v>
      </c>
      <c r="AI31" s="127">
        <f t="shared" si="4"/>
        <v>12.579936906294915</v>
      </c>
      <c r="AJ31" s="127">
        <f t="shared" si="4"/>
        <v>10.876559393829542</v>
      </c>
      <c r="AK31" s="127">
        <f t="shared" si="4"/>
        <v>13.004464525090079</v>
      </c>
      <c r="AL31" s="127">
        <f t="shared" si="4"/>
        <v>13.311756727591888</v>
      </c>
      <c r="AM31" s="127">
        <f t="shared" si="4"/>
        <v>10.499810812857923</v>
      </c>
      <c r="AN31" s="127">
        <f t="shared" si="4"/>
        <v>13.013868889882346</v>
      </c>
    </row>
    <row r="33" spans="1:40" s="133" customFormat="1" x14ac:dyDescent="0.25">
      <c r="A33" s="116" t="s">
        <v>124</v>
      </c>
      <c r="B33" s="116"/>
      <c r="C33" s="116"/>
      <c r="D33" s="116"/>
      <c r="E33" s="130">
        <f>E11-E18-E31</f>
        <v>0</v>
      </c>
      <c r="F33" s="130">
        <f t="shared" si="4"/>
        <v>0</v>
      </c>
      <c r="G33" s="130">
        <f t="shared" si="4"/>
        <v>0</v>
      </c>
      <c r="H33" s="132">
        <f t="shared" ref="H33:AN33" si="5">H31/H9</f>
        <v>-0.11085775932258576</v>
      </c>
      <c r="I33" s="132">
        <f t="shared" si="5"/>
        <v>-8.0704606689784589E-2</v>
      </c>
      <c r="J33" s="132">
        <f t="shared" si="5"/>
        <v>-9.6897683860542858E-2</v>
      </c>
      <c r="K33" s="132">
        <f t="shared" si="5"/>
        <v>-5.704364757762552E-2</v>
      </c>
      <c r="L33" s="132">
        <f t="shared" si="5"/>
        <v>-5.7745994498031847E-2</v>
      </c>
      <c r="M33" s="132">
        <f t="shared" si="5"/>
        <v>-3.5776834888920701E-2</v>
      </c>
      <c r="N33" s="132">
        <f t="shared" si="5"/>
        <v>-5.5720329837570925E-3</v>
      </c>
      <c r="O33" s="132">
        <f t="shared" si="5"/>
        <v>-5.4208632640559251E-2</v>
      </c>
      <c r="P33" s="132">
        <f t="shared" si="5"/>
        <v>5.234126902887595E-3</v>
      </c>
      <c r="Q33" s="132">
        <f t="shared" si="5"/>
        <v>4.739321579086144E-3</v>
      </c>
      <c r="R33" s="132">
        <f t="shared" si="5"/>
        <v>4.8153370757365858E-2</v>
      </c>
      <c r="S33" s="132">
        <f t="shared" si="5"/>
        <v>3.08005521340785E-2</v>
      </c>
      <c r="T33" s="132">
        <f t="shared" si="5"/>
        <v>5.2149812101021036E-2</v>
      </c>
      <c r="U33" s="132">
        <f t="shared" si="5"/>
        <v>6.4413508952570087E-2</v>
      </c>
      <c r="V33" s="132">
        <f t="shared" si="5"/>
        <v>5.5353362410272042E-2</v>
      </c>
      <c r="W33" s="132">
        <f t="shared" si="5"/>
        <v>9.6999503233594575E-2</v>
      </c>
      <c r="X33" s="132">
        <f t="shared" si="5"/>
        <v>7.9098863035777608E-2</v>
      </c>
      <c r="Y33" s="132">
        <f t="shared" si="5"/>
        <v>0.10106735510774024</v>
      </c>
      <c r="Z33" s="132">
        <f t="shared" si="5"/>
        <v>0.13035530653497104</v>
      </c>
      <c r="AA33" s="132">
        <f t="shared" si="5"/>
        <v>9.1382307381692118E-2</v>
      </c>
      <c r="AB33" s="132">
        <f t="shared" si="5"/>
        <v>0.13267221820415237</v>
      </c>
      <c r="AC33" s="132">
        <f t="shared" si="5"/>
        <v>0.14357763741518886</v>
      </c>
      <c r="AD33" s="132">
        <f t="shared" si="5"/>
        <v>0.16197225381529856</v>
      </c>
      <c r="AE33" s="132">
        <f t="shared" si="5"/>
        <v>0.15354322300093209</v>
      </c>
      <c r="AF33" s="132">
        <f t="shared" si="5"/>
        <v>0.18097557143051848</v>
      </c>
      <c r="AG33" s="132">
        <f t="shared" si="5"/>
        <v>0.17140214301160364</v>
      </c>
      <c r="AH33" s="132">
        <f t="shared" si="5"/>
        <v>0.17270311822631162</v>
      </c>
      <c r="AI33" s="132">
        <f t="shared" si="5"/>
        <v>0.20801855106151634</v>
      </c>
      <c r="AJ33" s="132">
        <f t="shared" si="5"/>
        <v>0.19078624232650362</v>
      </c>
      <c r="AK33" s="132">
        <f t="shared" si="5"/>
        <v>0.21210679339401617</v>
      </c>
      <c r="AL33" s="132">
        <f t="shared" si="5"/>
        <v>0.2149562961230384</v>
      </c>
      <c r="AM33" s="132">
        <f t="shared" si="5"/>
        <v>0.18664895972100479</v>
      </c>
      <c r="AN33" s="132">
        <f t="shared" si="5"/>
        <v>0.21229586860482944</v>
      </c>
    </row>
    <row r="34" spans="1:40" s="133" customFormat="1" x14ac:dyDescent="0.25">
      <c r="A34" s="116"/>
      <c r="B34" s="116"/>
      <c r="C34" s="116"/>
      <c r="D34" s="116"/>
      <c r="E34" s="130"/>
      <c r="F34" s="130"/>
      <c r="G34" s="130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</row>
    <row r="36" spans="1:40" s="111" customFormat="1" x14ac:dyDescent="0.25">
      <c r="A36" s="112" t="s">
        <v>115</v>
      </c>
      <c r="B36" s="109"/>
      <c r="C36" s="109"/>
      <c r="D36" s="109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26CC-6771-4F28-ADA3-5F10C5BBAC45}">
  <dimension ref="A1:AN28"/>
  <sheetViews>
    <sheetView workbookViewId="0">
      <selection activeCell="A6" sqref="A6:A9"/>
    </sheetView>
  </sheetViews>
  <sheetFormatPr defaultRowHeight="15" x14ac:dyDescent="0.25"/>
  <cols>
    <col min="1" max="1" width="42.140625" customWidth="1"/>
    <col min="3" max="3" width="11.5703125" customWidth="1"/>
  </cols>
  <sheetData>
    <row r="1" spans="1:3" x14ac:dyDescent="0.25">
      <c r="A1" t="s">
        <v>106</v>
      </c>
      <c r="B1" s="92" t="str">
        <f>Converter!C1</f>
        <v xml:space="preserve"> Lakh </v>
      </c>
    </row>
    <row r="3" spans="1:3" x14ac:dyDescent="0.25">
      <c r="C3" s="97">
        <v>0</v>
      </c>
    </row>
    <row r="4" spans="1:3" x14ac:dyDescent="0.25">
      <c r="C4" s="98">
        <f>Assumptions!G3</f>
        <v>43922</v>
      </c>
    </row>
    <row r="5" spans="1:3" x14ac:dyDescent="0.25">
      <c r="A5" s="7" t="s">
        <v>125</v>
      </c>
    </row>
    <row r="6" spans="1:3" x14ac:dyDescent="0.25">
      <c r="A6" t="str">
        <f>Assumptions!A79</f>
        <v>Kitchen Equipments and cutlery</v>
      </c>
      <c r="C6" s="135">
        <f>Assumptions!$G$70*Assumptions!$G$79/den</f>
        <v>30</v>
      </c>
    </row>
    <row r="7" spans="1:3" x14ac:dyDescent="0.25">
      <c r="A7" t="str">
        <f>Assumptions!A80</f>
        <v>Refrigeration Equipments</v>
      </c>
      <c r="C7" s="135">
        <f>Assumptions!$G$70*Assumptions!$G$80/den</f>
        <v>50</v>
      </c>
    </row>
    <row r="8" spans="1:3" x14ac:dyDescent="0.25">
      <c r="A8" t="str">
        <f>Assumptions!A81</f>
        <v>Furniture &amp; Fixtures</v>
      </c>
      <c r="C8" s="135">
        <f>Assumptions!$G$69*Assumptions!$G$81/den</f>
        <v>51</v>
      </c>
    </row>
    <row r="9" spans="1:3" x14ac:dyDescent="0.25">
      <c r="A9" t="str">
        <f>Assumptions!A82</f>
        <v>Restaurants Décor</v>
      </c>
      <c r="C9" s="135">
        <f>Assumptions!$G$69*Assumptions!$G$82/den</f>
        <v>60</v>
      </c>
    </row>
    <row r="10" spans="1:3" s="7" customFormat="1" x14ac:dyDescent="0.25">
      <c r="A10" s="134" t="s">
        <v>54</v>
      </c>
      <c r="B10" s="134"/>
      <c r="C10" s="136">
        <f>SUM(C6:C9)</f>
        <v>191</v>
      </c>
    </row>
    <row r="11" spans="1:3" x14ac:dyDescent="0.25">
      <c r="A11" t="s">
        <v>126</v>
      </c>
      <c r="C11" s="135">
        <f>Assumptions!G83/den</f>
        <v>10</v>
      </c>
    </row>
    <row r="12" spans="1:3" x14ac:dyDescent="0.25">
      <c r="A12" t="s">
        <v>127</v>
      </c>
      <c r="C12" s="135">
        <f>Assumptions!G87/den</f>
        <v>24</v>
      </c>
    </row>
    <row r="13" spans="1:3" x14ac:dyDescent="0.25">
      <c r="C13" s="135"/>
    </row>
    <row r="14" spans="1:3" x14ac:dyDescent="0.25">
      <c r="A14" s="118" t="s">
        <v>128</v>
      </c>
      <c r="B14" s="118"/>
      <c r="C14" s="137">
        <f>C12+C11+C10</f>
        <v>225</v>
      </c>
    </row>
    <row r="15" spans="1:3" x14ac:dyDescent="0.25">
      <c r="C15" s="135"/>
    </row>
    <row r="16" spans="1:3" x14ac:dyDescent="0.25">
      <c r="A16" s="7" t="s">
        <v>129</v>
      </c>
      <c r="C16" s="135"/>
    </row>
    <row r="17" spans="1:40" x14ac:dyDescent="0.25">
      <c r="A17" t="s">
        <v>130</v>
      </c>
      <c r="B17" s="138">
        <f>Assumptions!G100</f>
        <v>1</v>
      </c>
      <c r="C17" s="135">
        <f>C14*B17</f>
        <v>225</v>
      </c>
    </row>
    <row r="18" spans="1:40" x14ac:dyDescent="0.25">
      <c r="A18" s="7" t="s">
        <v>78</v>
      </c>
      <c r="B18" s="138">
        <f>Assumptions!G101</f>
        <v>0</v>
      </c>
      <c r="C18" s="135">
        <f>C14*B18</f>
        <v>0</v>
      </c>
    </row>
    <row r="19" spans="1:40" x14ac:dyDescent="0.25">
      <c r="C19" s="135"/>
    </row>
    <row r="20" spans="1:40" ht="15.75" thickBot="1" x14ac:dyDescent="0.3">
      <c r="A20" s="193" t="s">
        <v>131</v>
      </c>
      <c r="B20" s="193"/>
      <c r="C20" s="196">
        <f>C18+C17</f>
        <v>225</v>
      </c>
    </row>
    <row r="21" spans="1:40" ht="15.75" thickTop="1" x14ac:dyDescent="0.25">
      <c r="C21" s="135"/>
    </row>
    <row r="22" spans="1:40" x14ac:dyDescent="0.25">
      <c r="C22" s="135"/>
    </row>
    <row r="23" spans="1:40" s="111" customFormat="1" x14ac:dyDescent="0.25">
      <c r="A23" s="112" t="s">
        <v>115</v>
      </c>
      <c r="B23" s="109"/>
      <c r="C23" s="109"/>
      <c r="D23" s="109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</row>
    <row r="24" spans="1:40" x14ac:dyDescent="0.25">
      <c r="C24" s="135"/>
    </row>
    <row r="25" spans="1:40" x14ac:dyDescent="0.25">
      <c r="C25" s="135"/>
    </row>
    <row r="26" spans="1:40" x14ac:dyDescent="0.25">
      <c r="C26" s="135"/>
    </row>
    <row r="27" spans="1:40" x14ac:dyDescent="0.25">
      <c r="C27" s="135"/>
    </row>
    <row r="28" spans="1:40" x14ac:dyDescent="0.25">
      <c r="C28" s="1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817C-F088-4023-9BD5-65B281030C02}">
  <dimension ref="A1:AN122"/>
  <sheetViews>
    <sheetView workbookViewId="0">
      <pane xSplit="4" ySplit="4" topLeftCell="E20" activePane="bottomRight" state="frozen"/>
      <selection pane="topRight" activeCell="E1" sqref="E1"/>
      <selection pane="bottomLeft" activeCell="A5" sqref="A5"/>
      <selection pane="bottomRight" activeCell="A11" sqref="A11"/>
    </sheetView>
  </sheetViews>
  <sheetFormatPr defaultRowHeight="15" x14ac:dyDescent="0.25"/>
  <cols>
    <col min="1" max="1" width="42.140625" customWidth="1"/>
    <col min="2" max="2" width="9.140625" customWidth="1"/>
    <col min="3" max="3" width="8.85546875" customWidth="1"/>
    <col min="4" max="4" width="9.28515625" customWidth="1"/>
    <col min="5" max="5" width="11.85546875" bestFit="1" customWidth="1"/>
    <col min="6" max="7" width="11.5703125" bestFit="1" customWidth="1"/>
  </cols>
  <sheetData>
    <row r="1" spans="1:7" x14ac:dyDescent="0.25">
      <c r="A1" t="s">
        <v>106</v>
      </c>
      <c r="B1" s="92" t="str">
        <f>Converter!C1</f>
        <v xml:space="preserve"> Lakh </v>
      </c>
    </row>
    <row r="3" spans="1:7" x14ac:dyDescent="0.25">
      <c r="E3" s="99">
        <v>1</v>
      </c>
      <c r="F3" s="99">
        <v>2</v>
      </c>
      <c r="G3" s="99">
        <v>3</v>
      </c>
    </row>
    <row r="4" spans="1:7" x14ac:dyDescent="0.25">
      <c r="E4" s="98">
        <f>EOMONTH(Assumptions!G3,11)</f>
        <v>44286</v>
      </c>
      <c r="F4" s="98">
        <f>EOMONTH(E4,12)</f>
        <v>44651</v>
      </c>
      <c r="G4" s="98">
        <f>EOMONTH(F4,12)</f>
        <v>45016</v>
      </c>
    </row>
    <row r="5" spans="1:7" x14ac:dyDescent="0.25">
      <c r="A5" s="141" t="str">
        <f>'Capital Structure'!A6</f>
        <v>Kitchen Equipments and cutlery</v>
      </c>
      <c r="E5" s="115"/>
      <c r="F5" s="115"/>
      <c r="G5" s="115"/>
    </row>
    <row r="6" spans="1:7" x14ac:dyDescent="0.25">
      <c r="A6" t="s">
        <v>132</v>
      </c>
      <c r="E6" s="126">
        <v>0</v>
      </c>
      <c r="F6" s="115">
        <f>E10</f>
        <v>26.634246575342466</v>
      </c>
      <c r="G6" s="115">
        <f>F10</f>
        <v>22.639109589041094</v>
      </c>
    </row>
    <row r="7" spans="1:7" x14ac:dyDescent="0.25">
      <c r="A7" t="s">
        <v>133</v>
      </c>
      <c r="E7" s="115">
        <f>'Capital Structure'!C6</f>
        <v>30</v>
      </c>
      <c r="F7" s="115">
        <v>0</v>
      </c>
      <c r="G7" s="115">
        <v>0</v>
      </c>
    </row>
    <row r="8" spans="1:7" x14ac:dyDescent="0.25">
      <c r="A8" t="s">
        <v>134</v>
      </c>
      <c r="E8" s="115">
        <v>0</v>
      </c>
      <c r="F8" s="115">
        <v>0</v>
      </c>
      <c r="G8" s="115">
        <v>0</v>
      </c>
    </row>
    <row r="9" spans="1:7" x14ac:dyDescent="0.25">
      <c r="A9" t="s">
        <v>135</v>
      </c>
      <c r="E9" s="115">
        <f>(E6+E7+E8)*Assumptions!$G$96*MIN(365,'Fixed Assets Schedule'!E$4-Assumptions!$G$5)/365</f>
        <v>3.3657534246575342</v>
      </c>
      <c r="F9" s="115">
        <f>(F6+F7+F8)*Assumptions!$G$96*MIN(365,'Fixed Assets Schedule'!F$4-Assumptions!$G$5)/365</f>
        <v>3.9951369863013704</v>
      </c>
      <c r="G9" s="115">
        <f>(G6+G7+G8)*Assumptions!$G$96*MIN(365,'Fixed Assets Schedule'!G$4-Assumptions!$G$5)/365</f>
        <v>3.3958664383561636</v>
      </c>
    </row>
    <row r="10" spans="1:7" x14ac:dyDescent="0.25">
      <c r="A10" s="140" t="s">
        <v>136</v>
      </c>
      <c r="B10" s="118"/>
      <c r="C10" s="118"/>
      <c r="D10" s="118"/>
      <c r="E10" s="119">
        <f>(E6+E7)-(E8+E9)</f>
        <v>26.634246575342466</v>
      </c>
      <c r="F10" s="119">
        <f t="shared" ref="F10:G10" si="0">(F6+F7)-(F8+F9)</f>
        <v>22.639109589041094</v>
      </c>
      <c r="G10" s="119">
        <f t="shared" si="0"/>
        <v>19.243243150684933</v>
      </c>
    </row>
    <row r="11" spans="1:7" x14ac:dyDescent="0.25">
      <c r="E11" s="115"/>
      <c r="F11" s="115"/>
      <c r="G11" s="115"/>
    </row>
    <row r="12" spans="1:7" x14ac:dyDescent="0.25">
      <c r="A12" s="141" t="str">
        <f>'Capital Structure'!A7</f>
        <v>Refrigeration Equipments</v>
      </c>
      <c r="E12" s="115"/>
      <c r="F12" s="115"/>
      <c r="G12" s="115"/>
    </row>
    <row r="13" spans="1:7" x14ac:dyDescent="0.25">
      <c r="A13" t="s">
        <v>132</v>
      </c>
      <c r="E13" s="115">
        <v>0</v>
      </c>
      <c r="F13" s="115">
        <f>E17</f>
        <v>44.390410958904113</v>
      </c>
      <c r="G13" s="115">
        <f>F17</f>
        <v>37.731849315068494</v>
      </c>
    </row>
    <row r="14" spans="1:7" x14ac:dyDescent="0.25">
      <c r="A14" t="s">
        <v>133</v>
      </c>
      <c r="E14" s="115">
        <f>'Capital Structure'!C7</f>
        <v>50</v>
      </c>
      <c r="F14" s="115">
        <v>0</v>
      </c>
      <c r="G14" s="115">
        <v>0</v>
      </c>
    </row>
    <row r="15" spans="1:7" x14ac:dyDescent="0.25">
      <c r="A15" t="s">
        <v>134</v>
      </c>
      <c r="E15" s="115">
        <v>0</v>
      </c>
      <c r="F15" s="115">
        <v>0</v>
      </c>
      <c r="G15" s="115">
        <v>0</v>
      </c>
    </row>
    <row r="16" spans="1:7" x14ac:dyDescent="0.25">
      <c r="A16" t="s">
        <v>135</v>
      </c>
      <c r="E16" s="115">
        <f>(E13+E14+E15)*Assumptions!$G$96*MIN(365,'Fixed Assets Schedule'!E$4-Assumptions!$G$5)/365</f>
        <v>5.6095890410958908</v>
      </c>
      <c r="F16" s="115">
        <f>(F13+F14+F15)*Assumptions!$G$96*MIN(365,'Fixed Assets Schedule'!F$4-Assumptions!$G$5)/365</f>
        <v>6.6585616438356166</v>
      </c>
      <c r="G16" s="115">
        <f>(G13+G14+G15)*Assumptions!$G$96*MIN(365,'Fixed Assets Schedule'!G$4-Assumptions!$G$5)/365</f>
        <v>5.6597773972602736</v>
      </c>
    </row>
    <row r="17" spans="1:7" x14ac:dyDescent="0.25">
      <c r="A17" s="140" t="s">
        <v>136</v>
      </c>
      <c r="B17" s="118"/>
      <c r="C17" s="118"/>
      <c r="D17" s="118"/>
      <c r="E17" s="119">
        <f>(E13+E14)-(E15+E16)</f>
        <v>44.390410958904113</v>
      </c>
      <c r="F17" s="119">
        <f>(F13+F14)-(F15+F16)</f>
        <v>37.731849315068494</v>
      </c>
      <c r="G17" s="119">
        <f>(G13+G14)-(G15+G16)</f>
        <v>32.072071917808223</v>
      </c>
    </row>
    <row r="18" spans="1:7" x14ac:dyDescent="0.25">
      <c r="E18" s="115"/>
      <c r="F18" s="115"/>
      <c r="G18" s="115"/>
    </row>
    <row r="19" spans="1:7" x14ac:dyDescent="0.25">
      <c r="A19" s="141" t="str">
        <f>'Capital Structure'!A8</f>
        <v>Furniture &amp; Fixtures</v>
      </c>
      <c r="E19" s="115"/>
      <c r="F19" s="115"/>
      <c r="G19" s="115"/>
    </row>
    <row r="20" spans="1:7" x14ac:dyDescent="0.25">
      <c r="A20" t="s">
        <v>132</v>
      </c>
      <c r="E20" s="115">
        <v>0</v>
      </c>
      <c r="F20" s="115">
        <f>E24</f>
        <v>47.185479452054793</v>
      </c>
      <c r="G20" s="115">
        <f>F24</f>
        <v>42.466931506849313</v>
      </c>
    </row>
    <row r="21" spans="1:7" x14ac:dyDescent="0.25">
      <c r="A21" t="s">
        <v>133</v>
      </c>
      <c r="E21" s="115">
        <f>'Capital Structure'!C8</f>
        <v>51</v>
      </c>
      <c r="F21" s="115">
        <v>0</v>
      </c>
      <c r="G21" s="115">
        <v>0</v>
      </c>
    </row>
    <row r="22" spans="1:7" x14ac:dyDescent="0.25">
      <c r="A22" t="s">
        <v>134</v>
      </c>
      <c r="E22" s="115">
        <v>0</v>
      </c>
      <c r="F22" s="115">
        <v>0</v>
      </c>
      <c r="G22" s="115">
        <v>0</v>
      </c>
    </row>
    <row r="23" spans="1:7" x14ac:dyDescent="0.25">
      <c r="A23" t="s">
        <v>135</v>
      </c>
      <c r="E23" s="115">
        <f>(E20+E21+E22)*Assumptions!$G$97*MIN(365,'Fixed Assets Schedule'!E$4-Assumptions!$G$5)/365</f>
        <v>3.814520547945206</v>
      </c>
      <c r="F23" s="115">
        <f>(F20+F21+F22)*Assumptions!$G$97*MIN(365,'Fixed Assets Schedule'!F$4-Assumptions!$G$5)/365</f>
        <v>4.7185479452054793</v>
      </c>
      <c r="G23" s="115">
        <f>(G20+G21+G22)*Assumptions!$G$97*MIN(365,'Fixed Assets Schedule'!G$4-Assumptions!$G$5)/365</f>
        <v>4.2466931506849317</v>
      </c>
    </row>
    <row r="24" spans="1:7" x14ac:dyDescent="0.25">
      <c r="A24" s="140" t="s">
        <v>136</v>
      </c>
      <c r="B24" s="118"/>
      <c r="C24" s="118"/>
      <c r="D24" s="118"/>
      <c r="E24" s="119">
        <f>(E20+E21)-(E22+E23)</f>
        <v>47.185479452054793</v>
      </c>
      <c r="F24" s="119">
        <f>(F20+F21)-(F22+F23)</f>
        <v>42.466931506849313</v>
      </c>
      <c r="G24" s="119">
        <f>(G20+G21)-(G22+G23)</f>
        <v>38.22023835616438</v>
      </c>
    </row>
    <row r="25" spans="1:7" x14ac:dyDescent="0.25">
      <c r="E25" s="139"/>
      <c r="F25" s="139"/>
      <c r="G25" s="139"/>
    </row>
    <row r="26" spans="1:7" x14ac:dyDescent="0.25">
      <c r="A26" s="141" t="str">
        <f>'Capital Structure'!A9</f>
        <v>Restaurants Décor</v>
      </c>
      <c r="E26" s="139"/>
      <c r="F26" s="139"/>
      <c r="G26" s="139"/>
    </row>
    <row r="27" spans="1:7" x14ac:dyDescent="0.25">
      <c r="A27" t="s">
        <v>132</v>
      </c>
      <c r="E27" s="115">
        <v>0</v>
      </c>
      <c r="F27" s="115">
        <f>E31</f>
        <v>55.512328767123286</v>
      </c>
      <c r="G27" s="115">
        <f>F31</f>
        <v>49.961095890410959</v>
      </c>
    </row>
    <row r="28" spans="1:7" x14ac:dyDescent="0.25">
      <c r="A28" t="s">
        <v>133</v>
      </c>
      <c r="E28" s="115">
        <f>'Capital Structure'!C9</f>
        <v>60</v>
      </c>
      <c r="F28" s="115">
        <v>0</v>
      </c>
      <c r="G28" s="115">
        <v>0</v>
      </c>
    </row>
    <row r="29" spans="1:7" x14ac:dyDescent="0.25">
      <c r="A29" t="s">
        <v>134</v>
      </c>
      <c r="E29" s="115">
        <v>0</v>
      </c>
      <c r="F29" s="115">
        <v>0</v>
      </c>
      <c r="G29" s="115">
        <v>0</v>
      </c>
    </row>
    <row r="30" spans="1:7" x14ac:dyDescent="0.25">
      <c r="A30" t="s">
        <v>135</v>
      </c>
      <c r="E30" s="115">
        <f>(E27+E28+E29)*Assumptions!$G$97*MIN(365,'Fixed Assets Schedule'!E$4-Assumptions!$G$5)/365</f>
        <v>4.4876712328767123</v>
      </c>
      <c r="F30" s="115">
        <f>(F27+F28+F29)*Assumptions!$G$97*MIN(365,'Fixed Assets Schedule'!F$4-Assumptions!$G$5)/365</f>
        <v>5.5512328767123291</v>
      </c>
      <c r="G30" s="115">
        <f>(G27+G28+G29)*Assumptions!$G$97*MIN(365,'Fixed Assets Schedule'!G$4-Assumptions!$G$5)/365</f>
        <v>4.9961095890410965</v>
      </c>
    </row>
    <row r="31" spans="1:7" x14ac:dyDescent="0.25">
      <c r="A31" s="140" t="s">
        <v>136</v>
      </c>
      <c r="B31" s="118"/>
      <c r="C31" s="118"/>
      <c r="D31" s="118"/>
      <c r="E31" s="119">
        <f>(E27+E28)-(E29+E30)</f>
        <v>55.512328767123286</v>
      </c>
      <c r="F31" s="119">
        <f>(F27+F28)-(F29+F30)</f>
        <v>49.961095890410959</v>
      </c>
      <c r="G31" s="119">
        <f>(G27+G28)-(G29+G30)</f>
        <v>44.964986301369862</v>
      </c>
    </row>
    <row r="32" spans="1:7" x14ac:dyDescent="0.25">
      <c r="E32" s="139"/>
      <c r="F32" s="139"/>
      <c r="G32" s="139"/>
    </row>
    <row r="33" spans="1:40" x14ac:dyDescent="0.25">
      <c r="E33" s="139"/>
      <c r="F33" s="139"/>
      <c r="G33" s="139"/>
    </row>
    <row r="34" spans="1:40" s="111" customFormat="1" x14ac:dyDescent="0.25">
      <c r="A34" s="112" t="s">
        <v>115</v>
      </c>
      <c r="B34" s="109"/>
      <c r="C34" s="109"/>
      <c r="D34" s="109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</row>
    <row r="35" spans="1:40" x14ac:dyDescent="0.25">
      <c r="E35" s="139"/>
      <c r="F35" s="139"/>
      <c r="G35" s="139"/>
    </row>
    <row r="36" spans="1:40" x14ac:dyDescent="0.25">
      <c r="E36" s="139"/>
      <c r="F36" s="139"/>
      <c r="G36" s="139"/>
    </row>
    <row r="37" spans="1:40" x14ac:dyDescent="0.25">
      <c r="E37" s="139"/>
      <c r="F37" s="139"/>
      <c r="G37" s="139"/>
    </row>
    <row r="38" spans="1:40" x14ac:dyDescent="0.25">
      <c r="E38" s="139"/>
      <c r="F38" s="139"/>
      <c r="G38" s="139"/>
    </row>
    <row r="39" spans="1:40" x14ac:dyDescent="0.25">
      <c r="E39" s="139"/>
      <c r="F39" s="139"/>
      <c r="G39" s="139"/>
    </row>
    <row r="40" spans="1:40" x14ac:dyDescent="0.25">
      <c r="E40" s="139"/>
      <c r="F40" s="139"/>
      <c r="G40" s="139"/>
    </row>
    <row r="41" spans="1:40" x14ac:dyDescent="0.25">
      <c r="E41" s="139"/>
      <c r="F41" s="139"/>
      <c r="G41" s="139"/>
    </row>
    <row r="42" spans="1:40" x14ac:dyDescent="0.25">
      <c r="E42" s="139"/>
      <c r="F42" s="139"/>
      <c r="G42" s="139"/>
    </row>
    <row r="43" spans="1:40" x14ac:dyDescent="0.25">
      <c r="E43" s="139"/>
      <c r="F43" s="139"/>
      <c r="G43" s="139"/>
    </row>
    <row r="44" spans="1:40" x14ac:dyDescent="0.25">
      <c r="E44" s="139"/>
      <c r="F44" s="139"/>
      <c r="G44" s="139"/>
    </row>
    <row r="45" spans="1:40" x14ac:dyDescent="0.25">
      <c r="E45" s="139"/>
      <c r="F45" s="139"/>
      <c r="G45" s="139"/>
    </row>
    <row r="46" spans="1:40" x14ac:dyDescent="0.25">
      <c r="E46" s="139"/>
      <c r="F46" s="139"/>
      <c r="G46" s="139"/>
    </row>
    <row r="47" spans="1:40" x14ac:dyDescent="0.25">
      <c r="E47" s="139"/>
      <c r="F47" s="139"/>
      <c r="G47" s="139"/>
    </row>
    <row r="48" spans="1:40" x14ac:dyDescent="0.25">
      <c r="E48" s="139"/>
      <c r="F48" s="139"/>
      <c r="G48" s="139"/>
    </row>
    <row r="49" spans="5:7" x14ac:dyDescent="0.25">
      <c r="E49" s="139"/>
      <c r="F49" s="139"/>
      <c r="G49" s="139"/>
    </row>
    <row r="50" spans="5:7" x14ac:dyDescent="0.25">
      <c r="E50" s="139"/>
      <c r="F50" s="139"/>
      <c r="G50" s="139"/>
    </row>
    <row r="51" spans="5:7" x14ac:dyDescent="0.25">
      <c r="E51" s="139"/>
      <c r="F51" s="139"/>
      <c r="G51" s="139"/>
    </row>
    <row r="52" spans="5:7" x14ac:dyDescent="0.25">
      <c r="E52" s="139"/>
      <c r="F52" s="139"/>
      <c r="G52" s="139"/>
    </row>
    <row r="53" spans="5:7" x14ac:dyDescent="0.25">
      <c r="E53" s="139"/>
      <c r="F53" s="139"/>
      <c r="G53" s="139"/>
    </row>
    <row r="54" spans="5:7" x14ac:dyDescent="0.25">
      <c r="E54" s="139"/>
      <c r="F54" s="139"/>
      <c r="G54" s="139"/>
    </row>
    <row r="55" spans="5:7" x14ac:dyDescent="0.25">
      <c r="E55" s="139"/>
      <c r="F55" s="139"/>
      <c r="G55" s="139"/>
    </row>
    <row r="56" spans="5:7" x14ac:dyDescent="0.25">
      <c r="E56" s="139"/>
      <c r="F56" s="139"/>
      <c r="G56" s="139"/>
    </row>
    <row r="57" spans="5:7" x14ac:dyDescent="0.25">
      <c r="E57" s="139"/>
      <c r="F57" s="139"/>
      <c r="G57" s="139"/>
    </row>
    <row r="58" spans="5:7" x14ac:dyDescent="0.25">
      <c r="E58" s="139"/>
      <c r="F58" s="139"/>
      <c r="G58" s="139"/>
    </row>
    <row r="59" spans="5:7" x14ac:dyDescent="0.25">
      <c r="E59" s="139"/>
      <c r="F59" s="139"/>
      <c r="G59" s="139"/>
    </row>
    <row r="60" spans="5:7" x14ac:dyDescent="0.25">
      <c r="E60" s="139"/>
      <c r="F60" s="139"/>
      <c r="G60" s="139"/>
    </row>
    <row r="61" spans="5:7" x14ac:dyDescent="0.25">
      <c r="E61" s="139"/>
      <c r="F61" s="139"/>
      <c r="G61" s="139"/>
    </row>
    <row r="62" spans="5:7" x14ac:dyDescent="0.25">
      <c r="E62" s="139"/>
      <c r="F62" s="139"/>
      <c r="G62" s="139"/>
    </row>
    <row r="63" spans="5:7" x14ac:dyDescent="0.25">
      <c r="E63" s="139"/>
      <c r="F63" s="139"/>
      <c r="G63" s="139"/>
    </row>
    <row r="64" spans="5:7" x14ac:dyDescent="0.25">
      <c r="E64" s="139"/>
      <c r="F64" s="139"/>
      <c r="G64" s="139"/>
    </row>
    <row r="65" spans="5:7" x14ac:dyDescent="0.25">
      <c r="E65" s="139"/>
      <c r="F65" s="139"/>
      <c r="G65" s="139"/>
    </row>
    <row r="66" spans="5:7" x14ac:dyDescent="0.25">
      <c r="E66" s="139"/>
      <c r="F66" s="139"/>
      <c r="G66" s="139"/>
    </row>
    <row r="67" spans="5:7" x14ac:dyDescent="0.25">
      <c r="E67" s="139"/>
      <c r="F67" s="139"/>
      <c r="G67" s="139"/>
    </row>
    <row r="68" spans="5:7" x14ac:dyDescent="0.25">
      <c r="E68" s="139"/>
      <c r="F68" s="139"/>
      <c r="G68" s="139"/>
    </row>
    <row r="69" spans="5:7" x14ac:dyDescent="0.25">
      <c r="E69" s="139"/>
      <c r="F69" s="139"/>
      <c r="G69" s="139"/>
    </row>
    <row r="70" spans="5:7" x14ac:dyDescent="0.25">
      <c r="E70" s="139"/>
      <c r="F70" s="139"/>
      <c r="G70" s="139"/>
    </row>
    <row r="71" spans="5:7" x14ac:dyDescent="0.25">
      <c r="E71" s="139"/>
      <c r="F71" s="139"/>
      <c r="G71" s="139"/>
    </row>
    <row r="72" spans="5:7" x14ac:dyDescent="0.25">
      <c r="E72" s="139"/>
      <c r="F72" s="139"/>
      <c r="G72" s="139"/>
    </row>
    <row r="73" spans="5:7" x14ac:dyDescent="0.25">
      <c r="E73" s="139"/>
      <c r="F73" s="139"/>
      <c r="G73" s="139"/>
    </row>
    <row r="74" spans="5:7" x14ac:dyDescent="0.25">
      <c r="E74" s="139"/>
      <c r="F74" s="139"/>
      <c r="G74" s="139"/>
    </row>
    <row r="75" spans="5:7" x14ac:dyDescent="0.25">
      <c r="E75" s="139"/>
      <c r="F75" s="139"/>
      <c r="G75" s="139"/>
    </row>
    <row r="76" spans="5:7" x14ac:dyDescent="0.25">
      <c r="E76" s="139"/>
      <c r="F76" s="139"/>
      <c r="G76" s="139"/>
    </row>
    <row r="77" spans="5:7" x14ac:dyDescent="0.25">
      <c r="E77" s="139"/>
      <c r="F77" s="139"/>
      <c r="G77" s="139"/>
    </row>
    <row r="78" spans="5:7" x14ac:dyDescent="0.25">
      <c r="E78" s="139"/>
      <c r="F78" s="139"/>
      <c r="G78" s="139"/>
    </row>
    <row r="79" spans="5:7" x14ac:dyDescent="0.25">
      <c r="E79" s="139"/>
      <c r="F79" s="139"/>
      <c r="G79" s="139"/>
    </row>
    <row r="80" spans="5:7" x14ac:dyDescent="0.25">
      <c r="E80" s="139"/>
      <c r="F80" s="139"/>
      <c r="G80" s="139"/>
    </row>
    <row r="81" spans="5:7" x14ac:dyDescent="0.25">
      <c r="E81" s="139"/>
      <c r="F81" s="139"/>
      <c r="G81" s="139"/>
    </row>
    <row r="82" spans="5:7" x14ac:dyDescent="0.25">
      <c r="E82" s="139"/>
      <c r="F82" s="139"/>
      <c r="G82" s="139"/>
    </row>
    <row r="83" spans="5:7" x14ac:dyDescent="0.25">
      <c r="E83" s="139"/>
      <c r="F83" s="139"/>
      <c r="G83" s="139"/>
    </row>
    <row r="84" spans="5:7" x14ac:dyDescent="0.25">
      <c r="E84" s="139"/>
      <c r="F84" s="139"/>
      <c r="G84" s="139"/>
    </row>
    <row r="85" spans="5:7" x14ac:dyDescent="0.25">
      <c r="E85" s="139"/>
      <c r="F85" s="139"/>
      <c r="G85" s="139"/>
    </row>
    <row r="86" spans="5:7" x14ac:dyDescent="0.25">
      <c r="E86" s="139"/>
      <c r="F86" s="139"/>
      <c r="G86" s="139"/>
    </row>
    <row r="87" spans="5:7" x14ac:dyDescent="0.25">
      <c r="E87" s="139"/>
      <c r="F87" s="139"/>
      <c r="G87" s="139"/>
    </row>
    <row r="88" spans="5:7" x14ac:dyDescent="0.25">
      <c r="E88" s="139"/>
      <c r="F88" s="139"/>
      <c r="G88" s="139"/>
    </row>
    <row r="89" spans="5:7" x14ac:dyDescent="0.25">
      <c r="E89" s="139"/>
      <c r="F89" s="139"/>
      <c r="G89" s="139"/>
    </row>
    <row r="90" spans="5:7" x14ac:dyDescent="0.25">
      <c r="E90" s="139"/>
      <c r="F90" s="139"/>
      <c r="G90" s="139"/>
    </row>
    <row r="91" spans="5:7" x14ac:dyDescent="0.25">
      <c r="E91" s="139"/>
      <c r="F91" s="139"/>
      <c r="G91" s="139"/>
    </row>
    <row r="92" spans="5:7" x14ac:dyDescent="0.25">
      <c r="E92" s="139"/>
      <c r="F92" s="139"/>
      <c r="G92" s="139"/>
    </row>
    <row r="93" spans="5:7" x14ac:dyDescent="0.25">
      <c r="E93" s="139"/>
      <c r="F93" s="139"/>
      <c r="G93" s="139"/>
    </row>
    <row r="94" spans="5:7" x14ac:dyDescent="0.25">
      <c r="E94" s="139"/>
      <c r="F94" s="139"/>
      <c r="G94" s="139"/>
    </row>
    <row r="95" spans="5:7" x14ac:dyDescent="0.25">
      <c r="E95" s="139"/>
      <c r="F95" s="139"/>
      <c r="G95" s="139"/>
    </row>
    <row r="96" spans="5:7" x14ac:dyDescent="0.25">
      <c r="E96" s="139"/>
      <c r="F96" s="139"/>
      <c r="G96" s="139"/>
    </row>
    <row r="97" spans="5:7" x14ac:dyDescent="0.25">
      <c r="E97" s="139"/>
      <c r="F97" s="139"/>
      <c r="G97" s="139"/>
    </row>
    <row r="98" spans="5:7" x14ac:dyDescent="0.25">
      <c r="E98" s="139"/>
      <c r="F98" s="139"/>
      <c r="G98" s="139"/>
    </row>
    <row r="99" spans="5:7" x14ac:dyDescent="0.25">
      <c r="E99" s="139"/>
      <c r="F99" s="139"/>
      <c r="G99" s="139"/>
    </row>
    <row r="100" spans="5:7" x14ac:dyDescent="0.25">
      <c r="E100" s="139"/>
      <c r="F100" s="139"/>
      <c r="G100" s="139"/>
    </row>
    <row r="101" spans="5:7" x14ac:dyDescent="0.25">
      <c r="E101" s="139"/>
      <c r="F101" s="139"/>
      <c r="G101" s="139"/>
    </row>
    <row r="102" spans="5:7" x14ac:dyDescent="0.25">
      <c r="E102" s="139"/>
      <c r="F102" s="139"/>
      <c r="G102" s="139"/>
    </row>
    <row r="103" spans="5:7" x14ac:dyDescent="0.25">
      <c r="E103" s="139"/>
      <c r="F103" s="139"/>
      <c r="G103" s="139"/>
    </row>
    <row r="104" spans="5:7" x14ac:dyDescent="0.25">
      <c r="E104" s="139"/>
      <c r="F104" s="139"/>
      <c r="G104" s="139"/>
    </row>
    <row r="105" spans="5:7" x14ac:dyDescent="0.25">
      <c r="E105" s="139"/>
      <c r="F105" s="139"/>
      <c r="G105" s="139"/>
    </row>
    <row r="106" spans="5:7" x14ac:dyDescent="0.25">
      <c r="E106" s="139"/>
      <c r="F106" s="139"/>
      <c r="G106" s="139"/>
    </row>
    <row r="107" spans="5:7" x14ac:dyDescent="0.25">
      <c r="E107" s="139"/>
      <c r="F107" s="139"/>
      <c r="G107" s="139"/>
    </row>
    <row r="108" spans="5:7" x14ac:dyDescent="0.25">
      <c r="E108" s="139"/>
      <c r="F108" s="139"/>
      <c r="G108" s="139"/>
    </row>
    <row r="109" spans="5:7" x14ac:dyDescent="0.25">
      <c r="E109" s="139"/>
      <c r="F109" s="139"/>
      <c r="G109" s="139"/>
    </row>
    <row r="110" spans="5:7" x14ac:dyDescent="0.25">
      <c r="E110" s="139"/>
      <c r="F110" s="139"/>
      <c r="G110" s="139"/>
    </row>
    <row r="111" spans="5:7" x14ac:dyDescent="0.25">
      <c r="E111" s="139"/>
      <c r="F111" s="139"/>
      <c r="G111" s="139"/>
    </row>
    <row r="112" spans="5:7" x14ac:dyDescent="0.25">
      <c r="E112" s="139"/>
      <c r="F112" s="139"/>
      <c r="G112" s="139"/>
    </row>
    <row r="113" spans="5:7" x14ac:dyDescent="0.25">
      <c r="E113" s="139"/>
      <c r="F113" s="139"/>
      <c r="G113" s="139"/>
    </row>
    <row r="114" spans="5:7" x14ac:dyDescent="0.25">
      <c r="E114" s="139"/>
      <c r="F114" s="139"/>
      <c r="G114" s="139"/>
    </row>
    <row r="115" spans="5:7" x14ac:dyDescent="0.25">
      <c r="E115" s="139"/>
      <c r="F115" s="139"/>
      <c r="G115" s="139"/>
    </row>
    <row r="116" spans="5:7" x14ac:dyDescent="0.25">
      <c r="E116" s="139"/>
      <c r="F116" s="139"/>
      <c r="G116" s="139"/>
    </row>
    <row r="117" spans="5:7" x14ac:dyDescent="0.25">
      <c r="E117" s="139"/>
      <c r="F117" s="139"/>
      <c r="G117" s="139"/>
    </row>
    <row r="118" spans="5:7" x14ac:dyDescent="0.25">
      <c r="E118" s="139"/>
      <c r="F118" s="139"/>
      <c r="G118" s="139"/>
    </row>
    <row r="119" spans="5:7" x14ac:dyDescent="0.25">
      <c r="E119" s="139"/>
      <c r="F119" s="139"/>
      <c r="G119" s="139"/>
    </row>
    <row r="120" spans="5:7" x14ac:dyDescent="0.25">
      <c r="E120" s="139"/>
      <c r="F120" s="139"/>
      <c r="G120" s="139"/>
    </row>
    <row r="121" spans="5:7" x14ac:dyDescent="0.25">
      <c r="E121" s="139"/>
      <c r="F121" s="139"/>
      <c r="G121" s="139"/>
    </row>
    <row r="122" spans="5:7" x14ac:dyDescent="0.25">
      <c r="E122" s="139"/>
      <c r="F122" s="139"/>
      <c r="G122" s="1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7D80-2FC3-472F-8963-67A841DE1DA4}">
  <dimension ref="A1:AN45"/>
  <sheetViews>
    <sheetView topLeftCell="A10" workbookViewId="0">
      <selection activeCell="K10" sqref="K10"/>
    </sheetView>
  </sheetViews>
  <sheetFormatPr defaultRowHeight="15" x14ac:dyDescent="0.25"/>
  <cols>
    <col min="1" max="1" width="42.140625" customWidth="1"/>
    <col min="2" max="2" width="9.140625" customWidth="1"/>
    <col min="5" max="5" width="13.42578125" bestFit="1" customWidth="1"/>
    <col min="6" max="6" width="12.5703125" bestFit="1" customWidth="1"/>
    <col min="7" max="7" width="13.7109375" bestFit="1" customWidth="1"/>
  </cols>
  <sheetData>
    <row r="1" spans="1:7" x14ac:dyDescent="0.25">
      <c r="A1" s="125" t="s">
        <v>106</v>
      </c>
      <c r="B1" s="92" t="str">
        <f>Converter!C1</f>
        <v xml:space="preserve"> Lakh </v>
      </c>
    </row>
    <row r="3" spans="1:7" x14ac:dyDescent="0.25">
      <c r="E3" s="99">
        <v>1</v>
      </c>
      <c r="F3" s="99">
        <v>2</v>
      </c>
      <c r="G3" s="99">
        <v>3</v>
      </c>
    </row>
    <row r="4" spans="1:7" x14ac:dyDescent="0.25">
      <c r="D4" s="142">
        <f>Assumptions!G3</f>
        <v>43922</v>
      </c>
      <c r="E4" s="98">
        <f>EOMONTH(Assumptions!G3,11)</f>
        <v>44286</v>
      </c>
      <c r="F4" s="98">
        <f>EOMONTH(E4,12)</f>
        <v>44651</v>
      </c>
      <c r="G4" s="98">
        <f>EOMONTH(F4,12)</f>
        <v>45016</v>
      </c>
    </row>
    <row r="5" spans="1:7" x14ac:dyDescent="0.25">
      <c r="A5" s="106" t="s">
        <v>116</v>
      </c>
      <c r="E5" s="115"/>
      <c r="F5" s="115"/>
      <c r="G5" s="115"/>
    </row>
    <row r="6" spans="1:7" x14ac:dyDescent="0.25">
      <c r="A6" s="103" t="str">
        <f>'Monthly Revenue'!A76</f>
        <v>Alcoholic Beverages</v>
      </c>
      <c r="E6" s="115">
        <f>SUMIFS('Monthly P&amp;L'!$E6:$AN6,'Monthly P&amp;L'!$E$4:$AN$4,"&gt;"&amp;'Annual P&amp;L'!D$4,'Monthly P&amp;L'!$E$4:$AN$4,"&lt;="&amp;'Annual P&amp;L'!E$4)</f>
        <v>64.585172361104696</v>
      </c>
      <c r="F6" s="115">
        <f>SUMIFS('Monthly P&amp;L'!$E6:$AN6,'Monthly P&amp;L'!$E$4:$AN$4,"&gt;"&amp;'Annual P&amp;L'!E$4,'Monthly P&amp;L'!$E$4:$AN$4,"&lt;="&amp;'Annual P&amp;L'!F$4)</f>
        <v>121.87671607748571</v>
      </c>
      <c r="G6" s="115">
        <f>SUMIFS('Monthly P&amp;L'!$E6:$AN6,'Monthly P&amp;L'!$E$4:$AN$4,"&gt;"&amp;'Annual P&amp;L'!F$4,'Monthly P&amp;L'!$E$4:$AN$4,"&lt;="&amp;'Annual P&amp;L'!G$4)</f>
        <v>180.75706227583652</v>
      </c>
    </row>
    <row r="7" spans="1:7" x14ac:dyDescent="0.25">
      <c r="A7" s="103" t="str">
        <f>'Monthly Revenue'!A77</f>
        <v>Non Alcoholic Beverages</v>
      </c>
      <c r="E7" s="115">
        <f>SUMIFS('Monthly P&amp;L'!$E7:$AN7,'Monthly P&amp;L'!$E$4:$AN$4,"&gt;"&amp;'Annual P&amp;L'!D$4,'Monthly P&amp;L'!$E$4:$AN$4,"&lt;="&amp;'Annual P&amp;L'!E$4)</f>
        <v>31.16544800870841</v>
      </c>
      <c r="F7" s="115">
        <f>SUMIFS('Monthly P&amp;L'!$E7:$AN7,'Monthly P&amp;L'!$E$4:$AN$4,"&gt;"&amp;'Annual P&amp;L'!E$4,'Monthly P&amp;L'!$E$4:$AN$4,"&lt;="&amp;'Annual P&amp;L'!F$4)</f>
        <v>57.732684827992365</v>
      </c>
      <c r="G7" s="115">
        <f>SUMIFS('Monthly P&amp;L'!$E7:$AN7,'Monthly P&amp;L'!$E$4:$AN$4,"&gt;"&amp;'Annual P&amp;L'!F$4,'Monthly P&amp;L'!$E$4:$AN$4,"&lt;="&amp;'Annual P&amp;L'!G$4)</f>
        <v>84.121264692241141</v>
      </c>
    </row>
    <row r="8" spans="1:7" x14ac:dyDescent="0.25">
      <c r="A8" s="103" t="str">
        <f>'Monthly Revenue'!A78</f>
        <v>Food</v>
      </c>
      <c r="E8" s="115">
        <f>SUMIFS('Monthly P&amp;L'!$E8:$AN8,'Monthly P&amp;L'!$E$4:$AN$4,"&gt;"&amp;'Annual P&amp;L'!D$4,'Monthly P&amp;L'!$E$4:$AN$4,"&lt;="&amp;'Annual P&amp;L'!E$4)</f>
        <v>148.95966081244541</v>
      </c>
      <c r="F8" s="115">
        <f>SUMIFS('Monthly P&amp;L'!$E8:$AN8,'Monthly P&amp;L'!$E$4:$AN$4,"&gt;"&amp;'Annual P&amp;L'!E$4,'Monthly P&amp;L'!$E$4:$AN$4,"&lt;="&amp;'Annual P&amp;L'!F$4)</f>
        <v>274.24132123538232</v>
      </c>
      <c r="G8" s="115">
        <f>SUMIFS('Monthly P&amp;L'!$E8:$AN8,'Monthly P&amp;L'!$E$4:$AN$4,"&gt;"&amp;'Annual P&amp;L'!F$4,'Monthly P&amp;L'!$E$4:$AN$4,"&lt;="&amp;'Annual P&amp;L'!G$4)</f>
        <v>397.06350088525772</v>
      </c>
    </row>
    <row r="9" spans="1:7" x14ac:dyDescent="0.25">
      <c r="A9" s="117" t="str">
        <f>'Monthly Revenue'!A79</f>
        <v>Total</v>
      </c>
      <c r="B9" s="118"/>
      <c r="C9" s="118"/>
      <c r="D9" s="118"/>
      <c r="E9" s="119">
        <f>SUMIFS('Monthly P&amp;L'!$E9:$AN9,'Monthly P&amp;L'!$E$4:$AN$4,"&gt;"&amp;'Annual P&amp;L'!D$4,'Monthly P&amp;L'!$E$4:$AN$4,"&lt;="&amp;'Annual P&amp;L'!E$4)</f>
        <v>244.71028118225851</v>
      </c>
      <c r="F9" s="119">
        <f>SUMIFS('Monthly P&amp;L'!$E9:$AN9,'Monthly P&amp;L'!$E$4:$AN$4,"&gt;"&amp;'Annual P&amp;L'!E$4,'Monthly P&amp;L'!$E$4:$AN$4,"&lt;="&amp;'Annual P&amp;L'!F$4)</f>
        <v>453.85072214086051</v>
      </c>
      <c r="G9" s="119">
        <f>SUMIFS('Monthly P&amp;L'!$E9:$AN9,'Monthly P&amp;L'!$E$4:$AN$4,"&gt;"&amp;'Annual P&amp;L'!F$4,'Monthly P&amp;L'!$E$4:$AN$4,"&lt;="&amp;'Annual P&amp;L'!G$4)</f>
        <v>661.94182785333533</v>
      </c>
    </row>
    <row r="10" spans="1:7" x14ac:dyDescent="0.25">
      <c r="E10" s="115">
        <f>SUMIFS('Monthly P&amp;L'!$E10:$AN10,'Monthly P&amp;L'!$E$4:$AN$4,"&gt;"&amp;'Annual P&amp;L'!D$4,'Monthly P&amp;L'!$E$4:$AN$4,"&lt;="&amp;'Annual P&amp;L'!E$4)</f>
        <v>0</v>
      </c>
      <c r="F10" s="115">
        <f>SUMIFS('Monthly P&amp;L'!$E10:$AN10,'Monthly P&amp;L'!$E$4:$AN$4,"&gt;"&amp;'Annual P&amp;L'!E$4,'Monthly P&amp;L'!$E$4:$AN$4,"&lt;="&amp;'Annual P&amp;L'!F$4)</f>
        <v>0</v>
      </c>
      <c r="G10" s="115">
        <f>SUMIFS('Monthly P&amp;L'!$E10:$AN10,'Monthly P&amp;L'!$E$4:$AN$4,"&gt;"&amp;'Annual P&amp;L'!F$4,'Monthly P&amp;L'!$E$4:$AN$4,"&lt;="&amp;'Annual P&amp;L'!G$4)</f>
        <v>0</v>
      </c>
    </row>
    <row r="11" spans="1:7" x14ac:dyDescent="0.25">
      <c r="A11" s="7" t="s">
        <v>117</v>
      </c>
      <c r="E11" s="115">
        <f>SUMIFS('Monthly P&amp;L'!$E11:$AN11,'Monthly P&amp;L'!$E$4:$AN$4,"&gt;"&amp;'Annual P&amp;L'!D$4,'Monthly P&amp;L'!$E$4:$AN$4,"&lt;="&amp;'Annual P&amp;L'!E$4)</f>
        <v>0</v>
      </c>
      <c r="F11" s="115">
        <f>SUMIFS('Monthly P&amp;L'!$E11:$AN11,'Monthly P&amp;L'!$E$4:$AN$4,"&gt;"&amp;'Annual P&amp;L'!E$4,'Monthly P&amp;L'!$E$4:$AN$4,"&lt;="&amp;'Annual P&amp;L'!F$4)</f>
        <v>0</v>
      </c>
      <c r="G11" s="115">
        <f>SUMIFS('Monthly P&amp;L'!$E11:$AN11,'Monthly P&amp;L'!$E$4:$AN$4,"&gt;"&amp;'Annual P&amp;L'!F$4,'Monthly P&amp;L'!$E$4:$AN$4,"&lt;="&amp;'Annual P&amp;L'!G$4)</f>
        <v>0</v>
      </c>
    </row>
    <row r="12" spans="1:7" x14ac:dyDescent="0.25">
      <c r="A12" t="str">
        <f>Assumptions!A25</f>
        <v>Alcoholic Beverage cost (% of revenue)</v>
      </c>
      <c r="E12" s="115">
        <f>SUMIFS('Monthly P&amp;L'!$E12:$AN12,'Monthly P&amp;L'!$E$4:$AN$4,"&gt;"&amp;'Annual P&amp;L'!D$4,'Monthly P&amp;L'!$E$4:$AN$4,"&lt;="&amp;'Annual P&amp;L'!E$4)</f>
        <v>22.604810326386644</v>
      </c>
      <c r="F12" s="115">
        <f>SUMIFS('Monthly P&amp;L'!$E12:$AN12,'Monthly P&amp;L'!$E$4:$AN$4,"&gt;"&amp;'Annual P&amp;L'!E$4,'Monthly P&amp;L'!$E$4:$AN$4,"&lt;="&amp;'Annual P&amp;L'!F$4)</f>
        <v>42.656850627119987</v>
      </c>
      <c r="G12" s="115">
        <f>SUMIFS('Monthly P&amp;L'!$E12:$AN12,'Monthly P&amp;L'!$E$4:$AN$4,"&gt;"&amp;'Annual P&amp;L'!F$4,'Monthly P&amp;L'!$E$4:$AN$4,"&lt;="&amp;'Annual P&amp;L'!G$4)</f>
        <v>63.264971796542774</v>
      </c>
    </row>
    <row r="13" spans="1:7" x14ac:dyDescent="0.25">
      <c r="A13" t="str">
        <f>Assumptions!A26</f>
        <v>Non Alcoholic Beverages (% of revenue)</v>
      </c>
      <c r="E13" s="115">
        <f>SUMIFS('Monthly P&amp;L'!$E13:$AN13,'Monthly P&amp;L'!$E$4:$AN$4,"&gt;"&amp;'Annual P&amp;L'!D$4,'Monthly P&amp;L'!$E$4:$AN$4,"&lt;="&amp;'Annual P&amp;L'!E$4)</f>
        <v>12.466179203483364</v>
      </c>
      <c r="F13" s="115">
        <f>SUMIFS('Monthly P&amp;L'!$E13:$AN13,'Monthly P&amp;L'!$E$4:$AN$4,"&gt;"&amp;'Annual P&amp;L'!E$4,'Monthly P&amp;L'!$E$4:$AN$4,"&lt;="&amp;'Annual P&amp;L'!F$4)</f>
        <v>23.093073931196948</v>
      </c>
      <c r="G13" s="115">
        <f>SUMIFS('Monthly P&amp;L'!$E13:$AN13,'Monthly P&amp;L'!$E$4:$AN$4,"&gt;"&amp;'Annual P&amp;L'!F$4,'Monthly P&amp;L'!$E$4:$AN$4,"&lt;="&amp;'Annual P&amp;L'!G$4)</f>
        <v>33.648505876896458</v>
      </c>
    </row>
    <row r="14" spans="1:7" x14ac:dyDescent="0.25">
      <c r="A14" t="str">
        <f>Assumptions!A27</f>
        <v>Food (% of revenue)</v>
      </c>
      <c r="E14" s="115">
        <f>SUMIFS('Monthly P&amp;L'!$E14:$AN14,'Monthly P&amp;L'!$E$4:$AN$4,"&gt;"&amp;'Annual P&amp;L'!D$4,'Monthly P&amp;L'!$E$4:$AN$4,"&lt;="&amp;'Annual P&amp;L'!E$4)</f>
        <v>44.687898243733621</v>
      </c>
      <c r="F14" s="115">
        <f>SUMIFS('Monthly P&amp;L'!$E14:$AN14,'Monthly P&amp;L'!$E$4:$AN$4,"&gt;"&amp;'Annual P&amp;L'!E$4,'Monthly P&amp;L'!$E$4:$AN$4,"&lt;="&amp;'Annual P&amp;L'!F$4)</f>
        <v>82.2723963706147</v>
      </c>
      <c r="G14" s="115">
        <f>SUMIFS('Monthly P&amp;L'!$E14:$AN14,'Monthly P&amp;L'!$E$4:$AN$4,"&gt;"&amp;'Annual P&amp;L'!F$4,'Monthly P&amp;L'!$E$4:$AN$4,"&lt;="&amp;'Annual P&amp;L'!G$4)</f>
        <v>119.11905026557733</v>
      </c>
    </row>
    <row r="15" spans="1:7" x14ac:dyDescent="0.25">
      <c r="A15" t="s">
        <v>118</v>
      </c>
      <c r="E15" s="115">
        <f>SUMIFS('Monthly P&amp;L'!$E15:$AN15,'Monthly P&amp;L'!$E$4:$AN$4,"&gt;"&amp;'Annual P&amp;L'!D$4,'Monthly P&amp;L'!$E$4:$AN$4,"&lt;="&amp;'Annual P&amp;L'!E$4)</f>
        <v>88.74</v>
      </c>
      <c r="F15" s="115">
        <f>SUMIFS('Monthly P&amp;L'!$E15:$AN15,'Monthly P&amp;L'!$E$4:$AN$4,"&gt;"&amp;'Annual P&amp;L'!E$4,'Monthly P&amp;L'!$E$4:$AN$4,"&lt;="&amp;'Annual P&amp;L'!F$4)</f>
        <v>125.41919999999998</v>
      </c>
      <c r="G15" s="115">
        <f>SUMIFS('Monthly P&amp;L'!$E15:$AN15,'Monthly P&amp;L'!$E$4:$AN$4,"&gt;"&amp;'Annual P&amp;L'!F$4,'Monthly P&amp;L'!$E$4:$AN$4,"&lt;="&amp;'Annual P&amp;L'!G$4)</f>
        <v>135.45273599999999</v>
      </c>
    </row>
    <row r="16" spans="1:7" x14ac:dyDescent="0.25">
      <c r="A16" s="118" t="s">
        <v>119</v>
      </c>
      <c r="B16" s="118"/>
      <c r="C16" s="118"/>
      <c r="D16" s="118"/>
      <c r="E16" s="119">
        <f>SUMIFS('Monthly P&amp;L'!$E16:$AN16,'Monthly P&amp;L'!$E$4:$AN$4,"&gt;"&amp;'Annual P&amp;L'!D$4,'Monthly P&amp;L'!$E$4:$AN$4,"&lt;="&amp;'Annual P&amp;L'!E$4)</f>
        <v>168.49888777360363</v>
      </c>
      <c r="F16" s="119">
        <f>SUMIFS('Monthly P&amp;L'!$E16:$AN16,'Monthly P&amp;L'!$E$4:$AN$4,"&gt;"&amp;'Annual P&amp;L'!E$4,'Monthly P&amp;L'!$E$4:$AN$4,"&lt;="&amp;'Annual P&amp;L'!F$4)</f>
        <v>273.4415209289316</v>
      </c>
      <c r="G16" s="119">
        <f>SUMIFS('Monthly P&amp;L'!$E16:$AN16,'Monthly P&amp;L'!$E$4:$AN$4,"&gt;"&amp;'Annual P&amp;L'!F$4,'Monthly P&amp;L'!$E$4:$AN$4,"&lt;="&amp;'Annual P&amp;L'!G$4)</f>
        <v>351.48526393901648</v>
      </c>
    </row>
    <row r="17" spans="1:7" x14ac:dyDescent="0.25">
      <c r="E17" s="115">
        <f>SUMIFS('Monthly P&amp;L'!$E17:$AN17,'Monthly P&amp;L'!$E$4:$AN$4,"&gt;"&amp;'Annual P&amp;L'!D$4,'Monthly P&amp;L'!$E$4:$AN$4,"&lt;="&amp;'Annual P&amp;L'!E$4)</f>
        <v>0</v>
      </c>
      <c r="F17" s="115">
        <f>SUMIFS('Monthly P&amp;L'!$E17:$AN17,'Monthly P&amp;L'!$E$4:$AN$4,"&gt;"&amp;'Annual P&amp;L'!E$4,'Monthly P&amp;L'!$E$4:$AN$4,"&lt;="&amp;'Annual P&amp;L'!F$4)</f>
        <v>0</v>
      </c>
      <c r="G17" s="115">
        <f>SUMIFS('Monthly P&amp;L'!$E17:$AN17,'Monthly P&amp;L'!$E$4:$AN$4,"&gt;"&amp;'Annual P&amp;L'!F$4,'Monthly P&amp;L'!$E$4:$AN$4,"&lt;="&amp;'Annual P&amp;L'!G$4)</f>
        <v>0</v>
      </c>
    </row>
    <row r="18" spans="1:7" x14ac:dyDescent="0.25">
      <c r="A18" s="7" t="s">
        <v>120</v>
      </c>
      <c r="E18" s="115">
        <f>SUMIFS('Monthly P&amp;L'!$E18:$AN18,'Monthly P&amp;L'!$E$4:$AN$4,"&gt;"&amp;'Annual P&amp;L'!D$4,'Monthly P&amp;L'!$E$4:$AN$4,"&lt;="&amp;'Annual P&amp;L'!E$4)</f>
        <v>0</v>
      </c>
      <c r="F18" s="115">
        <f>SUMIFS('Monthly P&amp;L'!$E18:$AN18,'Monthly P&amp;L'!$E$4:$AN$4,"&gt;"&amp;'Annual P&amp;L'!E$4,'Monthly P&amp;L'!$E$4:$AN$4,"&lt;="&amp;'Annual P&amp;L'!F$4)</f>
        <v>0</v>
      </c>
      <c r="G18" s="115">
        <f>SUMIFS('Monthly P&amp;L'!$E18:$AN18,'Monthly P&amp;L'!$E$4:$AN$4,"&gt;"&amp;'Annual P&amp;L'!F$4,'Monthly P&amp;L'!$E$4:$AN$4,"&lt;="&amp;'Annual P&amp;L'!G$4)</f>
        <v>0</v>
      </c>
    </row>
    <row r="19" spans="1:7" x14ac:dyDescent="0.25">
      <c r="A19" s="116" t="s">
        <v>121</v>
      </c>
      <c r="E19" s="115">
        <f>SUMIFS('Monthly P&amp;L'!$E19:$AN19,'Monthly P&amp;L'!$E$4:$AN$4,"&gt;"&amp;'Annual P&amp;L'!D$4,'Monthly P&amp;L'!$E$4:$AN$4,"&lt;="&amp;'Annual P&amp;L'!E$4)</f>
        <v>34.200000000000003</v>
      </c>
      <c r="F19" s="115">
        <f>SUMIFS('Monthly P&amp;L'!$E19:$AN19,'Monthly P&amp;L'!$E$4:$AN$4,"&gt;"&amp;'Annual P&amp;L'!E$4,'Monthly P&amp;L'!$E$4:$AN$4,"&lt;="&amp;'Annual P&amp;L'!F$4)</f>
        <v>48.335999999999991</v>
      </c>
      <c r="G19" s="115">
        <f>SUMIFS('Monthly P&amp;L'!$E19:$AN19,'Monthly P&amp;L'!$E$4:$AN$4,"&gt;"&amp;'Annual P&amp;L'!F$4,'Monthly P&amp;L'!$E$4:$AN$4,"&lt;="&amp;'Annual P&amp;L'!G$4)</f>
        <v>52.202880000000022</v>
      </c>
    </row>
    <row r="20" spans="1:7" x14ac:dyDescent="0.25">
      <c r="A20" t="str">
        <f>Assumptions!A52</f>
        <v>Rotalty to brand (% Of Revenue)</v>
      </c>
      <c r="E20" s="115">
        <f>SUMIFS('Monthly P&amp;L'!$E20:$AN20,'Monthly P&amp;L'!$E$4:$AN$4,"&gt;"&amp;'Annual P&amp;L'!D$4,'Monthly P&amp;L'!$E$4:$AN$4,"&lt;="&amp;'Annual P&amp;L'!E$4)</f>
        <v>12.235514059112925</v>
      </c>
      <c r="F20" s="115">
        <f>SUMIFS('Monthly P&amp;L'!$E20:$AN20,'Monthly P&amp;L'!$E$4:$AN$4,"&gt;"&amp;'Annual P&amp;L'!E$4,'Monthly P&amp;L'!$E$4:$AN$4,"&lt;="&amp;'Annual P&amp;L'!F$4)</f>
        <v>22.692536107043018</v>
      </c>
      <c r="G20" s="115">
        <f>SUMIFS('Monthly P&amp;L'!$E20:$AN20,'Monthly P&amp;L'!$E$4:$AN$4,"&gt;"&amp;'Annual P&amp;L'!F$4,'Monthly P&amp;L'!$E$4:$AN$4,"&lt;="&amp;'Annual P&amp;L'!G$4)</f>
        <v>33.097091392666769</v>
      </c>
    </row>
    <row r="21" spans="1:7" x14ac:dyDescent="0.25">
      <c r="A21" t="str">
        <f>Assumptions!A53</f>
        <v>Rent (as per contract) (% of revenue)</v>
      </c>
      <c r="E21" s="115">
        <f>SUMIFS('Monthly P&amp;L'!$E21:$AN21,'Monthly P&amp;L'!$E$4:$AN$4,"&gt;"&amp;'Annual P&amp;L'!D$4,'Monthly P&amp;L'!$E$4:$AN$4,"&lt;="&amp;'Annual P&amp;L'!E$4)</f>
        <v>24.471028118225849</v>
      </c>
      <c r="F21" s="115">
        <f>SUMIFS('Monthly P&amp;L'!$E21:$AN21,'Monthly P&amp;L'!$E$4:$AN$4,"&gt;"&amp;'Annual P&amp;L'!E$4,'Monthly P&amp;L'!$E$4:$AN$4,"&lt;="&amp;'Annual P&amp;L'!F$4)</f>
        <v>45.385072214086037</v>
      </c>
      <c r="G21" s="115">
        <f>SUMIFS('Monthly P&amp;L'!$E21:$AN21,'Monthly P&amp;L'!$E$4:$AN$4,"&gt;"&amp;'Annual P&amp;L'!F$4,'Monthly P&amp;L'!$E$4:$AN$4,"&lt;="&amp;'Annual P&amp;L'!G$4)</f>
        <v>66.194182785333538</v>
      </c>
    </row>
    <row r="22" spans="1:7" x14ac:dyDescent="0.25">
      <c r="A22" t="str">
        <f>Assumptions!A54</f>
        <v>Water Cost (per month)</v>
      </c>
      <c r="E22" s="115">
        <f>SUMIFS('Monthly P&amp;L'!$E22:$AN22,'Monthly P&amp;L'!$E$4:$AN$4,"&gt;"&amp;'Annual P&amp;L'!D$4,'Monthly P&amp;L'!$E$4:$AN$4,"&lt;="&amp;'Annual P&amp;L'!E$4)</f>
        <v>0.89999999999999991</v>
      </c>
      <c r="F22" s="115">
        <f>SUMIFS('Monthly P&amp;L'!$E22:$AN22,'Monthly P&amp;L'!$E$4:$AN$4,"&gt;"&amp;'Annual P&amp;L'!E$4,'Monthly P&amp;L'!$E$4:$AN$4,"&lt;="&amp;'Annual P&amp;L'!F$4)</f>
        <v>1.2720000000000002</v>
      </c>
      <c r="G22" s="115">
        <f>SUMIFS('Monthly P&amp;L'!$E22:$AN22,'Monthly P&amp;L'!$E$4:$AN$4,"&gt;"&amp;'Annual P&amp;L'!F$4,'Monthly P&amp;L'!$E$4:$AN$4,"&lt;="&amp;'Annual P&amp;L'!G$4)</f>
        <v>1.3737600000000005</v>
      </c>
    </row>
    <row r="23" spans="1:7" x14ac:dyDescent="0.25">
      <c r="A23" t="str">
        <f>Assumptions!A55</f>
        <v>Maintenance (per month)</v>
      </c>
      <c r="E23" s="115">
        <f>SUMIFS('Monthly P&amp;L'!$E23:$AN23,'Monthly P&amp;L'!$E$4:$AN$4,"&gt;"&amp;'Annual P&amp;L'!D$4,'Monthly P&amp;L'!$E$4:$AN$4,"&lt;="&amp;'Annual P&amp;L'!E$4)</f>
        <v>4.5</v>
      </c>
      <c r="F23" s="115">
        <f>SUMIFS('Monthly P&amp;L'!$E23:$AN23,'Monthly P&amp;L'!$E$4:$AN$4,"&gt;"&amp;'Annual P&amp;L'!E$4,'Monthly P&amp;L'!$E$4:$AN$4,"&lt;="&amp;'Annual P&amp;L'!F$4)</f>
        <v>6.36</v>
      </c>
      <c r="G23" s="115">
        <f>SUMIFS('Monthly P&amp;L'!$E23:$AN23,'Monthly P&amp;L'!$E$4:$AN$4,"&gt;"&amp;'Annual P&amp;L'!F$4,'Monthly P&amp;L'!$E$4:$AN$4,"&lt;="&amp;'Annual P&amp;L'!G$4)</f>
        <v>6.8687999999999994</v>
      </c>
    </row>
    <row r="24" spans="1:7" x14ac:dyDescent="0.25">
      <c r="A24" t="str">
        <f>Assumptions!A56</f>
        <v>Marketing cost (per month)</v>
      </c>
      <c r="E24" s="115">
        <f>SUMIFS('Monthly P&amp;L'!$E24:$AN24,'Monthly P&amp;L'!$E$4:$AN$4,"&gt;"&amp;'Annual P&amp;L'!D$4,'Monthly P&amp;L'!$E$4:$AN$4,"&lt;="&amp;'Annual P&amp;L'!E$4)</f>
        <v>2.25</v>
      </c>
      <c r="F24" s="115">
        <f>SUMIFS('Monthly P&amp;L'!$E24:$AN24,'Monthly P&amp;L'!$E$4:$AN$4,"&gt;"&amp;'Annual P&amp;L'!E$4,'Monthly P&amp;L'!$E$4:$AN$4,"&lt;="&amp;'Annual P&amp;L'!F$4)</f>
        <v>3.18</v>
      </c>
      <c r="G24" s="115">
        <f>SUMIFS('Monthly P&amp;L'!$E24:$AN24,'Monthly P&amp;L'!$E$4:$AN$4,"&gt;"&amp;'Annual P&amp;L'!F$4,'Monthly P&amp;L'!$E$4:$AN$4,"&lt;="&amp;'Annual P&amp;L'!G$4)</f>
        <v>3.4343999999999997</v>
      </c>
    </row>
    <row r="25" spans="1:7" x14ac:dyDescent="0.25">
      <c r="A25" t="str">
        <f>Assumptions!A57</f>
        <v>Electricity (Based on area Rs./sq. Ft.)</v>
      </c>
      <c r="E25" s="115">
        <f>SUMIFS('Monthly P&amp;L'!$E25:$AN25,'Monthly P&amp;L'!$E$4:$AN$4,"&gt;"&amp;'Annual P&amp;L'!D$4,'Monthly P&amp;L'!$E$4:$AN$4,"&lt;="&amp;'Annual P&amp;L'!E$4)</f>
        <v>2.3940000000000001</v>
      </c>
      <c r="F25" s="115">
        <f>SUMIFS('Monthly P&amp;L'!$E25:$AN25,'Monthly P&amp;L'!$E$4:$AN$4,"&gt;"&amp;'Annual P&amp;L'!E$4,'Monthly P&amp;L'!$E$4:$AN$4,"&lt;="&amp;'Annual P&amp;L'!F$4)</f>
        <v>3.3835199999999999</v>
      </c>
      <c r="G25" s="115">
        <f>SUMIFS('Monthly P&amp;L'!$E25:$AN25,'Monthly P&amp;L'!$E$4:$AN$4,"&gt;"&amp;'Annual P&amp;L'!F$4,'Monthly P&amp;L'!$E$4:$AN$4,"&lt;="&amp;'Annual P&amp;L'!G$4)</f>
        <v>3.6542016000000004</v>
      </c>
    </row>
    <row r="26" spans="1:7" x14ac:dyDescent="0.25">
      <c r="A26" t="str">
        <f>Assumptions!A58</f>
        <v>Phone and internet (per month)</v>
      </c>
      <c r="E26" s="115">
        <f>SUMIFS('Monthly P&amp;L'!$E26:$AN26,'Monthly P&amp;L'!$E$4:$AN$4,"&gt;"&amp;'Annual P&amp;L'!D$4,'Monthly P&amp;L'!$E$4:$AN$4,"&lt;="&amp;'Annual P&amp;L'!E$4)</f>
        <v>1.3499999999999999</v>
      </c>
      <c r="F26" s="115">
        <f>SUMIFS('Monthly P&amp;L'!$E26:$AN26,'Monthly P&amp;L'!$E$4:$AN$4,"&gt;"&amp;'Annual P&amp;L'!E$4,'Monthly P&amp;L'!$E$4:$AN$4,"&lt;="&amp;'Annual P&amp;L'!F$4)</f>
        <v>1.9079999999999997</v>
      </c>
      <c r="G26" s="115">
        <f>SUMIFS('Monthly P&amp;L'!$E26:$AN26,'Monthly P&amp;L'!$E$4:$AN$4,"&gt;"&amp;'Annual P&amp;L'!F$4,'Monthly P&amp;L'!$E$4:$AN$4,"&lt;="&amp;'Annual P&amp;L'!G$4)</f>
        <v>2.0606400000000002</v>
      </c>
    </row>
    <row r="27" spans="1:7" x14ac:dyDescent="0.25">
      <c r="A27" t="str">
        <f>Assumptions!A59</f>
        <v>Housekeeping  &amp; Consumables (% of revenue)</v>
      </c>
      <c r="E27" s="115">
        <f>SUMIFS('Monthly P&amp;L'!$E27:$AN27,'Monthly P&amp;L'!$E$4:$AN$4,"&gt;"&amp;'Annual P&amp;L'!D$4,'Monthly P&amp;L'!$E$4:$AN$4,"&lt;="&amp;'Annual P&amp;L'!E$4)</f>
        <v>4.8942056236451696</v>
      </c>
      <c r="F27" s="115">
        <f>SUMIFS('Monthly P&amp;L'!$E27:$AN27,'Monthly P&amp;L'!$E$4:$AN$4,"&gt;"&amp;'Annual P&amp;L'!E$4,'Monthly P&amp;L'!$E$4:$AN$4,"&lt;="&amp;'Annual P&amp;L'!F$4)</f>
        <v>9.077014442817207</v>
      </c>
      <c r="G27" s="115">
        <f>SUMIFS('Monthly P&amp;L'!$E27:$AN27,'Monthly P&amp;L'!$E$4:$AN$4,"&gt;"&amp;'Annual P&amp;L'!F$4,'Monthly P&amp;L'!$E$4:$AN$4,"&lt;="&amp;'Annual P&amp;L'!G$4)</f>
        <v>13.238836557066708</v>
      </c>
    </row>
    <row r="28" spans="1:7" x14ac:dyDescent="0.25">
      <c r="A28" t="str">
        <f>Assumptions!A60</f>
        <v>Payment Settlement Charges (% or revenue)</v>
      </c>
      <c r="E28" s="115">
        <f>SUMIFS('Monthly P&amp;L'!$E28:$AN28,'Monthly P&amp;L'!$E$4:$AN$4,"&gt;"&amp;'Annual P&amp;L'!D$4,'Monthly P&amp;L'!$E$4:$AN$4,"&lt;="&amp;'Annual P&amp;L'!E$4)</f>
        <v>1.8353271088669387</v>
      </c>
      <c r="F28" s="115">
        <f>SUMIFS('Monthly P&amp;L'!$E28:$AN28,'Monthly P&amp;L'!$E$4:$AN$4,"&gt;"&amp;'Annual P&amp;L'!E$4,'Monthly P&amp;L'!$E$4:$AN$4,"&lt;="&amp;'Annual P&amp;L'!F$4)</f>
        <v>3.4038804160564529</v>
      </c>
      <c r="G28" s="115">
        <f>SUMIFS('Monthly P&amp;L'!$E28:$AN28,'Monthly P&amp;L'!$E$4:$AN$4,"&gt;"&amp;'Annual P&amp;L'!F$4,'Monthly P&amp;L'!$E$4:$AN$4,"&lt;="&amp;'Annual P&amp;L'!G$4)</f>
        <v>4.9645637089000152</v>
      </c>
    </row>
    <row r="29" spans="1:7" x14ac:dyDescent="0.25">
      <c r="A29" s="118" t="s">
        <v>122</v>
      </c>
      <c r="B29" s="118"/>
      <c r="C29" s="118"/>
      <c r="D29" s="118"/>
      <c r="E29" s="119">
        <f>SUMIFS('Monthly P&amp;L'!$E29:$AN29,'Monthly P&amp;L'!$E$4:$AN$4,"&gt;"&amp;'Annual P&amp;L'!D$4,'Monthly P&amp;L'!$E$4:$AN$4,"&lt;="&amp;'Annual P&amp;L'!E$4)</f>
        <v>89.030074909850882</v>
      </c>
      <c r="F29" s="119">
        <f>SUMIFS('Monthly P&amp;L'!$E29:$AN29,'Monthly P&amp;L'!$E$4:$AN$4,"&gt;"&amp;'Annual P&amp;L'!E$4,'Monthly P&amp;L'!$E$4:$AN$4,"&lt;="&amp;'Annual P&amp;L'!F$4)</f>
        <v>144.99802318000272</v>
      </c>
      <c r="G29" s="119">
        <f>SUMIFS('Monthly P&amp;L'!$E29:$AN29,'Monthly P&amp;L'!$E$4:$AN$4,"&gt;"&amp;'Annual P&amp;L'!F$4,'Monthly P&amp;L'!$E$4:$AN$4,"&lt;="&amp;'Annual P&amp;L'!G$4)</f>
        <v>187.08935604396703</v>
      </c>
    </row>
    <row r="30" spans="1:7" x14ac:dyDescent="0.25">
      <c r="E30" s="115">
        <f>SUMIFS('Monthly P&amp;L'!$E30:$AN30,'Monthly P&amp;L'!$E$4:$AN$4,"&gt;"&amp;'Annual P&amp;L'!D$4,'Monthly P&amp;L'!$E$4:$AN$4,"&lt;="&amp;'Annual P&amp;L'!E$4)</f>
        <v>0</v>
      </c>
      <c r="F30" s="115">
        <f>SUMIFS('Monthly P&amp;L'!$E30:$AN30,'Monthly P&amp;L'!$E$4:$AN$4,"&gt;"&amp;'Annual P&amp;L'!E$4,'Monthly P&amp;L'!$E$4:$AN$4,"&lt;="&amp;'Annual P&amp;L'!F$4)</f>
        <v>0</v>
      </c>
      <c r="G30" s="115">
        <f>SUMIFS('Monthly P&amp;L'!$E30:$AN30,'Monthly P&amp;L'!$E$4:$AN$4,"&gt;"&amp;'Annual P&amp;L'!F$4,'Monthly P&amp;L'!$E$4:$AN$4,"&lt;="&amp;'Annual P&amp;L'!G$4)</f>
        <v>0</v>
      </c>
    </row>
    <row r="31" spans="1:7" x14ac:dyDescent="0.25">
      <c r="A31" s="118" t="s">
        <v>123</v>
      </c>
      <c r="B31" s="118"/>
      <c r="C31" s="118"/>
      <c r="D31" s="118"/>
      <c r="E31" s="119">
        <f>SUMIFS('Monthly P&amp;L'!$E31:$AN31,'Monthly P&amp;L'!$E$4:$AN$4,"&gt;"&amp;'Annual P&amp;L'!D$4,'Monthly P&amp;L'!$E$4:$AN$4,"&lt;="&amp;'Annual P&amp;L'!E$4)</f>
        <v>-12.818681501196002</v>
      </c>
      <c r="F31" s="119">
        <f>SUMIFS('Monthly P&amp;L'!$E31:$AN31,'Monthly P&amp;L'!$E$4:$AN$4,"&gt;"&amp;'Annual P&amp;L'!E$4,'Monthly P&amp;L'!$E$4:$AN$4,"&lt;="&amp;'Annual P&amp;L'!F$4)</f>
        <v>35.411178031926049</v>
      </c>
      <c r="G31" s="119">
        <f>SUMIFS('Monthly P&amp;L'!$E31:$AN31,'Monthly P&amp;L'!$E$4:$AN$4,"&gt;"&amp;'Annual P&amp;L'!F$4,'Monthly P&amp;L'!$E$4:$AN$4,"&lt;="&amp;'Annual P&amp;L'!G$4)</f>
        <v>123.36720787035178</v>
      </c>
    </row>
    <row r="32" spans="1:7" x14ac:dyDescent="0.25">
      <c r="A32" t="s">
        <v>135</v>
      </c>
      <c r="E32" s="135">
        <f>SUM('Fixed Assets Schedule'!E9,'Fixed Assets Schedule'!E16,'Fixed Assets Schedule'!E23,'Fixed Assets Schedule'!E30)</f>
        <v>17.277534246575343</v>
      </c>
      <c r="F32" s="135">
        <f>SUM('Fixed Assets Schedule'!F9,'Fixed Assets Schedule'!F16,'Fixed Assets Schedule'!F23,'Fixed Assets Schedule'!F30)</f>
        <v>20.923479452054796</v>
      </c>
      <c r="G32" s="135">
        <f>SUM('Fixed Assets Schedule'!G9,'Fixed Assets Schedule'!G16,'Fixed Assets Schedule'!G23,'Fixed Assets Schedule'!G30)</f>
        <v>18.298446575342464</v>
      </c>
    </row>
    <row r="33" spans="1:40" x14ac:dyDescent="0.25">
      <c r="A33" s="116"/>
    </row>
    <row r="34" spans="1:40" x14ac:dyDescent="0.25">
      <c r="A34" s="118" t="s">
        <v>137</v>
      </c>
      <c r="B34" s="118"/>
      <c r="C34" s="118"/>
      <c r="D34" s="118"/>
      <c r="E34" s="120">
        <f>E31-E32</f>
        <v>-30.096215747771346</v>
      </c>
      <c r="F34" s="120">
        <f t="shared" ref="F34:G34" si="0">F31-F32</f>
        <v>14.487698579871253</v>
      </c>
      <c r="G34" s="120">
        <f t="shared" si="0"/>
        <v>105.06876129500931</v>
      </c>
    </row>
    <row r="35" spans="1:40" x14ac:dyDescent="0.25">
      <c r="A35" s="116" t="s">
        <v>138</v>
      </c>
      <c r="E35" s="96">
        <v>0</v>
      </c>
      <c r="F35" s="96">
        <v>0</v>
      </c>
      <c r="G35" s="96">
        <v>0</v>
      </c>
    </row>
    <row r="36" spans="1:40" x14ac:dyDescent="0.25">
      <c r="E36" s="96"/>
      <c r="F36" s="96"/>
      <c r="G36" s="96"/>
    </row>
    <row r="37" spans="1:40" x14ac:dyDescent="0.25">
      <c r="A37" s="118" t="s">
        <v>139</v>
      </c>
      <c r="B37" s="118"/>
      <c r="C37" s="118"/>
      <c r="D37" s="118"/>
      <c r="E37" s="120">
        <f>E34-E35</f>
        <v>-30.096215747771346</v>
      </c>
      <c r="F37" s="120">
        <f t="shared" ref="F37:G37" si="1">F34-F35</f>
        <v>14.487698579871253</v>
      </c>
      <c r="G37" s="120">
        <f t="shared" si="1"/>
        <v>105.06876129500931</v>
      </c>
    </row>
    <row r="38" spans="1:40" x14ac:dyDescent="0.25">
      <c r="A38" t="s">
        <v>140</v>
      </c>
      <c r="E38" s="96">
        <v>0</v>
      </c>
      <c r="F38" s="96">
        <f>F37*Assumptions!G105</f>
        <v>3.6465537325535942</v>
      </c>
      <c r="G38" s="96">
        <f>G37*Assumptions!G105</f>
        <v>26.445807217953842</v>
      </c>
    </row>
    <row r="39" spans="1:40" x14ac:dyDescent="0.25">
      <c r="A39" s="118" t="s">
        <v>141</v>
      </c>
      <c r="B39" s="118"/>
      <c r="C39" s="118"/>
      <c r="D39" s="118"/>
      <c r="E39" s="120">
        <f>E37-E38</f>
        <v>-30.096215747771346</v>
      </c>
      <c r="F39" s="120">
        <f>F37-F38</f>
        <v>10.841144847317659</v>
      </c>
      <c r="G39" s="120">
        <f>G37-G38</f>
        <v>78.622954077055468</v>
      </c>
    </row>
    <row r="40" spans="1:40" x14ac:dyDescent="0.25">
      <c r="A40" t="s">
        <v>142</v>
      </c>
    </row>
    <row r="42" spans="1:40" x14ac:dyDescent="0.25">
      <c r="A42" s="7" t="s">
        <v>143</v>
      </c>
      <c r="B42" s="7"/>
      <c r="C42" s="7"/>
      <c r="D42" s="7"/>
      <c r="E42" s="143">
        <f>E39/E9</f>
        <v>-0.1229871323851567</v>
      </c>
      <c r="F42" s="143">
        <f>F39/F9</f>
        <v>2.3887027867178143E-2</v>
      </c>
      <c r="G42" s="143">
        <f>G39/G9</f>
        <v>0.11877622892033912</v>
      </c>
    </row>
    <row r="45" spans="1:40" s="111" customFormat="1" x14ac:dyDescent="0.25">
      <c r="A45" s="112" t="s">
        <v>115</v>
      </c>
      <c r="B45" s="109"/>
      <c r="C45" s="109"/>
      <c r="D45" s="109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1896-8987-41A6-8116-60463B19EE39}">
  <dimension ref="A1:AN27"/>
  <sheetViews>
    <sheetView topLeftCell="A7" workbookViewId="0">
      <selection activeCell="J15" sqref="J15"/>
    </sheetView>
  </sheetViews>
  <sheetFormatPr defaultRowHeight="15" x14ac:dyDescent="0.25"/>
  <cols>
    <col min="1" max="1" width="42.140625" customWidth="1"/>
    <col min="5" max="7" width="12.28515625" bestFit="1" customWidth="1"/>
  </cols>
  <sheetData>
    <row r="1" spans="1:7" x14ac:dyDescent="0.25">
      <c r="A1" t="s">
        <v>106</v>
      </c>
      <c r="B1" s="92" t="str">
        <f>Converter!C1</f>
        <v xml:space="preserve"> Lakh </v>
      </c>
    </row>
    <row r="3" spans="1:7" x14ac:dyDescent="0.25">
      <c r="E3" s="99">
        <v>1</v>
      </c>
      <c r="F3" s="99">
        <v>2</v>
      </c>
      <c r="G3" s="99">
        <v>3</v>
      </c>
    </row>
    <row r="4" spans="1:7" x14ac:dyDescent="0.25">
      <c r="E4" s="98">
        <f>EOMONTH(Assumptions!G3,11)</f>
        <v>44286</v>
      </c>
      <c r="F4" s="98">
        <f>EOMONTH(E4,12)</f>
        <v>44651</v>
      </c>
      <c r="G4" s="98">
        <f>EOMONTH(F4,12)</f>
        <v>45016</v>
      </c>
    </row>
    <row r="5" spans="1:7" x14ac:dyDescent="0.25">
      <c r="A5" s="7" t="s">
        <v>144</v>
      </c>
      <c r="E5" s="115"/>
      <c r="F5" s="115"/>
      <c r="G5" s="115"/>
    </row>
    <row r="6" spans="1:7" x14ac:dyDescent="0.25">
      <c r="A6" s="7" t="s">
        <v>64</v>
      </c>
      <c r="E6" s="115"/>
      <c r="F6" s="115"/>
      <c r="G6" s="115"/>
    </row>
    <row r="7" spans="1:7" x14ac:dyDescent="0.25">
      <c r="A7" t="str">
        <f>'Annual P&amp;L'!A6</f>
        <v>Alcoholic Beverages</v>
      </c>
      <c r="E7" s="115">
        <f>'Monthly P&amp;L'!P12/31*Assumptions!$G89</f>
        <v>2.7021508554851517</v>
      </c>
      <c r="F7" s="115">
        <f>'Monthly P&amp;L'!AB12/31*Assumptions!$G89</f>
        <v>4.0194709383363767</v>
      </c>
      <c r="G7" s="115">
        <f>'Monthly P&amp;L'!AN12/31*Assumptions!$G89</f>
        <v>5.598392385372903</v>
      </c>
    </row>
    <row r="8" spans="1:7" x14ac:dyDescent="0.25">
      <c r="A8" t="str">
        <f>'Annual P&amp;L'!A7</f>
        <v>Non Alcoholic Beverages</v>
      </c>
      <c r="E8" s="115">
        <f>'Monthly P&amp;L'!P13/31*Assumptions!$G90</f>
        <v>0.74897369137017167</v>
      </c>
      <c r="F8" s="115">
        <f>'Monthly P&amp;L'!AB13/31*Assumptions!$G90</f>
        <v>1.09141317936247</v>
      </c>
      <c r="G8" s="115">
        <f>'Monthly P&amp;L'!AN13/31*Assumptions!$G90</f>
        <v>1.5088850132722849</v>
      </c>
    </row>
    <row r="9" spans="1:7" x14ac:dyDescent="0.25">
      <c r="A9" t="str">
        <f>'Annual P&amp;L'!A8</f>
        <v>Food</v>
      </c>
      <c r="E9" s="115">
        <f>'Monthly P&amp;L'!P14/31*Assumptions!$G91</f>
        <v>0.8964844643622385</v>
      </c>
      <c r="F9" s="115">
        <f>'Monthly P&amp;L'!AB14/31*Assumptions!$G91</f>
        <v>1.2974725590364233</v>
      </c>
      <c r="G9" s="115">
        <f>'Monthly P&amp;L'!AN14/31*Assumptions!$G91</f>
        <v>1.7891675569129366</v>
      </c>
    </row>
    <row r="10" spans="1:7" x14ac:dyDescent="0.25">
      <c r="A10" s="118" t="s">
        <v>54</v>
      </c>
      <c r="B10" s="123"/>
      <c r="C10" s="123"/>
      <c r="D10" s="123"/>
      <c r="E10" s="119">
        <f t="shared" ref="E10:G10" si="0">SUM(E7:E9)</f>
        <v>4.3476090112175623</v>
      </c>
      <c r="F10" s="119">
        <f t="shared" si="0"/>
        <v>6.40835667673527</v>
      </c>
      <c r="G10" s="119">
        <f t="shared" si="0"/>
        <v>8.896444955558124</v>
      </c>
    </row>
    <row r="11" spans="1:7" x14ac:dyDescent="0.25">
      <c r="E11" s="115"/>
      <c r="F11" s="115"/>
      <c r="G11" s="115"/>
    </row>
    <row r="12" spans="1:7" x14ac:dyDescent="0.25">
      <c r="A12" s="7" t="s">
        <v>145</v>
      </c>
      <c r="E12" s="115"/>
      <c r="F12" s="115"/>
      <c r="G12" s="115"/>
    </row>
    <row r="13" spans="1:7" x14ac:dyDescent="0.25">
      <c r="A13" t="s">
        <v>146</v>
      </c>
      <c r="E13" s="115">
        <f>SUMIF('Monthly P&amp;L'!$E$4:$AN$4,'Working Capital'!E$4,'Monthly P&amp;L'!$E29:$AN29)*Assumptions!$G$93/30</f>
        <v>10.457530855020687</v>
      </c>
      <c r="F13" s="115">
        <f>SUMIF('Monthly P&amp;L'!$E$4:$AN$4,'Working Capital'!F$4,'Monthly P&amp;L'!$E29:$AN29)*Assumptions!$G$93/30</f>
        <v>13.338152849038556</v>
      </c>
      <c r="G13" s="115">
        <f>SUMIF('Monthly P&amp;L'!$E$4:$AN$4,'Working Capital'!G$4,'Monthly P&amp;L'!$E29:$AN29)*Assumptions!$G$93/30</f>
        <v>16.789842885579738</v>
      </c>
    </row>
    <row r="14" spans="1:7" x14ac:dyDescent="0.25">
      <c r="A14" s="116" t="s">
        <v>147</v>
      </c>
      <c r="E14" s="115"/>
      <c r="F14" s="115"/>
      <c r="G14" s="115"/>
    </row>
    <row r="15" spans="1:7" x14ac:dyDescent="0.25">
      <c r="A15" t="str">
        <f>Assumptions!A89</f>
        <v>Alcoholic Beverages</v>
      </c>
      <c r="E15" s="115">
        <f>SUMIF('Monthly P&amp;L'!$E$4:$AN$4,'Working Capital'!E$4,'Monthly P&amp;L'!$E12:$AN12)/30*Assumptions!$G$92</f>
        <v>2.7922225506679901</v>
      </c>
      <c r="F15" s="115">
        <f>SUMIF('Monthly P&amp;L'!$E$4:$AN$4,'Working Capital'!F$4,'Monthly P&amp;L'!$E12:$AN12)/30*Assumptions!$G$92</f>
        <v>4.1534533029475886</v>
      </c>
      <c r="G15" s="115">
        <f>SUMIF('Monthly P&amp;L'!$E$4:$AN$4,'Working Capital'!G$4,'Monthly P&amp;L'!$E12:$AN12)/30*Assumptions!$G$92</f>
        <v>5.7850054648853328</v>
      </c>
    </row>
    <row r="16" spans="1:7" x14ac:dyDescent="0.25">
      <c r="A16" t="str">
        <f>Assumptions!A90</f>
        <v>Non-Alcoholic Beverages</v>
      </c>
      <c r="E16" s="115">
        <f>SUMIF('Monthly P&amp;L'!$E$4:$AN$4,'Working Capital'!E$4,'Monthly P&amp;L'!$E13:$AN13)/30*Assumptions!$G$92</f>
        <v>1.5478789621650213</v>
      </c>
      <c r="F16" s="115">
        <f>SUMIF('Monthly P&amp;L'!$E$4:$AN$4,'Working Capital'!F$4,'Monthly P&amp;L'!$E13:$AN13)/30*Assumptions!$G$92</f>
        <v>2.2555872373491046</v>
      </c>
      <c r="G16" s="115">
        <f>SUMIF('Monthly P&amp;L'!$E$4:$AN$4,'Working Capital'!G$4,'Monthly P&amp;L'!$E13:$AN13)/30*Assumptions!$G$92</f>
        <v>3.1183623607627218</v>
      </c>
    </row>
    <row r="17" spans="1:40" x14ac:dyDescent="0.25">
      <c r="A17" t="str">
        <f>Assumptions!A91</f>
        <v>Food</v>
      </c>
      <c r="E17" s="115">
        <f>SUMIF('Monthly P&amp;L'!$E$4:$AN$4,'Working Capital'!E$4,'Monthly P&amp;L'!$E14:$AN14)/30*Assumptions!$G$92</f>
        <v>5.5582036790458789</v>
      </c>
      <c r="F17" s="115">
        <f>SUMIF('Monthly P&amp;L'!$E$4:$AN$4,'Working Capital'!F$4,'Monthly P&amp;L'!$E14:$AN14)/30*Assumptions!$G$92</f>
        <v>8.0443298660258247</v>
      </c>
      <c r="G17" s="115">
        <f>SUMIF('Monthly P&amp;L'!$E$4:$AN$4,'Working Capital'!G$4,'Monthly P&amp;L'!$E14:$AN14)/30*Assumptions!$G$92</f>
        <v>11.092838852860208</v>
      </c>
    </row>
    <row r="18" spans="1:40" ht="15.75" thickBot="1" x14ac:dyDescent="0.3">
      <c r="A18" s="193" t="s">
        <v>54</v>
      </c>
      <c r="B18" s="195"/>
      <c r="C18" s="195"/>
      <c r="D18" s="195"/>
      <c r="E18" s="194">
        <f>SUM(E13:E17)</f>
        <v>20.355836046899576</v>
      </c>
      <c r="F18" s="194">
        <f t="shared" ref="F18:G18" si="1">SUM(F13:F17)</f>
        <v>27.791523255361071</v>
      </c>
      <c r="G18" s="194">
        <f t="shared" si="1"/>
        <v>36.786049564088003</v>
      </c>
    </row>
    <row r="19" spans="1:40" ht="15.75" thickTop="1" x14ac:dyDescent="0.25">
      <c r="E19" s="115"/>
      <c r="F19" s="115"/>
      <c r="G19" s="115"/>
    </row>
    <row r="20" spans="1:40" x14ac:dyDescent="0.25">
      <c r="A20" t="s">
        <v>148</v>
      </c>
      <c r="E20" s="115">
        <f>E10-E18</f>
        <v>-16.008227035682012</v>
      </c>
      <c r="F20" s="115">
        <f t="shared" ref="F20:G20" si="2">F10-F18</f>
        <v>-21.383166578625801</v>
      </c>
      <c r="G20" s="115">
        <f t="shared" si="2"/>
        <v>-27.889604608529879</v>
      </c>
    </row>
    <row r="21" spans="1:40" x14ac:dyDescent="0.25">
      <c r="A21" t="s">
        <v>149</v>
      </c>
      <c r="E21" s="115">
        <f>-(E20-D20)</f>
        <v>16.008227035682012</v>
      </c>
      <c r="F21" s="115">
        <f t="shared" ref="F21:G21" si="3">-(F20-E20)</f>
        <v>5.374939542943789</v>
      </c>
      <c r="G21" s="115">
        <f t="shared" si="3"/>
        <v>6.5064380299040785</v>
      </c>
    </row>
    <row r="22" spans="1:40" x14ac:dyDescent="0.25">
      <c r="E22" s="115"/>
      <c r="F22" s="115"/>
      <c r="G22" s="115"/>
    </row>
    <row r="23" spans="1:40" x14ac:dyDescent="0.25">
      <c r="E23" s="96"/>
      <c r="F23" s="96"/>
      <c r="G23" s="96"/>
    </row>
    <row r="24" spans="1:40" s="111" customFormat="1" x14ac:dyDescent="0.25">
      <c r="A24" s="112" t="s">
        <v>115</v>
      </c>
      <c r="B24" s="109"/>
      <c r="C24" s="109"/>
      <c r="D24" s="109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</row>
    <row r="25" spans="1:40" x14ac:dyDescent="0.25">
      <c r="E25" s="96"/>
      <c r="F25" s="96"/>
      <c r="G25" s="96"/>
    </row>
    <row r="26" spans="1:40" x14ac:dyDescent="0.25">
      <c r="E26" s="96"/>
      <c r="F26" s="96"/>
      <c r="G26" s="96"/>
    </row>
    <row r="27" spans="1:40" x14ac:dyDescent="0.25">
      <c r="E27" s="96"/>
      <c r="F27" s="96"/>
      <c r="G27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3FE0-1717-4615-92D3-D76826EF11F0}">
  <dimension ref="A1:G39"/>
  <sheetViews>
    <sheetView tabSelected="1" workbookViewId="0">
      <selection activeCell="K22" sqref="K22"/>
    </sheetView>
  </sheetViews>
  <sheetFormatPr defaultRowHeight="15" x14ac:dyDescent="0.25"/>
  <cols>
    <col min="1" max="1" width="42.140625" customWidth="1"/>
    <col min="5" max="7" width="12.5703125" bestFit="1" customWidth="1"/>
  </cols>
  <sheetData>
    <row r="1" spans="1:7" x14ac:dyDescent="0.25">
      <c r="A1" t="s">
        <v>106</v>
      </c>
      <c r="B1" s="92" t="str">
        <f>Converter!C1</f>
        <v xml:space="preserve"> Lakh </v>
      </c>
    </row>
    <row r="3" spans="1:7" x14ac:dyDescent="0.25">
      <c r="E3" s="99">
        <v>1</v>
      </c>
      <c r="F3" s="99">
        <v>2</v>
      </c>
      <c r="G3" s="99">
        <v>3</v>
      </c>
    </row>
    <row r="4" spans="1:7" x14ac:dyDescent="0.25">
      <c r="E4" s="98">
        <f>EOMONTH(Assumptions!G3,11)</f>
        <v>44286</v>
      </c>
      <c r="F4" s="98">
        <f>EOMONTH(E4,12)</f>
        <v>44651</v>
      </c>
      <c r="G4" s="98">
        <f>EOMONTH(F4,12)</f>
        <v>45016</v>
      </c>
    </row>
    <row r="5" spans="1:7" x14ac:dyDescent="0.25">
      <c r="A5" s="141" t="s">
        <v>165</v>
      </c>
      <c r="E5" s="115"/>
      <c r="F5" s="115"/>
      <c r="G5" s="115"/>
    </row>
    <row r="6" spans="1:7" x14ac:dyDescent="0.25">
      <c r="A6" s="141"/>
      <c r="E6" s="115"/>
      <c r="F6" s="115"/>
      <c r="G6" s="115"/>
    </row>
    <row r="7" spans="1:7" x14ac:dyDescent="0.25">
      <c r="A7" t="s">
        <v>166</v>
      </c>
      <c r="E7" s="115">
        <f>'Capital Structure'!C17</f>
        <v>225</v>
      </c>
      <c r="F7" s="115">
        <f>'Capital Structure'!C17</f>
        <v>225</v>
      </c>
      <c r="G7" s="115">
        <f>'Capital Structure'!C17</f>
        <v>225</v>
      </c>
    </row>
    <row r="8" spans="1:7" x14ac:dyDescent="0.25">
      <c r="A8" t="s">
        <v>167</v>
      </c>
      <c r="E8" s="115">
        <f>D8+'Annual P&amp;L'!E39</f>
        <v>-30.096215747771346</v>
      </c>
      <c r="F8" s="115">
        <f>E8+'Annual P&amp;L'!F39</f>
        <v>-19.255070900453688</v>
      </c>
      <c r="G8" s="115">
        <f>F8+'Annual P&amp;L'!G39</f>
        <v>59.367883176601779</v>
      </c>
    </row>
    <row r="9" spans="1:7" x14ac:dyDescent="0.25">
      <c r="A9" s="134" t="s">
        <v>168</v>
      </c>
      <c r="B9" s="134"/>
      <c r="C9" s="134"/>
      <c r="D9" s="134"/>
      <c r="E9" s="145">
        <f>SUM(E7:E8)</f>
        <v>194.90378425222866</v>
      </c>
      <c r="F9" s="145">
        <f>SUM(F7:F8)</f>
        <v>205.74492909954631</v>
      </c>
      <c r="G9" s="145">
        <f>SUM(G7:G8)</f>
        <v>284.36788317660177</v>
      </c>
    </row>
    <row r="10" spans="1:7" x14ac:dyDescent="0.25">
      <c r="E10" s="115"/>
      <c r="F10" s="115"/>
      <c r="G10" s="115"/>
    </row>
    <row r="11" spans="1:7" x14ac:dyDescent="0.25">
      <c r="A11" s="7" t="s">
        <v>145</v>
      </c>
      <c r="E11" s="115"/>
      <c r="F11" s="115"/>
      <c r="G11" s="115"/>
    </row>
    <row r="12" spans="1:7" x14ac:dyDescent="0.25">
      <c r="A12" t="s">
        <v>146</v>
      </c>
      <c r="E12" s="115">
        <f>'Working Capital'!E13</f>
        <v>10.457530855020687</v>
      </c>
      <c r="F12" s="115">
        <f>'Working Capital'!F13</f>
        <v>13.338152849038556</v>
      </c>
      <c r="G12" s="115">
        <f>'Working Capital'!G13</f>
        <v>16.789842885579738</v>
      </c>
    </row>
    <row r="13" spans="1:7" x14ac:dyDescent="0.25">
      <c r="A13" s="116" t="s">
        <v>147</v>
      </c>
      <c r="E13" s="115"/>
      <c r="F13" s="115"/>
      <c r="G13" s="115"/>
    </row>
    <row r="14" spans="1:7" x14ac:dyDescent="0.25">
      <c r="A14" t="str">
        <f>Assumptions!A89</f>
        <v>Alcoholic Beverages</v>
      </c>
      <c r="E14" s="115">
        <f>'Working Capital'!E15</f>
        <v>2.7922225506679901</v>
      </c>
      <c r="F14" s="115">
        <f>'Working Capital'!F15</f>
        <v>4.1534533029475886</v>
      </c>
      <c r="G14" s="115">
        <f>'Working Capital'!G15</f>
        <v>5.7850054648853328</v>
      </c>
    </row>
    <row r="15" spans="1:7" x14ac:dyDescent="0.25">
      <c r="A15" t="str">
        <f>Assumptions!A90</f>
        <v>Non-Alcoholic Beverages</v>
      </c>
      <c r="E15" s="115">
        <f>'Working Capital'!E16</f>
        <v>1.5478789621650213</v>
      </c>
      <c r="F15" s="115">
        <f>'Working Capital'!F16</f>
        <v>2.2555872373491046</v>
      </c>
      <c r="G15" s="115">
        <f>'Working Capital'!G16</f>
        <v>3.1183623607627218</v>
      </c>
    </row>
    <row r="16" spans="1:7" x14ac:dyDescent="0.25">
      <c r="A16" t="s">
        <v>8</v>
      </c>
      <c r="E16" s="115">
        <f>'Working Capital'!E17</f>
        <v>5.5582036790458789</v>
      </c>
      <c r="F16" s="115">
        <f>'Working Capital'!F17</f>
        <v>8.0443298660258247</v>
      </c>
      <c r="G16" s="115">
        <f>'Working Capital'!G17</f>
        <v>11.092838852860208</v>
      </c>
    </row>
    <row r="17" spans="1:7" x14ac:dyDescent="0.25">
      <c r="E17" s="115"/>
      <c r="F17" s="115"/>
      <c r="G17" s="115"/>
    </row>
    <row r="18" spans="1:7" x14ac:dyDescent="0.25">
      <c r="A18" s="7" t="s">
        <v>169</v>
      </c>
      <c r="B18" s="7"/>
      <c r="C18" s="7"/>
      <c r="D18" s="7"/>
      <c r="E18" s="127">
        <f>SUM(E12:E17)</f>
        <v>20.355836046899576</v>
      </c>
      <c r="F18" s="127">
        <f t="shared" ref="F18:G18" si="0">SUM(F12:F17)</f>
        <v>27.791523255361071</v>
      </c>
      <c r="G18" s="127">
        <f t="shared" si="0"/>
        <v>36.786049564088003</v>
      </c>
    </row>
    <row r="19" spans="1:7" x14ac:dyDescent="0.25">
      <c r="E19" s="115"/>
      <c r="F19" s="115"/>
      <c r="G19" s="115"/>
    </row>
    <row r="20" spans="1:7" x14ac:dyDescent="0.25">
      <c r="A20" s="118" t="s">
        <v>170</v>
      </c>
      <c r="B20" s="118"/>
      <c r="C20" s="118"/>
      <c r="D20" s="118"/>
      <c r="E20" s="119">
        <f>E9+E18</f>
        <v>215.25962029912824</v>
      </c>
      <c r="F20" s="119">
        <f t="shared" ref="F20:G20" si="1">F9+F18</f>
        <v>233.5364523549074</v>
      </c>
      <c r="G20" s="119">
        <f t="shared" si="1"/>
        <v>321.15393274068975</v>
      </c>
    </row>
    <row r="21" spans="1:7" x14ac:dyDescent="0.25">
      <c r="E21" s="115"/>
      <c r="F21" s="115"/>
      <c r="G21" s="115"/>
    </row>
    <row r="22" spans="1:7" x14ac:dyDescent="0.25">
      <c r="A22" s="7" t="s">
        <v>171</v>
      </c>
      <c r="E22" s="115"/>
      <c r="F22" s="115"/>
      <c r="G22" s="115"/>
    </row>
    <row r="23" spans="1:7" x14ac:dyDescent="0.25">
      <c r="A23" s="7" t="s">
        <v>125</v>
      </c>
      <c r="E23" s="115"/>
      <c r="F23" s="115"/>
      <c r="G23" s="115"/>
    </row>
    <row r="24" spans="1:7" x14ac:dyDescent="0.25">
      <c r="A24" t="str">
        <f>'Capital Structure'!A6</f>
        <v>Kitchen Equipments and cutlery</v>
      </c>
      <c r="E24" s="115">
        <f>'Fixed Assets Schedule'!E10</f>
        <v>26.634246575342466</v>
      </c>
      <c r="F24" s="115">
        <f>'Fixed Assets Schedule'!F10</f>
        <v>22.639109589041094</v>
      </c>
      <c r="G24" s="115">
        <f>'Fixed Assets Schedule'!G10</f>
        <v>19.243243150684933</v>
      </c>
    </row>
    <row r="25" spans="1:7" x14ac:dyDescent="0.25">
      <c r="A25" t="str">
        <f>'Capital Structure'!A7</f>
        <v>Refrigeration Equipments</v>
      </c>
      <c r="E25" s="115">
        <f>'Fixed Assets Schedule'!E17</f>
        <v>44.390410958904113</v>
      </c>
      <c r="F25" s="115">
        <f>'Fixed Assets Schedule'!F17</f>
        <v>37.731849315068494</v>
      </c>
      <c r="G25" s="115">
        <f>'Fixed Assets Schedule'!G17</f>
        <v>32.072071917808223</v>
      </c>
    </row>
    <row r="26" spans="1:7" x14ac:dyDescent="0.25">
      <c r="A26" t="str">
        <f>'Capital Structure'!A8</f>
        <v>Furniture &amp; Fixtures</v>
      </c>
      <c r="E26" s="115">
        <f>'Fixed Assets Schedule'!E24</f>
        <v>47.185479452054793</v>
      </c>
      <c r="F26" s="115">
        <f>'Fixed Assets Schedule'!F24</f>
        <v>42.466931506849313</v>
      </c>
      <c r="G26" s="115">
        <f>'Fixed Assets Schedule'!G24</f>
        <v>38.22023835616438</v>
      </c>
    </row>
    <row r="27" spans="1:7" x14ac:dyDescent="0.25">
      <c r="A27" t="str">
        <f>'Capital Structure'!A9</f>
        <v>Restaurants Décor</v>
      </c>
      <c r="E27" s="115">
        <f>'Fixed Assets Schedule'!E31</f>
        <v>55.512328767123286</v>
      </c>
      <c r="F27" s="115">
        <f>'Fixed Assets Schedule'!F31</f>
        <v>49.961095890410959</v>
      </c>
      <c r="G27" s="115">
        <f>'Fixed Assets Schedule'!G31</f>
        <v>44.964986301369862</v>
      </c>
    </row>
    <row r="28" spans="1:7" x14ac:dyDescent="0.25">
      <c r="E28" s="115"/>
      <c r="F28" s="115"/>
      <c r="G28" s="115"/>
    </row>
    <row r="29" spans="1:7" x14ac:dyDescent="0.25">
      <c r="A29" t="s">
        <v>172</v>
      </c>
      <c r="E29" s="115">
        <f>'Capital Structure'!C11</f>
        <v>10</v>
      </c>
      <c r="F29" s="115">
        <f>E29</f>
        <v>10</v>
      </c>
      <c r="G29" s="115">
        <f>F29</f>
        <v>10</v>
      </c>
    </row>
    <row r="30" spans="1:7" x14ac:dyDescent="0.25">
      <c r="E30" s="115"/>
      <c r="F30" s="115"/>
      <c r="G30" s="115"/>
    </row>
    <row r="31" spans="1:7" x14ac:dyDescent="0.25">
      <c r="A31" s="7" t="s">
        <v>144</v>
      </c>
      <c r="E31" s="115"/>
      <c r="F31" s="115"/>
      <c r="G31" s="115"/>
    </row>
    <row r="32" spans="1:7" x14ac:dyDescent="0.25">
      <c r="A32" t="str">
        <f>'Working Capital'!A6</f>
        <v>Inventory</v>
      </c>
    </row>
    <row r="33" spans="1:7" x14ac:dyDescent="0.25">
      <c r="A33" t="str">
        <f>'Working Capital'!A7</f>
        <v>Alcoholic Beverages</v>
      </c>
      <c r="E33" s="115">
        <f>'Working Capital'!E7</f>
        <v>2.7021508554851517</v>
      </c>
      <c r="F33" s="115">
        <f>'Working Capital'!F7</f>
        <v>4.0194709383363767</v>
      </c>
      <c r="G33" s="115">
        <f>'Working Capital'!G7</f>
        <v>5.598392385372903</v>
      </c>
    </row>
    <row r="34" spans="1:7" x14ac:dyDescent="0.25">
      <c r="A34" t="str">
        <f>'Working Capital'!A8</f>
        <v>Non Alcoholic Beverages</v>
      </c>
      <c r="E34" s="115">
        <f>'Working Capital'!E8</f>
        <v>0.74897369137017167</v>
      </c>
      <c r="F34" s="115">
        <f>'Working Capital'!F8</f>
        <v>1.09141317936247</v>
      </c>
      <c r="G34" s="115">
        <f>'Working Capital'!G8</f>
        <v>1.5088850132722849</v>
      </c>
    </row>
    <row r="35" spans="1:7" x14ac:dyDescent="0.25">
      <c r="A35" t="str">
        <f>'Working Capital'!A9</f>
        <v>Food</v>
      </c>
      <c r="E35" s="115">
        <f>'Working Capital'!E9</f>
        <v>0.8964844643622385</v>
      </c>
      <c r="F35" s="115">
        <f>'Working Capital'!F9</f>
        <v>1.2974725590364233</v>
      </c>
      <c r="G35" s="115">
        <f>'Working Capital'!G9</f>
        <v>1.7891675569129366</v>
      </c>
    </row>
    <row r="36" spans="1:7" x14ac:dyDescent="0.25">
      <c r="A36" t="s">
        <v>173</v>
      </c>
      <c r="E36" s="115">
        <f>'Cashflow Statement'!E23</f>
        <v>27.189545534486001</v>
      </c>
      <c r="F36" s="115">
        <f>'Cashflow Statement'!F23</f>
        <v>64.329109376802251</v>
      </c>
      <c r="G36" s="115">
        <f>'Cashflow Statement'!G23</f>
        <v>167.75694805910427</v>
      </c>
    </row>
    <row r="37" spans="1:7" x14ac:dyDescent="0.25">
      <c r="E37" s="115"/>
      <c r="F37" s="115"/>
      <c r="G37" s="115"/>
    </row>
    <row r="38" spans="1:7" x14ac:dyDescent="0.25">
      <c r="A38" s="118" t="s">
        <v>174</v>
      </c>
      <c r="B38" s="118"/>
      <c r="C38" s="118"/>
      <c r="D38" s="118"/>
      <c r="E38" s="119">
        <f>SUM(E24:E37)</f>
        <v>215.25962029912822</v>
      </c>
      <c r="F38" s="119">
        <f t="shared" ref="F38:G38" si="2">SUM(F24:F37)</f>
        <v>233.53645235490737</v>
      </c>
      <c r="G38" s="119">
        <f t="shared" si="2"/>
        <v>321.15393274068981</v>
      </c>
    </row>
    <row r="39" spans="1:7" x14ac:dyDescent="0.25">
      <c r="E39" s="96"/>
      <c r="F39" s="96"/>
      <c r="G39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BAE7-5366-4730-83BF-D2DC5930D1E0}">
  <dimension ref="A1:AN33"/>
  <sheetViews>
    <sheetView workbookViewId="0">
      <selection activeCell="M19" sqref="M19"/>
    </sheetView>
  </sheetViews>
  <sheetFormatPr defaultRowHeight="15" x14ac:dyDescent="0.25"/>
  <cols>
    <col min="1" max="1" width="42.140625" customWidth="1"/>
    <col min="5" max="5" width="13.42578125" bestFit="1" customWidth="1"/>
    <col min="6" max="6" width="11.5703125" bestFit="1" customWidth="1"/>
    <col min="7" max="7" width="12.5703125" bestFit="1" customWidth="1"/>
  </cols>
  <sheetData>
    <row r="1" spans="1:7" x14ac:dyDescent="0.25">
      <c r="A1" t="s">
        <v>106</v>
      </c>
      <c r="B1" s="92" t="str">
        <f>Converter!C1</f>
        <v xml:space="preserve"> Lakh </v>
      </c>
    </row>
    <row r="3" spans="1:7" x14ac:dyDescent="0.25">
      <c r="E3" s="99">
        <v>1</v>
      </c>
      <c r="F3" s="99">
        <v>2</v>
      </c>
      <c r="G3" s="99">
        <v>3</v>
      </c>
    </row>
    <row r="4" spans="1:7" x14ac:dyDescent="0.25">
      <c r="E4" s="98">
        <f>EOMONTH(Assumptions!G3,11)</f>
        <v>44286</v>
      </c>
      <c r="F4" s="98">
        <f>EOMONTH(E4,12)</f>
        <v>44651</v>
      </c>
      <c r="G4" s="98">
        <f>EOMONTH(F4,12)</f>
        <v>45016</v>
      </c>
    </row>
    <row r="5" spans="1:7" x14ac:dyDescent="0.25">
      <c r="A5" s="141" t="s">
        <v>150</v>
      </c>
      <c r="E5" s="115"/>
      <c r="F5" s="115"/>
      <c r="G5" s="115"/>
    </row>
    <row r="6" spans="1:7" x14ac:dyDescent="0.25">
      <c r="A6" t="s">
        <v>141</v>
      </c>
      <c r="E6" s="115">
        <f>'Annual P&amp;L'!E39</f>
        <v>-30.096215747771346</v>
      </c>
      <c r="F6" s="115">
        <f>'Annual P&amp;L'!F39</f>
        <v>10.841144847317659</v>
      </c>
      <c r="G6" s="115">
        <f>'Annual P&amp;L'!G39</f>
        <v>78.622954077055468</v>
      </c>
    </row>
    <row r="7" spans="1:7" x14ac:dyDescent="0.25">
      <c r="A7" t="s">
        <v>151</v>
      </c>
      <c r="E7" s="115">
        <f>'Annual P&amp;L'!E32</f>
        <v>17.277534246575343</v>
      </c>
      <c r="F7" s="115">
        <f>'Annual P&amp;L'!F32</f>
        <v>20.923479452054796</v>
      </c>
      <c r="G7" s="115">
        <f>'Annual P&amp;L'!G32</f>
        <v>18.298446575342464</v>
      </c>
    </row>
    <row r="8" spans="1:7" x14ac:dyDescent="0.25">
      <c r="A8" s="7" t="s">
        <v>152</v>
      </c>
      <c r="B8" s="7"/>
      <c r="C8" s="7"/>
      <c r="D8" s="7"/>
      <c r="E8" s="127">
        <f>SUM(E6:E7)</f>
        <v>-12.818681501196004</v>
      </c>
      <c r="F8" s="127">
        <f t="shared" ref="F8:G8" si="0">SUM(F6:F7)</f>
        <v>31.764624299372457</v>
      </c>
      <c r="G8" s="127">
        <f t="shared" si="0"/>
        <v>96.921400652397935</v>
      </c>
    </row>
    <row r="9" spans="1:7" x14ac:dyDescent="0.25">
      <c r="A9" t="s">
        <v>153</v>
      </c>
      <c r="E9" s="115">
        <f>'Working Capital'!E21</f>
        <v>16.008227035682012</v>
      </c>
      <c r="F9" s="115">
        <f>'Working Capital'!F21</f>
        <v>5.374939542943789</v>
      </c>
      <c r="G9" s="115">
        <f>'Working Capital'!G21</f>
        <v>6.5064380299040785</v>
      </c>
    </row>
    <row r="10" spans="1:7" x14ac:dyDescent="0.25">
      <c r="A10" s="134" t="s">
        <v>154</v>
      </c>
      <c r="B10" s="134"/>
      <c r="C10" s="134"/>
      <c r="D10" s="134"/>
      <c r="E10" s="145">
        <f>E8+E9</f>
        <v>3.1895455344860082</v>
      </c>
      <c r="F10" s="145">
        <f t="shared" ref="F10:G10" si="1">F8+F9</f>
        <v>37.13956384231625</v>
      </c>
      <c r="G10" s="145">
        <f t="shared" si="1"/>
        <v>103.42783868230201</v>
      </c>
    </row>
    <row r="11" spans="1:7" x14ac:dyDescent="0.25">
      <c r="E11" s="115"/>
      <c r="F11" s="115"/>
      <c r="G11" s="115"/>
    </row>
    <row r="12" spans="1:7" x14ac:dyDescent="0.25">
      <c r="A12" s="146" t="s">
        <v>155</v>
      </c>
      <c r="E12" s="115"/>
      <c r="F12" s="115"/>
      <c r="G12" s="115"/>
    </row>
    <row r="13" spans="1:7" x14ac:dyDescent="0.25">
      <c r="A13" t="s">
        <v>156</v>
      </c>
      <c r="E13" s="115">
        <f>-('Capital Structure'!C10)</f>
        <v>-191</v>
      </c>
      <c r="F13" s="115">
        <v>0</v>
      </c>
      <c r="G13" s="115">
        <v>0</v>
      </c>
    </row>
    <row r="14" spans="1:7" x14ac:dyDescent="0.25">
      <c r="A14" t="s">
        <v>157</v>
      </c>
      <c r="E14" s="115">
        <f>-('Capital Structure'!C11)</f>
        <v>-10</v>
      </c>
      <c r="F14" s="115">
        <v>0</v>
      </c>
      <c r="G14" s="115">
        <v>0</v>
      </c>
    </row>
    <row r="15" spans="1:7" x14ac:dyDescent="0.25">
      <c r="A15" s="134" t="s">
        <v>160</v>
      </c>
      <c r="B15" s="144"/>
      <c r="C15" s="144"/>
      <c r="D15" s="144"/>
      <c r="E15" s="145">
        <f>SUM(E13:E14)</f>
        <v>-201</v>
      </c>
      <c r="F15" s="145">
        <v>0</v>
      </c>
      <c r="G15" s="145">
        <v>0</v>
      </c>
    </row>
    <row r="16" spans="1:7" x14ac:dyDescent="0.25">
      <c r="E16" s="115"/>
      <c r="F16" s="115"/>
      <c r="G16" s="115"/>
    </row>
    <row r="17" spans="1:40" x14ac:dyDescent="0.25">
      <c r="A17" s="146" t="s">
        <v>158</v>
      </c>
      <c r="E17" s="115"/>
      <c r="F17" s="115"/>
      <c r="G17" s="115"/>
    </row>
    <row r="18" spans="1:40" x14ac:dyDescent="0.25">
      <c r="A18" t="s">
        <v>159</v>
      </c>
      <c r="E18" s="115">
        <f>'Capital Structure'!C17</f>
        <v>225</v>
      </c>
      <c r="F18" s="115">
        <v>0</v>
      </c>
      <c r="G18" s="115">
        <v>0</v>
      </c>
    </row>
    <row r="19" spans="1:40" x14ac:dyDescent="0.25">
      <c r="A19" s="134" t="s">
        <v>161</v>
      </c>
      <c r="B19" s="134"/>
      <c r="C19" s="134"/>
      <c r="D19" s="134"/>
      <c r="E19" s="145">
        <f>SUM(E18)</f>
        <v>225</v>
      </c>
      <c r="F19" s="145">
        <f>SUM(F18)</f>
        <v>0</v>
      </c>
      <c r="G19" s="145">
        <f>SUM(G18)</f>
        <v>0</v>
      </c>
    </row>
    <row r="20" spans="1:40" x14ac:dyDescent="0.25">
      <c r="E20" s="115"/>
      <c r="F20" s="115"/>
      <c r="G20" s="115"/>
    </row>
    <row r="21" spans="1:40" x14ac:dyDescent="0.25">
      <c r="A21" t="s">
        <v>162</v>
      </c>
      <c r="E21" s="115">
        <f>E10+E15+E19</f>
        <v>27.189545534486001</v>
      </c>
      <c r="F21" s="115">
        <f>F10+F15+F19</f>
        <v>37.13956384231625</v>
      </c>
      <c r="G21" s="115">
        <f>G10+G15+G19</f>
        <v>103.42783868230201</v>
      </c>
    </row>
    <row r="22" spans="1:40" x14ac:dyDescent="0.25">
      <c r="A22" t="s">
        <v>163</v>
      </c>
      <c r="E22" s="115">
        <v>0</v>
      </c>
      <c r="F22" s="115">
        <f>E23</f>
        <v>27.189545534486001</v>
      </c>
      <c r="G22" s="115">
        <f>F23</f>
        <v>64.329109376802251</v>
      </c>
    </row>
    <row r="23" spans="1:40" ht="15.75" thickBot="1" x14ac:dyDescent="0.3">
      <c r="A23" s="193" t="s">
        <v>164</v>
      </c>
      <c r="B23" s="193"/>
      <c r="C23" s="193"/>
      <c r="D23" s="193"/>
      <c r="E23" s="194">
        <f>E21+E22</f>
        <v>27.189545534486001</v>
      </c>
      <c r="F23" s="194">
        <f>F21+F22</f>
        <v>64.329109376802251</v>
      </c>
      <c r="G23" s="194">
        <f>G21+G22</f>
        <v>167.75694805910427</v>
      </c>
    </row>
    <row r="24" spans="1:40" ht="15.75" thickTop="1" x14ac:dyDescent="0.25">
      <c r="E24" s="115"/>
      <c r="F24" s="115"/>
      <c r="G24" s="115"/>
    </row>
    <row r="25" spans="1:40" x14ac:dyDescent="0.25">
      <c r="E25" s="115"/>
      <c r="F25" s="115"/>
      <c r="G25" s="115"/>
    </row>
    <row r="26" spans="1:40" s="111" customFormat="1" x14ac:dyDescent="0.25">
      <c r="A26" s="112" t="s">
        <v>115</v>
      </c>
      <c r="B26" s="109"/>
      <c r="C26" s="109"/>
      <c r="D26" s="109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</row>
    <row r="27" spans="1:40" x14ac:dyDescent="0.25">
      <c r="E27" s="139"/>
      <c r="F27" s="139"/>
      <c r="G27" s="139"/>
    </row>
    <row r="28" spans="1:40" x14ac:dyDescent="0.25">
      <c r="E28" s="139"/>
      <c r="F28" s="139"/>
      <c r="G28" s="139"/>
    </row>
    <row r="29" spans="1:40" x14ac:dyDescent="0.25">
      <c r="E29" s="139"/>
      <c r="F29" s="139"/>
      <c r="G29" s="139"/>
    </row>
    <row r="30" spans="1:40" x14ac:dyDescent="0.25">
      <c r="E30" s="139"/>
      <c r="F30" s="139"/>
      <c r="G30" s="139"/>
    </row>
    <row r="31" spans="1:40" x14ac:dyDescent="0.25">
      <c r="E31" s="139"/>
      <c r="F31" s="139"/>
      <c r="G31" s="139"/>
    </row>
    <row r="32" spans="1:40" x14ac:dyDescent="0.25">
      <c r="E32" s="139"/>
      <c r="F32" s="139"/>
      <c r="G32" s="139"/>
    </row>
    <row r="33" spans="5:7" x14ac:dyDescent="0.25">
      <c r="E33" s="139"/>
      <c r="F33" s="139"/>
      <c r="G33" s="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Assumptions</vt:lpstr>
      <vt:lpstr>Converter</vt:lpstr>
      <vt:lpstr>Monthly Revenue</vt:lpstr>
      <vt:lpstr>Monthly P&amp;L</vt:lpstr>
      <vt:lpstr>Capital Structure</vt:lpstr>
      <vt:lpstr>Fixed Assets Schedule</vt:lpstr>
      <vt:lpstr>Annual P&amp;L</vt:lpstr>
      <vt:lpstr>Working Capital</vt:lpstr>
      <vt:lpstr>Balance Sheet</vt:lpstr>
      <vt:lpstr>Cashflow Statement</vt:lpstr>
      <vt:lpstr>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pubgorgkr@gmail.com</cp:lastModifiedBy>
  <dcterms:created xsi:type="dcterms:W3CDTF">2015-06-05T18:17:20Z</dcterms:created>
  <dcterms:modified xsi:type="dcterms:W3CDTF">2025-06-02T09:53:43Z</dcterms:modified>
</cp:coreProperties>
</file>