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di\Downloads\"/>
    </mc:Choice>
  </mc:AlternateContent>
  <xr:revisionPtr revIDLastSave="0" documentId="13_ncr:1_{BE87E8C0-4BB7-47D3-B2F7-59D44BD86790}" xr6:coauthVersionLast="47" xr6:coauthVersionMax="47" xr10:uidLastSave="{00000000-0000-0000-0000-000000000000}"/>
  <bookViews>
    <workbookView xWindow="-108" yWindow="-108" windowWidth="23256" windowHeight="12456" firstSheet="1" activeTab="3" xr2:uid="{FC7A1D90-4B37-4125-8FEE-A83A06466441}"/>
  </bookViews>
  <sheets>
    <sheet name="classes_properties" sheetId="1" r:id="rId1"/>
    <sheet name="strip_merge" sheetId="2" r:id="rId2"/>
    <sheet name="synonyms" sheetId="3" r:id="rId3"/>
    <sheet name="knowledge_bas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4" i="4"/>
  <c r="G15" i="4"/>
  <c r="G9" i="4"/>
  <c r="G8" i="4"/>
  <c r="B13" i="4"/>
  <c r="F13" i="4"/>
  <c r="G7" i="4"/>
  <c r="E13" i="4"/>
  <c r="D13" i="4"/>
  <c r="C13" i="4"/>
  <c r="E42" i="3"/>
  <c r="D42" i="3"/>
  <c r="G3" i="4"/>
  <c r="G4" i="4"/>
  <c r="G5" i="4"/>
  <c r="G6" i="4"/>
  <c r="G10" i="4"/>
  <c r="G11" i="4"/>
  <c r="I17" i="2"/>
  <c r="I18" i="2"/>
  <c r="H18" i="2"/>
  <c r="F18" i="2"/>
  <c r="J18" i="2"/>
  <c r="J8" i="2"/>
  <c r="I8" i="2"/>
  <c r="F8" i="2"/>
  <c r="H8" i="2"/>
  <c r="H20" i="2"/>
  <c r="G20" i="2"/>
  <c r="K20" i="2"/>
  <c r="F20" i="2"/>
  <c r="J20" i="2"/>
  <c r="I20" i="2"/>
  <c r="H17" i="2"/>
  <c r="F17" i="2"/>
  <c r="J17" i="2"/>
  <c r="J7" i="2"/>
  <c r="H7" i="2"/>
  <c r="F7" i="2"/>
  <c r="I7" i="2"/>
  <c r="I16" i="2"/>
  <c r="H16" i="2"/>
  <c r="F16" i="2"/>
  <c r="J16" i="2"/>
  <c r="J6" i="2"/>
  <c r="H6" i="2"/>
  <c r="L15" i="2"/>
  <c r="L5" i="2"/>
  <c r="F6" i="2"/>
  <c r="I6" i="2"/>
  <c r="I15" i="2"/>
  <c r="H15" i="2"/>
  <c r="F15" i="2"/>
  <c r="J15" i="2"/>
  <c r="J5" i="2"/>
  <c r="H5" i="2"/>
  <c r="F5" i="2"/>
  <c r="I5" i="2"/>
  <c r="I14" i="2"/>
  <c r="H14" i="2"/>
  <c r="F14" i="2"/>
  <c r="J14" i="2"/>
  <c r="L4" i="2"/>
  <c r="J4" i="2"/>
  <c r="H4" i="2"/>
  <c r="F4" i="2"/>
  <c r="I4" i="2"/>
  <c r="I13" i="2"/>
  <c r="H13" i="2"/>
  <c r="F13" i="2"/>
  <c r="J13" i="2"/>
  <c r="J3" i="2"/>
  <c r="K3" i="2" s="1"/>
  <c r="I3" i="2"/>
  <c r="H3" i="2"/>
  <c r="F3" i="2"/>
  <c r="G18" i="2"/>
  <c r="G17" i="2"/>
  <c r="G16" i="2"/>
  <c r="G15" i="2"/>
  <c r="G14" i="2"/>
  <c r="G13" i="2"/>
  <c r="G8" i="2"/>
  <c r="G7" i="2"/>
  <c r="G6" i="2"/>
  <c r="K6" i="2" s="1"/>
  <c r="G5" i="2"/>
  <c r="K5" i="2" s="1"/>
  <c r="G4" i="2"/>
  <c r="G3" i="2"/>
  <c r="G47" i="1"/>
  <c r="K47" i="1" s="1"/>
  <c r="J47" i="1"/>
  <c r="I47" i="1"/>
  <c r="I46" i="1"/>
  <c r="H46" i="1"/>
  <c r="G46" i="1"/>
  <c r="F46" i="1"/>
  <c r="J46" i="1"/>
  <c r="J45" i="1"/>
  <c r="I45" i="1"/>
  <c r="G45" i="1"/>
  <c r="F45" i="1"/>
  <c r="H45" i="1"/>
  <c r="H44" i="1"/>
  <c r="G44" i="1"/>
  <c r="F44" i="1"/>
  <c r="J44" i="1"/>
  <c r="I44" i="1"/>
  <c r="I43" i="1"/>
  <c r="H43" i="1"/>
  <c r="G43" i="1"/>
  <c r="F43" i="1"/>
  <c r="J43" i="1"/>
  <c r="J42" i="1"/>
  <c r="I42" i="1"/>
  <c r="G42" i="1"/>
  <c r="F42" i="1"/>
  <c r="H42" i="1"/>
  <c r="I35" i="1"/>
  <c r="J36" i="1"/>
  <c r="I36" i="1"/>
  <c r="H36" i="1"/>
  <c r="G36" i="1"/>
  <c r="F36" i="1"/>
  <c r="J35" i="1"/>
  <c r="H35" i="1"/>
  <c r="G35" i="1"/>
  <c r="F35" i="1"/>
  <c r="I34" i="1"/>
  <c r="G34" i="1"/>
  <c r="F34" i="1"/>
  <c r="J34" i="1"/>
  <c r="J33" i="1"/>
  <c r="I33" i="1"/>
  <c r="H33" i="1"/>
  <c r="G33" i="1"/>
  <c r="F33" i="1"/>
  <c r="I37" i="1"/>
  <c r="G22" i="1"/>
  <c r="J32" i="1"/>
  <c r="I32" i="1"/>
  <c r="H32" i="1"/>
  <c r="G32" i="1"/>
  <c r="F32" i="1"/>
  <c r="K32" i="1" s="1"/>
  <c r="G37" i="1"/>
  <c r="K37" i="1" s="1"/>
  <c r="J37" i="1"/>
  <c r="G27" i="1"/>
  <c r="F27" i="1"/>
  <c r="K27" i="1" s="1"/>
  <c r="F26" i="1"/>
  <c r="K26" i="1" s="1"/>
  <c r="I25" i="1"/>
  <c r="H25" i="1"/>
  <c r="F25" i="1"/>
  <c r="G24" i="1"/>
  <c r="F24" i="1"/>
  <c r="K24" i="1" s="1"/>
  <c r="F22" i="1"/>
  <c r="J22" i="1"/>
  <c r="I22" i="1"/>
  <c r="I23" i="1"/>
  <c r="H23" i="1"/>
  <c r="G23" i="1"/>
  <c r="K23" i="1" s="1"/>
  <c r="F23" i="1"/>
  <c r="J17" i="1"/>
  <c r="I14" i="1"/>
  <c r="I13" i="1"/>
  <c r="I18" i="1"/>
  <c r="H15" i="1"/>
  <c r="H13" i="1"/>
  <c r="H14" i="1"/>
  <c r="G14" i="1"/>
  <c r="G13" i="1"/>
  <c r="G15" i="1"/>
  <c r="G16" i="1"/>
  <c r="G17" i="1"/>
  <c r="G18" i="1"/>
  <c r="F18" i="1"/>
  <c r="K18" i="1" s="1"/>
  <c r="F17" i="1"/>
  <c r="F16" i="1"/>
  <c r="F15" i="1"/>
  <c r="K15" i="1" s="1"/>
  <c r="F14" i="1"/>
  <c r="F13" i="1"/>
  <c r="J8" i="1"/>
  <c r="J7" i="1"/>
  <c r="J6" i="1"/>
  <c r="J5" i="1"/>
  <c r="J4" i="1"/>
  <c r="J9" i="1"/>
  <c r="I9" i="1"/>
  <c r="I6" i="1"/>
  <c r="I5" i="1"/>
  <c r="I4" i="1"/>
  <c r="I8" i="1"/>
  <c r="I7" i="1"/>
  <c r="H8" i="1"/>
  <c r="H7" i="1"/>
  <c r="H6" i="1"/>
  <c r="H5" i="1"/>
  <c r="H4" i="1"/>
  <c r="H9" i="1"/>
  <c r="G8" i="1"/>
  <c r="G7" i="1"/>
  <c r="G6" i="1"/>
  <c r="G5" i="1"/>
  <c r="G4" i="1"/>
  <c r="G9" i="1"/>
  <c r="K9" i="1" s="1"/>
  <c r="F9" i="1"/>
  <c r="F8" i="1"/>
  <c r="F7" i="1"/>
  <c r="F6" i="1"/>
  <c r="F5" i="1"/>
  <c r="F4" i="1"/>
  <c r="G13" i="4" l="1"/>
  <c r="K13" i="1"/>
  <c r="K14" i="1"/>
  <c r="K8" i="1"/>
  <c r="K6" i="1"/>
  <c r="K16" i="1"/>
  <c r="K8" i="2"/>
  <c r="K17" i="2"/>
  <c r="K16" i="2"/>
  <c r="K4" i="2"/>
  <c r="K13" i="2"/>
  <c r="K14" i="2"/>
  <c r="L14" i="2" s="1"/>
  <c r="K18" i="2"/>
  <c r="K7" i="2"/>
  <c r="K15" i="2"/>
  <c r="K17" i="1"/>
  <c r="K46" i="1"/>
  <c r="K22" i="1"/>
  <c r="K45" i="1"/>
  <c r="K44" i="1"/>
  <c r="K43" i="1"/>
  <c r="K42" i="1"/>
  <c r="K35" i="1"/>
  <c r="K36" i="1"/>
  <c r="K34" i="1"/>
  <c r="K33" i="1"/>
  <c r="K25" i="1"/>
  <c r="K5" i="1"/>
  <c r="K7" i="1"/>
  <c r="K4" i="1"/>
</calcChain>
</file>

<file path=xl/sharedStrings.xml><?xml version="1.0" encoding="utf-8"?>
<sst xmlns="http://schemas.openxmlformats.org/spreadsheetml/2006/main" count="1138" uniqueCount="145">
  <si>
    <t>Jaro</t>
  </si>
  <si>
    <t>Threshold</t>
  </si>
  <si>
    <t>0.2</t>
  </si>
  <si>
    <t>q</t>
  </si>
  <si>
    <t>Max</t>
  </si>
  <si>
    <t>Value</t>
  </si>
  <si>
    <t>Jaro-winkler</t>
  </si>
  <si>
    <t>0.1</t>
  </si>
  <si>
    <t>Normalized-Levenstein</t>
  </si>
  <si>
    <t>0.3</t>
  </si>
  <si>
    <t>q-grams</t>
  </si>
  <si>
    <t>0.5</t>
  </si>
  <si>
    <t>softjaccard</t>
  </si>
  <si>
    <t>Location Schema.org</t>
  </si>
  <si>
    <t>Person Schema.org</t>
  </si>
  <si>
    <t>Average</t>
  </si>
  <si>
    <t>Business Schema.org</t>
  </si>
  <si>
    <t>CPOV</t>
  </si>
  <si>
    <t>CPEV</t>
  </si>
  <si>
    <t>Class - transform</t>
  </si>
  <si>
    <t>0.4</t>
  </si>
  <si>
    <t>0.6</t>
  </si>
  <si>
    <t>Property - transform</t>
  </si>
  <si>
    <t>addressArea</t>
  </si>
  <si>
    <t>locatorName</t>
  </si>
  <si>
    <t>location</t>
  </si>
  <si>
    <t>alternative</t>
  </si>
  <si>
    <t>alternateName</t>
  </si>
  <si>
    <t>gender</t>
  </si>
  <si>
    <t>identifier</t>
  </si>
  <si>
    <t>legalName</t>
  </si>
  <si>
    <t>description</t>
  </si>
  <si>
    <t>altLabel</t>
  </si>
  <si>
    <t>spatial</t>
  </si>
  <si>
    <t>memberOf</t>
  </si>
  <si>
    <t>subOrganization</t>
  </si>
  <si>
    <t>parentOrganization</t>
  </si>
  <si>
    <t>language</t>
  </si>
  <si>
    <t>title</t>
  </si>
  <si>
    <t>inLanguage</t>
  </si>
  <si>
    <t>addresslocality</t>
  </si>
  <si>
    <t>hasMember</t>
  </si>
  <si>
    <t>member</t>
  </si>
  <si>
    <t>Address</t>
  </si>
  <si>
    <t>PostalAddress</t>
  </si>
  <si>
    <t>Geometry</t>
  </si>
  <si>
    <t>GeospatialGeometry</t>
  </si>
  <si>
    <t>Q-grams 0.5-2</t>
  </si>
  <si>
    <t>q-gram 0.5-2</t>
  </si>
  <si>
    <t>q-gram 0.5-3</t>
  </si>
  <si>
    <t>hasSuborganization</t>
  </si>
  <si>
    <t>Softjaccard 0.5</t>
  </si>
  <si>
    <t>Normalized Levenstein 0.3</t>
  </si>
  <si>
    <t>Jaro-Winkler 0.1</t>
  </si>
  <si>
    <t>Jaro 0.3</t>
  </si>
  <si>
    <t>Jaro 0.2</t>
  </si>
  <si>
    <t>poBox</t>
  </si>
  <si>
    <t>postOfficeBoxNumber</t>
  </si>
  <si>
    <t>postCode</t>
  </si>
  <si>
    <t>postalCode</t>
  </si>
  <si>
    <t>familyName</t>
  </si>
  <si>
    <t>givenName</t>
  </si>
  <si>
    <t>birthDate</t>
  </si>
  <si>
    <t>deathDate</t>
  </si>
  <si>
    <t>birthPlace</t>
  </si>
  <si>
    <t>deathPlace</t>
  </si>
  <si>
    <t>subEvent</t>
  </si>
  <si>
    <t>Jaro-Winkler 0.2</t>
  </si>
  <si>
    <t>placeOfBirth</t>
  </si>
  <si>
    <t>Normalized Levenstein 0.4</t>
  </si>
  <si>
    <t>subOrganizationOf</t>
  </si>
  <si>
    <t>q-gram 0.6-2</t>
  </si>
  <si>
    <t>parentEvent</t>
  </si>
  <si>
    <t>superEvent</t>
  </si>
  <si>
    <t>q-gram 0.6-3</t>
  </si>
  <si>
    <t>Softjaccard 0.6</t>
  </si>
  <si>
    <t>DeathPlace</t>
  </si>
  <si>
    <t>placeOfDeath</t>
  </si>
  <si>
    <t>name</t>
  </si>
  <si>
    <t>Property - transform - strip and merge</t>
  </si>
  <si>
    <t>Jaro-winkler 0.1</t>
  </si>
  <si>
    <t>Normalized-Levenstein 0.3</t>
  </si>
  <si>
    <t>q-grams 0.5 -2</t>
  </si>
  <si>
    <t>q-grams 0.5 -3</t>
  </si>
  <si>
    <t>softjaccard 0.5 - 3</t>
  </si>
  <si>
    <t>hasSubOrganizaziton</t>
  </si>
  <si>
    <t>addressLocality</t>
  </si>
  <si>
    <t>Jaro-winkler 0.2</t>
  </si>
  <si>
    <t>Normalized-Levenstein 0.4</t>
  </si>
  <si>
    <t>fullAddress</t>
  </si>
  <si>
    <t>address ?</t>
  </si>
  <si>
    <t>q-grams 0.6 -2</t>
  </si>
  <si>
    <t>q-grams 0.6 -3</t>
  </si>
  <si>
    <t>softjaccard 0.6 - 3</t>
  </si>
  <si>
    <t>qgram 0.5 - 2</t>
  </si>
  <si>
    <t>qgram 0.6 - 3</t>
  </si>
  <si>
    <t>countryOfBirth</t>
  </si>
  <si>
    <t>citizenship</t>
  </si>
  <si>
    <t>nationality</t>
  </si>
  <si>
    <t>Business</t>
  </si>
  <si>
    <t>datamuse</t>
  </si>
  <si>
    <t>Person</t>
  </si>
  <si>
    <t>altervista</t>
  </si>
  <si>
    <t>wordnet</t>
  </si>
  <si>
    <t>wiktionary</t>
  </si>
  <si>
    <t>eurovoc</t>
  </si>
  <si>
    <t>lcsh</t>
  </si>
  <si>
    <t xml:space="preserve">stw </t>
  </si>
  <si>
    <t>Core Location</t>
  </si>
  <si>
    <t>Total</t>
  </si>
  <si>
    <t>name (datamuse)</t>
  </si>
  <si>
    <t>cizenship/nationality (eurovoc, lcsh)</t>
  </si>
  <si>
    <t>countryofbirth/birthPlace(datamuse, altervista)</t>
  </si>
  <si>
    <t>purpose</t>
  </si>
  <si>
    <t>object ?</t>
  </si>
  <si>
    <t>classification/category (datamuse, altervista, wordnet)</t>
  </si>
  <si>
    <t>General</t>
  </si>
  <si>
    <t>PROPERTIES FINDING</t>
  </si>
  <si>
    <t>Knowledge bases</t>
  </si>
  <si>
    <t>New Findings</t>
  </si>
  <si>
    <t>Comments</t>
  </si>
  <si>
    <t>3) Eurovoc and LCSH suggest wrongly to use nationality instead of citizenship, the 2 concepts are different</t>
  </si>
  <si>
    <t>4) Person, CPOV and CPEV are those having more synonyms found</t>
  </si>
  <si>
    <t>Synnonyms</t>
  </si>
  <si>
    <t>1) datamuse, altervista and wordnet are those providing more synonyms and provide new findings but only for Person and CPOV</t>
  </si>
  <si>
    <t>fibo</t>
  </si>
  <si>
    <t>2) stw and fibo controlled vocabularies, despite focusing on economy and finance, could not help on the Business</t>
  </si>
  <si>
    <t>Comments on enriching with synonyms</t>
  </si>
  <si>
    <t>Total mapping found</t>
  </si>
  <si>
    <t>3) new wrong finding: citizenship/nationality: despite they are used as synonyms  (in eurovoc and lcsh) their meaning is different</t>
  </si>
  <si>
    <t>4) new wrong finding leading to a potential: in CPEV, there is dct:subject used mapped wrongly to subjectTo which is the opposite of about</t>
  </si>
  <si>
    <t>1) qgram 0.6-3 and 0.5-2 give similar results (as noticed in previous meeting) and more good mapping (compared to other algorithm), qgram 0.6-3 provides a bit more false positive than qgram 0.5-2 (14 more = 13% over 109)</t>
  </si>
  <si>
    <t xml:space="preserve">2) new potential findings to be evaluated: country of Birth with birthPlace, fullAddress with address, purpose with object </t>
  </si>
  <si>
    <t>Test</t>
  </si>
  <si>
    <t>CLASS FINDING</t>
  </si>
  <si>
    <t>Synonyms of properties found per vocabulary</t>
  </si>
  <si>
    <t>lov</t>
  </si>
  <si>
    <t>Adding LOV knowledge-base</t>
  </si>
  <si>
    <t>postal code/postal code (datamuse, LOV)</t>
  </si>
  <si>
    <t>Old finding but reinforced</t>
  </si>
  <si>
    <t>5) LoV found synonyms only for Core Location (JUSO ontology), just for postal code which was already found without the use of synonyms</t>
  </si>
  <si>
    <t>unesco</t>
  </si>
  <si>
    <t>TOTAL synonyms</t>
  </si>
  <si>
    <t>terms not found</t>
  </si>
  <si>
    <t>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</si>
</sst>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10" xfId="0" applyFont="1" applyBorder="1"/>
    <xf numFmtId="0" fontId="1" fillId="0" borderId="8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2" xfId="0" applyFont="1" applyBorder="1"/>
    <xf numFmtId="0" fontId="0" fillId="0" borderId="12" xfId="0" applyBorder="1"/>
    <xf numFmtId="0" fontId="1" fillId="0" borderId="4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1" fillId="0" borderId="7" xfId="0" applyFont="1" applyBorder="1"/>
    <xf numFmtId="0" fontId="0" fillId="0" borderId="0" xfId="0" applyBorder="1"/>
    <xf numFmtId="0" fontId="0" fillId="0" borderId="7" xfId="0" applyFont="1" applyBorder="1"/>
    <xf numFmtId="0" fontId="0" fillId="0" borderId="0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/>
    <xf numFmtId="0" fontId="0" fillId="0" borderId="13" xfId="0" applyFont="1" applyBorder="1"/>
    <xf numFmtId="0" fontId="0" fillId="0" borderId="12" xfId="0" applyFont="1" applyBorder="1"/>
    <xf numFmtId="0" fontId="0" fillId="0" borderId="13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" xfId="0" applyFont="1" applyBorder="1"/>
    <xf numFmtId="0" fontId="0" fillId="0" borderId="0" xfId="0" applyAlignment="1"/>
    <xf numFmtId="0" fontId="0" fillId="0" borderId="0" xfId="0" applyFill="1" applyBorder="1" applyAlignment="1"/>
    <xf numFmtId="0" fontId="3" fillId="0" borderId="13" xfId="0" applyFont="1" applyBorder="1"/>
    <xf numFmtId="0" fontId="3" fillId="0" borderId="12" xfId="0" applyFont="1" applyBorder="1"/>
    <xf numFmtId="0" fontId="2" fillId="0" borderId="12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1" xfId="0" applyFont="1" applyBorder="1"/>
    <xf numFmtId="0" fontId="1" fillId="0" borderId="1" xfId="0" applyFont="1" applyFill="1" applyBorder="1"/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9C8C-F49E-42D2-82DF-FE17D7320CB5}">
  <dimension ref="A2:W137"/>
  <sheetViews>
    <sheetView topLeftCell="G35" workbookViewId="0">
      <selection activeCell="M12" sqref="M12"/>
    </sheetView>
  </sheetViews>
  <sheetFormatPr baseColWidth="10" defaultRowHeight="14.4" x14ac:dyDescent="0.3"/>
  <cols>
    <col min="6" max="6" width="18.21875" bestFit="1" customWidth="1"/>
    <col min="7" max="7" width="16.6640625" bestFit="1" customWidth="1"/>
    <col min="8" max="8" width="18" bestFit="1" customWidth="1"/>
    <col min="13" max="13" width="13.5546875" customWidth="1"/>
  </cols>
  <sheetData>
    <row r="2" spans="1:23" x14ac:dyDescent="0.3">
      <c r="A2" s="1" t="s">
        <v>116</v>
      </c>
      <c r="B2" s="1"/>
      <c r="C2" s="1"/>
      <c r="D2" s="1"/>
      <c r="E2" s="1"/>
      <c r="F2" s="2" t="s">
        <v>13</v>
      </c>
      <c r="G2" s="1" t="s">
        <v>14</v>
      </c>
      <c r="H2" s="1" t="s">
        <v>16</v>
      </c>
      <c r="I2" s="1" t="s">
        <v>17</v>
      </c>
      <c r="J2" s="1" t="s">
        <v>18</v>
      </c>
      <c r="K2" s="4" t="s">
        <v>15</v>
      </c>
    </row>
    <row r="3" spans="1:23" x14ac:dyDescent="0.3">
      <c r="A3" s="1"/>
      <c r="B3" s="1"/>
      <c r="C3" s="1" t="s">
        <v>1</v>
      </c>
      <c r="D3" s="1" t="s">
        <v>3</v>
      </c>
      <c r="E3" s="1" t="s">
        <v>4</v>
      </c>
      <c r="F3" s="2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4" t="s">
        <v>5</v>
      </c>
    </row>
    <row r="4" spans="1:23" x14ac:dyDescent="0.3">
      <c r="A4" s="1">
        <v>1</v>
      </c>
      <c r="B4" s="1" t="s">
        <v>0</v>
      </c>
      <c r="C4" s="1" t="s">
        <v>2</v>
      </c>
      <c r="D4" s="1"/>
      <c r="E4" s="1"/>
      <c r="F4" s="2">
        <f>14/18</f>
        <v>0.77777777777777779</v>
      </c>
      <c r="G4" s="1">
        <f>10/23</f>
        <v>0.43478260869565216</v>
      </c>
      <c r="H4" s="1">
        <f>2/4</f>
        <v>0.5</v>
      </c>
      <c r="I4" s="1">
        <f>10/25</f>
        <v>0.4</v>
      </c>
      <c r="J4" s="1">
        <f>9/23</f>
        <v>0.39130434782608697</v>
      </c>
      <c r="K4" s="4">
        <f>AVERAGE(F4:J4)</f>
        <v>0.50077294685990337</v>
      </c>
    </row>
    <row r="5" spans="1:23" x14ac:dyDescent="0.3">
      <c r="A5" s="1">
        <v>2</v>
      </c>
      <c r="B5" s="1" t="s">
        <v>6</v>
      </c>
      <c r="C5" s="1" t="s">
        <v>7</v>
      </c>
      <c r="D5" s="1"/>
      <c r="E5" s="1"/>
      <c r="F5" s="2">
        <f>9/11</f>
        <v>0.81818181818181823</v>
      </c>
      <c r="G5" s="1">
        <f>6/12</f>
        <v>0.5</v>
      </c>
      <c r="H5" s="1">
        <f>2/4</f>
        <v>0.5</v>
      </c>
      <c r="I5" s="1">
        <f>6/7</f>
        <v>0.8571428571428571</v>
      </c>
      <c r="J5" s="1">
        <f>8/14</f>
        <v>0.5714285714285714</v>
      </c>
      <c r="K5" s="4">
        <f t="shared" ref="K5:K9" si="0">AVERAGE(F5:J5)</f>
        <v>0.64935064935064946</v>
      </c>
    </row>
    <row r="6" spans="1:23" x14ac:dyDescent="0.3">
      <c r="A6" s="1">
        <v>3</v>
      </c>
      <c r="B6" s="1" t="s">
        <v>8</v>
      </c>
      <c r="C6" s="1" t="s">
        <v>9</v>
      </c>
      <c r="D6" s="1"/>
      <c r="E6" s="1"/>
      <c r="F6" s="2">
        <f>3/4</f>
        <v>0.75</v>
      </c>
      <c r="G6" s="1">
        <f>5/10</f>
        <v>0.5</v>
      </c>
      <c r="H6" s="1">
        <f>2/2</f>
        <v>1</v>
      </c>
      <c r="I6" s="1">
        <f>5/9</f>
        <v>0.55555555555555558</v>
      </c>
      <c r="J6" s="1">
        <f>8/10</f>
        <v>0.8</v>
      </c>
      <c r="K6" s="4">
        <f t="shared" si="0"/>
        <v>0.72111111111111104</v>
      </c>
    </row>
    <row r="7" spans="1:23" x14ac:dyDescent="0.3">
      <c r="A7" s="1">
        <v>4</v>
      </c>
      <c r="B7" s="1" t="s">
        <v>10</v>
      </c>
      <c r="C7" s="1" t="s">
        <v>11</v>
      </c>
      <c r="D7" s="1">
        <v>2</v>
      </c>
      <c r="E7" s="1"/>
      <c r="F7" s="2">
        <f>9/10</f>
        <v>0.9</v>
      </c>
      <c r="G7" s="1">
        <f>6/11</f>
        <v>0.54545454545454541</v>
      </c>
      <c r="H7" s="1">
        <f>2/5</f>
        <v>0.4</v>
      </c>
      <c r="I7" s="1">
        <f>8/13</f>
        <v>0.61538461538461542</v>
      </c>
      <c r="J7" s="1">
        <f>10/15</f>
        <v>0.66666666666666663</v>
      </c>
      <c r="K7" s="4">
        <f t="shared" si="0"/>
        <v>0.62550116550116541</v>
      </c>
    </row>
    <row r="8" spans="1:23" x14ac:dyDescent="0.3">
      <c r="A8" s="1">
        <v>5</v>
      </c>
      <c r="B8" s="1" t="s">
        <v>10</v>
      </c>
      <c r="C8" s="1" t="s">
        <v>11</v>
      </c>
      <c r="D8" s="1">
        <v>3</v>
      </c>
      <c r="E8" s="1"/>
      <c r="F8" s="2">
        <f>4/5</f>
        <v>0.8</v>
      </c>
      <c r="G8" s="1">
        <f>5/6</f>
        <v>0.83333333333333337</v>
      </c>
      <c r="H8" s="1">
        <f>2/3</f>
        <v>0.66666666666666663</v>
      </c>
      <c r="I8" s="1">
        <f>5/8</f>
        <v>0.625</v>
      </c>
      <c r="J8" s="1">
        <f>7/10</f>
        <v>0.7</v>
      </c>
      <c r="K8" s="4">
        <f t="shared" si="0"/>
        <v>0.72499999999999998</v>
      </c>
    </row>
    <row r="9" spans="1:23" x14ac:dyDescent="0.3">
      <c r="A9" s="1">
        <v>6</v>
      </c>
      <c r="B9" s="1" t="s">
        <v>12</v>
      </c>
      <c r="C9" s="1" t="s">
        <v>11</v>
      </c>
      <c r="D9" s="1"/>
      <c r="E9" s="1">
        <v>3</v>
      </c>
      <c r="F9" s="2">
        <f>2/3</f>
        <v>0.66666666666666663</v>
      </c>
      <c r="G9" s="1">
        <f>5/10</f>
        <v>0.5</v>
      </c>
      <c r="H9" s="1">
        <f>2/2</f>
        <v>1</v>
      </c>
      <c r="I9" s="1">
        <f>5/12</f>
        <v>0.41666666666666669</v>
      </c>
      <c r="J9" s="1">
        <f>7/11</f>
        <v>0.63636363636363635</v>
      </c>
      <c r="K9" s="4">
        <f t="shared" si="0"/>
        <v>0.64393939393939381</v>
      </c>
    </row>
    <row r="10" spans="1:23" x14ac:dyDescent="0.3">
      <c r="A10" s="26"/>
      <c r="B10" s="26"/>
      <c r="C10" s="26"/>
    </row>
    <row r="11" spans="1:23" x14ac:dyDescent="0.3">
      <c r="A11" s="1" t="s">
        <v>19</v>
      </c>
      <c r="B11" s="1"/>
      <c r="C11" s="1"/>
      <c r="D11" s="1"/>
      <c r="E11" s="1"/>
      <c r="F11" s="2" t="s">
        <v>13</v>
      </c>
      <c r="G11" s="1" t="s">
        <v>14</v>
      </c>
      <c r="H11" s="1" t="s">
        <v>16</v>
      </c>
      <c r="I11" s="1" t="s">
        <v>17</v>
      </c>
      <c r="J11" s="1" t="s">
        <v>18</v>
      </c>
      <c r="K11" s="4" t="s">
        <v>15</v>
      </c>
      <c r="M11" s="36" t="s">
        <v>134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23" x14ac:dyDescent="0.3">
      <c r="A12" s="1"/>
      <c r="B12" s="1"/>
      <c r="C12" s="24" t="s">
        <v>1</v>
      </c>
      <c r="D12" s="1" t="s">
        <v>3</v>
      </c>
      <c r="E12" s="1" t="s">
        <v>4</v>
      </c>
      <c r="F12" s="2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4" t="s">
        <v>5</v>
      </c>
    </row>
    <row r="13" spans="1:23" x14ac:dyDescent="0.3">
      <c r="A13" s="1">
        <v>1</v>
      </c>
      <c r="B13" s="1" t="s">
        <v>0</v>
      </c>
      <c r="C13" s="24" t="s">
        <v>2</v>
      </c>
      <c r="D13" s="1"/>
      <c r="E13" s="1"/>
      <c r="F13" s="1">
        <f>2/4</f>
        <v>0.5</v>
      </c>
      <c r="G13" s="1">
        <f>1/2</f>
        <v>0.5</v>
      </c>
      <c r="H13" s="1">
        <f>0/4</f>
        <v>0</v>
      </c>
      <c r="I13" s="5">
        <f>1/1</f>
        <v>1</v>
      </c>
      <c r="J13" s="5">
        <v>0</v>
      </c>
      <c r="K13" s="4">
        <f>AVERAGE(F13:J13)</f>
        <v>0.4</v>
      </c>
    </row>
    <row r="14" spans="1:23" x14ac:dyDescent="0.3">
      <c r="A14" s="1">
        <v>2</v>
      </c>
      <c r="B14" s="1" t="s">
        <v>6</v>
      </c>
      <c r="C14" s="24" t="s">
        <v>7</v>
      </c>
      <c r="D14" s="1"/>
      <c r="E14" s="1"/>
      <c r="F14" s="1">
        <f>2/2</f>
        <v>1</v>
      </c>
      <c r="G14" s="1">
        <f>1/1</f>
        <v>1</v>
      </c>
      <c r="H14" s="1">
        <f>0</f>
        <v>0</v>
      </c>
      <c r="I14" s="5">
        <f>0</f>
        <v>0</v>
      </c>
      <c r="J14" s="5">
        <v>0</v>
      </c>
      <c r="K14" s="4">
        <f t="shared" ref="K14:K18" si="1">AVERAGE(F14:J14)</f>
        <v>0.4</v>
      </c>
    </row>
    <row r="15" spans="1:23" x14ac:dyDescent="0.3">
      <c r="A15" s="1">
        <v>3</v>
      </c>
      <c r="B15" s="1" t="s">
        <v>8</v>
      </c>
      <c r="C15" s="24" t="s">
        <v>9</v>
      </c>
      <c r="D15" s="1"/>
      <c r="E15" s="1"/>
      <c r="F15" s="1">
        <f>2/2</f>
        <v>1</v>
      </c>
      <c r="G15" s="1">
        <f>1/1</f>
        <v>1</v>
      </c>
      <c r="H15" s="1">
        <f>0</f>
        <v>0</v>
      </c>
      <c r="I15" s="5">
        <v>0</v>
      </c>
      <c r="J15" s="5">
        <v>0</v>
      </c>
      <c r="K15" s="4">
        <f t="shared" si="1"/>
        <v>0.4</v>
      </c>
    </row>
    <row r="16" spans="1:23" x14ac:dyDescent="0.3">
      <c r="A16" s="1">
        <v>4</v>
      </c>
      <c r="B16" s="1" t="s">
        <v>10</v>
      </c>
      <c r="C16" s="24" t="s">
        <v>11</v>
      </c>
      <c r="D16" s="1">
        <v>2</v>
      </c>
      <c r="E16" s="1"/>
      <c r="F16" s="1">
        <f>2/2</f>
        <v>1</v>
      </c>
      <c r="G16" s="1">
        <f>1/1</f>
        <v>1</v>
      </c>
      <c r="H16" s="1">
        <v>0</v>
      </c>
      <c r="I16" s="5">
        <v>0</v>
      </c>
      <c r="J16" s="5">
        <v>0</v>
      </c>
      <c r="K16" s="4">
        <f t="shared" si="1"/>
        <v>0.4</v>
      </c>
      <c r="M16" t="s">
        <v>47</v>
      </c>
      <c r="N16" t="s">
        <v>43</v>
      </c>
      <c r="O16" t="s">
        <v>44</v>
      </c>
    </row>
    <row r="17" spans="1:15" x14ac:dyDescent="0.3">
      <c r="A17" s="1">
        <v>5</v>
      </c>
      <c r="B17" s="1" t="s">
        <v>10</v>
      </c>
      <c r="C17" s="24" t="s">
        <v>11</v>
      </c>
      <c r="D17" s="1">
        <v>3</v>
      </c>
      <c r="E17" s="1"/>
      <c r="F17" s="1">
        <f>2/2</f>
        <v>1</v>
      </c>
      <c r="G17" s="1">
        <f>1/1</f>
        <v>1</v>
      </c>
      <c r="H17" s="1">
        <v>0</v>
      </c>
      <c r="I17" s="5">
        <v>0</v>
      </c>
      <c r="J17" s="5">
        <f>0</f>
        <v>0</v>
      </c>
      <c r="K17" s="4">
        <f t="shared" si="1"/>
        <v>0.4</v>
      </c>
      <c r="N17" t="s">
        <v>45</v>
      </c>
      <c r="O17" t="s">
        <v>46</v>
      </c>
    </row>
    <row r="18" spans="1:15" x14ac:dyDescent="0.3">
      <c r="A18" s="1">
        <v>6</v>
      </c>
      <c r="B18" s="1" t="s">
        <v>12</v>
      </c>
      <c r="C18" s="24" t="s">
        <v>11</v>
      </c>
      <c r="D18" s="1"/>
      <c r="E18" s="1">
        <v>3</v>
      </c>
      <c r="F18" s="1">
        <f>2/2</f>
        <v>1</v>
      </c>
      <c r="G18" s="1">
        <f>1/1</f>
        <v>1</v>
      </c>
      <c r="H18" s="1">
        <v>0</v>
      </c>
      <c r="I18" s="5">
        <f>0</f>
        <v>0</v>
      </c>
      <c r="J18" s="5">
        <v>0</v>
      </c>
      <c r="K18" s="4">
        <f t="shared" si="1"/>
        <v>0.4</v>
      </c>
    </row>
    <row r="19" spans="1:15" x14ac:dyDescent="0.3">
      <c r="B19" s="26"/>
    </row>
    <row r="20" spans="1:15" x14ac:dyDescent="0.3">
      <c r="A20" s="1" t="s">
        <v>19</v>
      </c>
      <c r="B20" s="1"/>
      <c r="C20" s="1"/>
      <c r="D20" s="1"/>
      <c r="E20" s="1"/>
      <c r="F20" s="2" t="s">
        <v>13</v>
      </c>
      <c r="G20" s="1" t="s">
        <v>14</v>
      </c>
      <c r="H20" s="1" t="s">
        <v>16</v>
      </c>
      <c r="I20" s="1" t="s">
        <v>17</v>
      </c>
      <c r="J20" s="1" t="s">
        <v>18</v>
      </c>
      <c r="K20" s="4" t="s">
        <v>15</v>
      </c>
    </row>
    <row r="21" spans="1:15" x14ac:dyDescent="0.3">
      <c r="A21" s="1"/>
      <c r="B21" s="1"/>
      <c r="C21" s="1" t="s">
        <v>1</v>
      </c>
      <c r="D21" s="1" t="s">
        <v>3</v>
      </c>
      <c r="E21" s="1" t="s">
        <v>4</v>
      </c>
      <c r="F21" s="2" t="s">
        <v>5</v>
      </c>
      <c r="G21" s="1" t="s">
        <v>5</v>
      </c>
      <c r="H21" s="1" t="s">
        <v>5</v>
      </c>
      <c r="I21" s="1" t="s">
        <v>5</v>
      </c>
      <c r="J21" s="1" t="s">
        <v>5</v>
      </c>
      <c r="K21" s="4" t="s">
        <v>5</v>
      </c>
    </row>
    <row r="22" spans="1:15" x14ac:dyDescent="0.3">
      <c r="A22" s="1">
        <v>1</v>
      </c>
      <c r="B22" s="1" t="s">
        <v>0</v>
      </c>
      <c r="C22" s="1" t="s">
        <v>9</v>
      </c>
      <c r="D22" s="1"/>
      <c r="E22" s="1"/>
      <c r="F22" s="1">
        <f>5/47</f>
        <v>0.10638297872340426</v>
      </c>
      <c r="G22" s="1">
        <f>1/21</f>
        <v>4.7619047619047616E-2</v>
      </c>
      <c r="H22" s="1">
        <v>0</v>
      </c>
      <c r="I22" s="5">
        <f>1/1</f>
        <v>1</v>
      </c>
      <c r="J22" s="5">
        <f>0</f>
        <v>0</v>
      </c>
      <c r="K22" s="4">
        <f>AVERAGE(F22:J22)</f>
        <v>0.23080040526849038</v>
      </c>
    </row>
    <row r="23" spans="1:15" x14ac:dyDescent="0.3">
      <c r="A23" s="1">
        <v>2</v>
      </c>
      <c r="B23" s="1" t="s">
        <v>6</v>
      </c>
      <c r="C23" s="1" t="s">
        <v>2</v>
      </c>
      <c r="D23" s="1"/>
      <c r="E23" s="1"/>
      <c r="F23" s="1">
        <f>5/7</f>
        <v>0.7142857142857143</v>
      </c>
      <c r="G23" s="1">
        <f>1/7</f>
        <v>0.14285714285714285</v>
      </c>
      <c r="H23" s="1">
        <f>0/7</f>
        <v>0</v>
      </c>
      <c r="I23" s="5">
        <f>1/1</f>
        <v>1</v>
      </c>
      <c r="J23" s="5">
        <v>0</v>
      </c>
      <c r="K23" s="4">
        <f t="shared" ref="K23:K27" si="2">AVERAGE(F23:J23)</f>
        <v>0.37142857142857144</v>
      </c>
    </row>
    <row r="24" spans="1:15" x14ac:dyDescent="0.3">
      <c r="A24" s="1">
        <v>3</v>
      </c>
      <c r="B24" s="1" t="s">
        <v>8</v>
      </c>
      <c r="C24" s="1" t="s">
        <v>20</v>
      </c>
      <c r="D24" s="1"/>
      <c r="E24" s="1"/>
      <c r="F24" s="1">
        <f>2/3</f>
        <v>0.66666666666666663</v>
      </c>
      <c r="G24" s="1">
        <f>1/7</f>
        <v>0.14285714285714285</v>
      </c>
      <c r="H24" s="1">
        <v>0</v>
      </c>
      <c r="I24" s="5">
        <v>0</v>
      </c>
      <c r="J24" s="5">
        <v>0</v>
      </c>
      <c r="K24" s="4">
        <f t="shared" si="2"/>
        <v>0.16190476190476191</v>
      </c>
    </row>
    <row r="25" spans="1:15" x14ac:dyDescent="0.3">
      <c r="A25" s="1">
        <v>4</v>
      </c>
      <c r="B25" s="1" t="s">
        <v>10</v>
      </c>
      <c r="C25" s="1" t="s">
        <v>21</v>
      </c>
      <c r="D25" s="1">
        <v>2</v>
      </c>
      <c r="E25" s="1"/>
      <c r="F25" s="1">
        <f>2/3</f>
        <v>0.66666666666666663</v>
      </c>
      <c r="G25" s="1">
        <v>1</v>
      </c>
      <c r="H25" s="1">
        <f>0/4</f>
        <v>0</v>
      </c>
      <c r="I25" s="5">
        <f>1/1</f>
        <v>1</v>
      </c>
      <c r="J25" s="5">
        <v>0</v>
      </c>
      <c r="K25" s="4">
        <f t="shared" si="2"/>
        <v>0.53333333333333333</v>
      </c>
    </row>
    <row r="26" spans="1:15" x14ac:dyDescent="0.3">
      <c r="A26" s="1">
        <v>5</v>
      </c>
      <c r="B26" s="1" t="s">
        <v>10</v>
      </c>
      <c r="C26" s="1" t="s">
        <v>21</v>
      </c>
      <c r="D26" s="1">
        <v>3</v>
      </c>
      <c r="E26" s="1"/>
      <c r="F26" s="1">
        <f>2/2</f>
        <v>1</v>
      </c>
      <c r="G26" s="1">
        <v>1</v>
      </c>
      <c r="H26" s="1">
        <v>0</v>
      </c>
      <c r="I26" s="5">
        <v>1</v>
      </c>
      <c r="J26" s="5">
        <v>0</v>
      </c>
      <c r="K26" s="4">
        <f t="shared" si="2"/>
        <v>0.6</v>
      </c>
    </row>
    <row r="27" spans="1:15" x14ac:dyDescent="0.3">
      <c r="A27" s="1">
        <v>6</v>
      </c>
      <c r="B27" s="1" t="s">
        <v>12</v>
      </c>
      <c r="C27" s="1" t="s">
        <v>21</v>
      </c>
      <c r="D27" s="1"/>
      <c r="E27" s="1">
        <v>3</v>
      </c>
      <c r="F27" s="1">
        <f>2/2</f>
        <v>1</v>
      </c>
      <c r="G27" s="1">
        <f>1</f>
        <v>1</v>
      </c>
      <c r="H27" s="1">
        <v>0</v>
      </c>
      <c r="I27" s="5">
        <v>0</v>
      </c>
      <c r="J27" s="5">
        <v>0</v>
      </c>
      <c r="K27" s="4">
        <f t="shared" si="2"/>
        <v>0.4</v>
      </c>
    </row>
    <row r="28" spans="1:15" x14ac:dyDescent="0.3">
      <c r="A28" s="26"/>
      <c r="B28" s="26"/>
      <c r="C28" s="26"/>
      <c r="D28" s="26"/>
      <c r="E28" s="26"/>
    </row>
    <row r="30" spans="1:15" x14ac:dyDescent="0.3">
      <c r="A30" s="1" t="s">
        <v>22</v>
      </c>
      <c r="B30" s="1"/>
      <c r="C30" s="1"/>
      <c r="D30" s="1"/>
      <c r="E30" s="1"/>
      <c r="F30" s="3" t="s">
        <v>13</v>
      </c>
      <c r="G30" s="1" t="s">
        <v>14</v>
      </c>
      <c r="H30" s="1" t="s">
        <v>16</v>
      </c>
      <c r="I30" s="1" t="s">
        <v>17</v>
      </c>
      <c r="J30" s="1" t="s">
        <v>18</v>
      </c>
      <c r="K30" s="4" t="s">
        <v>15</v>
      </c>
    </row>
    <row r="31" spans="1:15" x14ac:dyDescent="0.3">
      <c r="A31" s="1"/>
      <c r="B31" s="1"/>
      <c r="C31" s="1" t="s">
        <v>1</v>
      </c>
      <c r="D31" s="1" t="s">
        <v>3</v>
      </c>
      <c r="E31" s="1" t="s">
        <v>4</v>
      </c>
      <c r="F31" s="3" t="s">
        <v>5</v>
      </c>
      <c r="G31" s="1" t="s">
        <v>5</v>
      </c>
      <c r="H31" s="1" t="s">
        <v>5</v>
      </c>
      <c r="I31" s="1" t="s">
        <v>5</v>
      </c>
      <c r="J31" s="1" t="s">
        <v>5</v>
      </c>
      <c r="K31" s="4" t="s">
        <v>5</v>
      </c>
    </row>
    <row r="32" spans="1:15" x14ac:dyDescent="0.3">
      <c r="A32" s="1">
        <v>1</v>
      </c>
      <c r="B32" s="1" t="s">
        <v>0</v>
      </c>
      <c r="C32" s="1" t="s">
        <v>2</v>
      </c>
      <c r="D32" s="1"/>
      <c r="E32" s="1"/>
      <c r="F32" s="24">
        <f>2/56</f>
        <v>3.5714285714285712E-2</v>
      </c>
      <c r="G32" s="1">
        <f>3/38</f>
        <v>7.8947368421052627E-2</v>
      </c>
      <c r="H32" s="1">
        <f>2/7</f>
        <v>0.2857142857142857</v>
      </c>
      <c r="I32" s="5">
        <f>5/50</f>
        <v>0.1</v>
      </c>
      <c r="J32" s="5">
        <f>4/49</f>
        <v>8.1632653061224483E-2</v>
      </c>
      <c r="K32" s="4">
        <f>AVERAGE(F32:J32)</f>
        <v>0.1164017185821697</v>
      </c>
    </row>
    <row r="33" spans="1:23" x14ac:dyDescent="0.3">
      <c r="A33" s="1">
        <v>2</v>
      </c>
      <c r="B33" s="1" t="s">
        <v>6</v>
      </c>
      <c r="C33" s="1" t="s">
        <v>7</v>
      </c>
      <c r="D33" s="1"/>
      <c r="E33" s="1"/>
      <c r="F33" s="24">
        <f>1/19</f>
        <v>5.2631578947368418E-2</v>
      </c>
      <c r="G33">
        <f>3/14</f>
        <v>0.21428571428571427</v>
      </c>
      <c r="H33" s="1">
        <f>2/7</f>
        <v>0.2857142857142857</v>
      </c>
      <c r="I33" s="5">
        <f>4/21</f>
        <v>0.19047619047619047</v>
      </c>
      <c r="J33" s="5">
        <f>4/35</f>
        <v>0.11428571428571428</v>
      </c>
      <c r="K33" s="4">
        <f>AVERAGE(F33:J33)</f>
        <v>0.17147869674185462</v>
      </c>
    </row>
    <row r="34" spans="1:23" x14ac:dyDescent="0.3">
      <c r="A34" s="1">
        <v>3</v>
      </c>
      <c r="B34" s="1" t="s">
        <v>8</v>
      </c>
      <c r="C34" s="1" t="s">
        <v>9</v>
      </c>
      <c r="D34" s="1"/>
      <c r="E34" s="1"/>
      <c r="F34" s="24">
        <f>0/9</f>
        <v>0</v>
      </c>
      <c r="G34" s="1">
        <f>2/10</f>
        <v>0.2</v>
      </c>
      <c r="H34" s="1">
        <v>0</v>
      </c>
      <c r="I34" s="5">
        <f>2/26</f>
        <v>7.6923076923076927E-2</v>
      </c>
      <c r="J34" s="5">
        <f>4/21</f>
        <v>0.19047619047619047</v>
      </c>
      <c r="K34" s="4">
        <f t="shared" ref="K34:K37" si="3">AVERAGE(F34:J34)</f>
        <v>9.3479853479853478E-2</v>
      </c>
    </row>
    <row r="35" spans="1:23" x14ac:dyDescent="0.3">
      <c r="A35" s="1">
        <v>4</v>
      </c>
      <c r="B35" s="1" t="s">
        <v>10</v>
      </c>
      <c r="C35" s="1" t="s">
        <v>11</v>
      </c>
      <c r="D35" s="1">
        <v>2</v>
      </c>
      <c r="E35" s="1"/>
      <c r="F35" s="24">
        <f>1/28</f>
        <v>3.5714285714285712E-2</v>
      </c>
      <c r="G35" s="1">
        <f>3/11</f>
        <v>0.27272727272727271</v>
      </c>
      <c r="H35" s="1">
        <f>1/3</f>
        <v>0.33333333333333331</v>
      </c>
      <c r="I35" s="5">
        <f>6/32</f>
        <v>0.1875</v>
      </c>
      <c r="J35" s="5">
        <f>4/27</f>
        <v>0.14814814814814814</v>
      </c>
      <c r="K35" s="4">
        <f t="shared" si="3"/>
        <v>0.19548460798460798</v>
      </c>
    </row>
    <row r="36" spans="1:23" x14ac:dyDescent="0.3">
      <c r="A36" s="1">
        <v>5</v>
      </c>
      <c r="B36" s="1" t="s">
        <v>10</v>
      </c>
      <c r="C36" s="1" t="s">
        <v>11</v>
      </c>
      <c r="D36" s="1">
        <v>3</v>
      </c>
      <c r="E36" s="1"/>
      <c r="F36" s="24">
        <f>0/9</f>
        <v>0</v>
      </c>
      <c r="G36" s="1">
        <f>2/8</f>
        <v>0.25</v>
      </c>
      <c r="H36" s="1">
        <f>0/2</f>
        <v>0</v>
      </c>
      <c r="I36" s="5">
        <f>3/18</f>
        <v>0.16666666666666666</v>
      </c>
      <c r="J36" s="5">
        <f>4/24</f>
        <v>0.16666666666666666</v>
      </c>
      <c r="K36" s="4">
        <f t="shared" si="3"/>
        <v>0.11666666666666665</v>
      </c>
    </row>
    <row r="37" spans="1:23" x14ac:dyDescent="0.3">
      <c r="A37" s="1">
        <v>6</v>
      </c>
      <c r="B37" s="1" t="s">
        <v>12</v>
      </c>
      <c r="C37" s="1" t="s">
        <v>11</v>
      </c>
      <c r="D37" s="1"/>
      <c r="E37" s="1">
        <v>3</v>
      </c>
      <c r="F37" s="24">
        <v>0</v>
      </c>
      <c r="G37" s="1">
        <f>2/6</f>
        <v>0.33333333333333331</v>
      </c>
      <c r="H37" s="1">
        <v>0</v>
      </c>
      <c r="I37" s="5">
        <f>3/9</f>
        <v>0.33333333333333331</v>
      </c>
      <c r="J37" s="5">
        <f>4/14</f>
        <v>0.2857142857142857</v>
      </c>
      <c r="K37" s="4">
        <f t="shared" si="3"/>
        <v>0.19047619047619047</v>
      </c>
    </row>
    <row r="38" spans="1:23" x14ac:dyDescent="0.3">
      <c r="A38" s="26"/>
      <c r="B38" s="26"/>
      <c r="C38" s="26"/>
      <c r="D38" s="26"/>
      <c r="E38" s="26"/>
    </row>
    <row r="40" spans="1:23" x14ac:dyDescent="0.3">
      <c r="A40" s="1" t="s">
        <v>22</v>
      </c>
      <c r="B40" s="1"/>
      <c r="C40" s="1"/>
      <c r="D40" s="1"/>
      <c r="E40" s="1"/>
      <c r="F40" s="3" t="s">
        <v>13</v>
      </c>
      <c r="G40" s="1" t="s">
        <v>14</v>
      </c>
      <c r="H40" s="1" t="s">
        <v>16</v>
      </c>
      <c r="I40" s="1" t="s">
        <v>17</v>
      </c>
      <c r="J40" s="1" t="s">
        <v>18</v>
      </c>
      <c r="K40" s="4" t="s">
        <v>15</v>
      </c>
    </row>
    <row r="41" spans="1:23" x14ac:dyDescent="0.3">
      <c r="A41" s="1"/>
      <c r="B41" s="1"/>
      <c r="C41" s="1" t="s">
        <v>1</v>
      </c>
      <c r="D41" s="1" t="s">
        <v>3</v>
      </c>
      <c r="E41" s="1" t="s">
        <v>4</v>
      </c>
      <c r="F41" s="3" t="s">
        <v>5</v>
      </c>
      <c r="G41" s="1" t="s">
        <v>5</v>
      </c>
      <c r="H41" s="1" t="s">
        <v>5</v>
      </c>
      <c r="I41" s="1" t="s">
        <v>5</v>
      </c>
      <c r="J41" s="1" t="s">
        <v>5</v>
      </c>
      <c r="K41" s="4" t="s">
        <v>5</v>
      </c>
    </row>
    <row r="42" spans="1:23" x14ac:dyDescent="0.3">
      <c r="A42" s="1">
        <v>1</v>
      </c>
      <c r="B42" s="1" t="s">
        <v>0</v>
      </c>
      <c r="C42" s="1" t="s">
        <v>9</v>
      </c>
      <c r="D42" s="1"/>
      <c r="E42" s="1"/>
      <c r="F42" s="24">
        <f>4/199</f>
        <v>2.0100502512562814E-2</v>
      </c>
      <c r="G42" s="1">
        <f>9/362</f>
        <v>2.4861878453038673E-2</v>
      </c>
      <c r="H42" s="1">
        <f>2/48</f>
        <v>4.1666666666666664E-2</v>
      </c>
      <c r="I42" s="5">
        <f>5/466</f>
        <v>1.0729613733905579E-2</v>
      </c>
      <c r="J42" s="5">
        <f>5/536</f>
        <v>9.3283582089552231E-3</v>
      </c>
      <c r="K42" s="4">
        <f>AVERAGE(F42:J42)</f>
        <v>2.1337403915025789E-2</v>
      </c>
    </row>
    <row r="43" spans="1:23" x14ac:dyDescent="0.3">
      <c r="A43" s="1">
        <v>2</v>
      </c>
      <c r="B43" s="1" t="s">
        <v>6</v>
      </c>
      <c r="C43" s="1" t="s">
        <v>2</v>
      </c>
      <c r="D43" s="1"/>
      <c r="E43" s="1"/>
      <c r="F43" s="24">
        <f>4/123</f>
        <v>3.2520325203252036E-2</v>
      </c>
      <c r="G43" s="1">
        <f>9/158</f>
        <v>5.6962025316455694E-2</v>
      </c>
      <c r="H43" s="1">
        <f>2/19</f>
        <v>0.10526315789473684</v>
      </c>
      <c r="I43" s="5">
        <f>5/145</f>
        <v>3.4482758620689655E-2</v>
      </c>
      <c r="J43" s="5">
        <f>5/200</f>
        <v>2.5000000000000001E-2</v>
      </c>
      <c r="K43" s="4">
        <f t="shared" ref="K43:K47" si="4">AVERAGE(F43:J43)</f>
        <v>5.0845653407026847E-2</v>
      </c>
    </row>
    <row r="44" spans="1:23" x14ac:dyDescent="0.3">
      <c r="A44" s="1">
        <v>3</v>
      </c>
      <c r="B44" s="1" t="s">
        <v>8</v>
      </c>
      <c r="C44" s="1" t="s">
        <v>20</v>
      </c>
      <c r="D44" s="1"/>
      <c r="E44" s="1"/>
      <c r="F44" s="24">
        <f>0/10</f>
        <v>0</v>
      </c>
      <c r="G44" s="1">
        <f>2/18</f>
        <v>0.1111111111111111</v>
      </c>
      <c r="H44" s="1">
        <f>0/2</f>
        <v>0</v>
      </c>
      <c r="I44" s="5">
        <f>6/62</f>
        <v>9.6774193548387094E-2</v>
      </c>
      <c r="J44" s="5">
        <f>4/70</f>
        <v>5.7142857142857141E-2</v>
      </c>
      <c r="K44" s="4">
        <f t="shared" si="4"/>
        <v>5.3005632360471067E-2</v>
      </c>
    </row>
    <row r="45" spans="1:23" x14ac:dyDescent="0.3">
      <c r="A45" s="1">
        <v>4</v>
      </c>
      <c r="B45" s="1" t="s">
        <v>10</v>
      </c>
      <c r="C45" s="1" t="s">
        <v>21</v>
      </c>
      <c r="D45" s="1">
        <v>2</v>
      </c>
      <c r="E45" s="1"/>
      <c r="F45" s="24">
        <f>1/39</f>
        <v>2.564102564102564E-2</v>
      </c>
      <c r="G45" s="1">
        <f>4/20</f>
        <v>0.2</v>
      </c>
      <c r="H45" s="1">
        <f>2/10</f>
        <v>0.2</v>
      </c>
      <c r="I45" s="5">
        <f>7/61</f>
        <v>0.11475409836065574</v>
      </c>
      <c r="J45" s="5">
        <f>6/74</f>
        <v>8.1081081081081086E-2</v>
      </c>
      <c r="K45" s="4">
        <f t="shared" si="4"/>
        <v>0.1242952410165525</v>
      </c>
    </row>
    <row r="46" spans="1:23" x14ac:dyDescent="0.3">
      <c r="A46" s="1">
        <v>5</v>
      </c>
      <c r="B46" s="1" t="s">
        <v>10</v>
      </c>
      <c r="C46" s="1" t="s">
        <v>21</v>
      </c>
      <c r="D46" s="1">
        <v>3</v>
      </c>
      <c r="E46" s="1"/>
      <c r="F46" s="24">
        <f>1/28</f>
        <v>3.5714285714285712E-2</v>
      </c>
      <c r="G46" s="1">
        <f>3/12</f>
        <v>0.25</v>
      </c>
      <c r="H46" s="1">
        <f>1/3</f>
        <v>0.33333333333333331</v>
      </c>
      <c r="I46" s="5">
        <f>6/35</f>
        <v>0.17142857142857143</v>
      </c>
      <c r="J46" s="5">
        <f>4/28</f>
        <v>0.14285714285714285</v>
      </c>
      <c r="K46" s="4">
        <f t="shared" si="4"/>
        <v>0.18666666666666668</v>
      </c>
    </row>
    <row r="47" spans="1:23" x14ac:dyDescent="0.3">
      <c r="A47" s="1">
        <v>6</v>
      </c>
      <c r="B47" s="1" t="s">
        <v>12</v>
      </c>
      <c r="C47" s="1" t="s">
        <v>21</v>
      </c>
      <c r="D47" s="1"/>
      <c r="E47" s="1">
        <v>3</v>
      </c>
      <c r="F47" s="24">
        <v>0</v>
      </c>
      <c r="G47" s="1">
        <f>2/6</f>
        <v>0.33333333333333331</v>
      </c>
      <c r="H47" s="1">
        <v>0</v>
      </c>
      <c r="I47" s="5">
        <f>2/9</f>
        <v>0.22222222222222221</v>
      </c>
      <c r="J47" s="5">
        <f>4/14</f>
        <v>0.2857142857142857</v>
      </c>
      <c r="K47" s="4">
        <f t="shared" si="4"/>
        <v>0.16825396825396827</v>
      </c>
      <c r="M47" s="36" t="s">
        <v>117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 spans="1:23" x14ac:dyDescent="0.3">
      <c r="A48" s="26"/>
      <c r="B48" s="26"/>
      <c r="C48" s="26"/>
      <c r="D48" s="26"/>
      <c r="E48" s="26"/>
    </row>
    <row r="49" spans="13:23" x14ac:dyDescent="0.3">
      <c r="M49" s="6" t="s">
        <v>55</v>
      </c>
      <c r="N49" s="7" t="s">
        <v>23</v>
      </c>
      <c r="O49" s="7" t="s">
        <v>40</v>
      </c>
      <c r="P49" s="7" t="s">
        <v>26</v>
      </c>
      <c r="Q49" s="7" t="s">
        <v>27</v>
      </c>
      <c r="R49" s="7" t="s">
        <v>26</v>
      </c>
      <c r="S49" s="7" t="s">
        <v>27</v>
      </c>
      <c r="T49" s="7" t="s">
        <v>31</v>
      </c>
      <c r="U49" s="7" t="s">
        <v>31</v>
      </c>
      <c r="V49" s="7" t="s">
        <v>31</v>
      </c>
      <c r="W49" s="8" t="s">
        <v>31</v>
      </c>
    </row>
    <row r="50" spans="13:23" x14ac:dyDescent="0.3">
      <c r="M50" s="9"/>
      <c r="N50" s="14" t="s">
        <v>24</v>
      </c>
      <c r="O50" s="14" t="s">
        <v>25</v>
      </c>
      <c r="P50" t="s">
        <v>28</v>
      </c>
      <c r="Q50" t="s">
        <v>28</v>
      </c>
      <c r="R50" t="s">
        <v>30</v>
      </c>
      <c r="S50" t="s">
        <v>30</v>
      </c>
      <c r="T50" s="14" t="s">
        <v>32</v>
      </c>
      <c r="U50" s="14" t="s">
        <v>27</v>
      </c>
      <c r="V50" t="s">
        <v>37</v>
      </c>
      <c r="W50" s="10" t="s">
        <v>39</v>
      </c>
    </row>
    <row r="51" spans="13:23" x14ac:dyDescent="0.3">
      <c r="M51" s="9"/>
      <c r="P51" t="s">
        <v>29</v>
      </c>
      <c r="Q51" t="s">
        <v>29</v>
      </c>
      <c r="T51" t="s">
        <v>33</v>
      </c>
      <c r="U51" t="s">
        <v>33</v>
      </c>
      <c r="V51" t="s">
        <v>38</v>
      </c>
      <c r="W51" s="10" t="s">
        <v>38</v>
      </c>
    </row>
    <row r="52" spans="13:23" x14ac:dyDescent="0.3">
      <c r="M52" s="9"/>
      <c r="T52" t="s">
        <v>34</v>
      </c>
      <c r="U52" t="s">
        <v>34</v>
      </c>
      <c r="V52" t="s">
        <v>29</v>
      </c>
      <c r="W52" s="10" t="s">
        <v>29</v>
      </c>
    </row>
    <row r="53" spans="13:23" x14ac:dyDescent="0.3">
      <c r="M53" s="11"/>
      <c r="N53" s="12"/>
      <c r="O53" s="12"/>
      <c r="P53" s="12"/>
      <c r="Q53" s="12"/>
      <c r="R53" s="12"/>
      <c r="S53" s="12"/>
      <c r="T53" s="12" t="s">
        <v>35</v>
      </c>
      <c r="U53" s="12" t="s">
        <v>36</v>
      </c>
      <c r="V53" s="12"/>
      <c r="W53" s="13"/>
    </row>
    <row r="55" spans="13:23" x14ac:dyDescent="0.3">
      <c r="M55" s="6" t="s">
        <v>53</v>
      </c>
      <c r="N55" s="7" t="s">
        <v>23</v>
      </c>
      <c r="O55" s="7" t="s">
        <v>40</v>
      </c>
      <c r="P55" s="7" t="s">
        <v>26</v>
      </c>
      <c r="Q55" s="7" t="s">
        <v>27</v>
      </c>
      <c r="R55" s="7" t="s">
        <v>26</v>
      </c>
      <c r="S55" s="7" t="s">
        <v>27</v>
      </c>
      <c r="T55" s="7" t="s">
        <v>31</v>
      </c>
      <c r="U55" s="7" t="s">
        <v>31</v>
      </c>
      <c r="V55" s="7" t="s">
        <v>38</v>
      </c>
      <c r="W55" s="8" t="s">
        <v>38</v>
      </c>
    </row>
    <row r="56" spans="13:23" x14ac:dyDescent="0.3">
      <c r="M56" s="9"/>
      <c r="P56" t="s">
        <v>28</v>
      </c>
      <c r="Q56" t="s">
        <v>28</v>
      </c>
      <c r="R56" t="s">
        <v>30</v>
      </c>
      <c r="S56" t="s">
        <v>30</v>
      </c>
      <c r="T56" t="s">
        <v>32</v>
      </c>
      <c r="U56" t="s">
        <v>27</v>
      </c>
      <c r="V56" t="s">
        <v>31</v>
      </c>
      <c r="W56" s="10" t="s">
        <v>31</v>
      </c>
    </row>
    <row r="57" spans="13:23" x14ac:dyDescent="0.3">
      <c r="M57" s="9"/>
      <c r="P57" t="s">
        <v>29</v>
      </c>
      <c r="Q57" t="s">
        <v>29</v>
      </c>
      <c r="T57" t="s">
        <v>33</v>
      </c>
      <c r="U57" t="s">
        <v>33</v>
      </c>
      <c r="V57" t="s">
        <v>29</v>
      </c>
      <c r="W57" s="10" t="s">
        <v>29</v>
      </c>
    </row>
    <row r="58" spans="13:23" x14ac:dyDescent="0.3">
      <c r="M58" s="11"/>
      <c r="N58" s="12"/>
      <c r="O58" s="12"/>
      <c r="P58" s="12"/>
      <c r="Q58" s="12"/>
      <c r="R58" s="12"/>
      <c r="S58" s="12"/>
      <c r="T58" s="12" t="s">
        <v>34</v>
      </c>
      <c r="U58" s="12" t="s">
        <v>34</v>
      </c>
      <c r="V58" s="12" t="s">
        <v>37</v>
      </c>
      <c r="W58" s="13" t="s">
        <v>39</v>
      </c>
    </row>
    <row r="60" spans="13:23" x14ac:dyDescent="0.3">
      <c r="M60" s="6" t="s">
        <v>52</v>
      </c>
      <c r="N60" s="7"/>
      <c r="O60" s="7"/>
      <c r="P60" s="7" t="s">
        <v>28</v>
      </c>
      <c r="Q60" s="7" t="s">
        <v>28</v>
      </c>
      <c r="R60" s="7"/>
      <c r="S60" s="7"/>
      <c r="T60" s="7" t="s">
        <v>31</v>
      </c>
      <c r="U60" s="7" t="s">
        <v>31</v>
      </c>
      <c r="V60" s="7" t="s">
        <v>38</v>
      </c>
      <c r="W60" s="8" t="s">
        <v>38</v>
      </c>
    </row>
    <row r="61" spans="13:23" x14ac:dyDescent="0.3">
      <c r="M61" s="9"/>
      <c r="P61" t="s">
        <v>29</v>
      </c>
      <c r="Q61" t="s">
        <v>29</v>
      </c>
      <c r="T61" t="s">
        <v>33</v>
      </c>
      <c r="U61" t="s">
        <v>33</v>
      </c>
      <c r="V61" t="s">
        <v>31</v>
      </c>
      <c r="W61" s="10" t="s">
        <v>31</v>
      </c>
    </row>
    <row r="62" spans="13:23" x14ac:dyDescent="0.3">
      <c r="M62" s="9"/>
      <c r="V62" t="s">
        <v>29</v>
      </c>
      <c r="W62" s="10" t="s">
        <v>29</v>
      </c>
    </row>
    <row r="63" spans="13:23" x14ac:dyDescent="0.3">
      <c r="M63" s="11"/>
      <c r="N63" s="12"/>
      <c r="O63" s="12"/>
      <c r="P63" s="12"/>
      <c r="Q63" s="12"/>
      <c r="R63" s="12"/>
      <c r="S63" s="12"/>
      <c r="T63" s="12"/>
      <c r="U63" s="12"/>
      <c r="V63" s="12" t="s">
        <v>37</v>
      </c>
      <c r="W63" s="13" t="s">
        <v>39</v>
      </c>
    </row>
    <row r="65" spans="13:23" x14ac:dyDescent="0.3">
      <c r="M65" s="6" t="s">
        <v>48</v>
      </c>
      <c r="N65" s="7" t="s">
        <v>23</v>
      </c>
      <c r="O65" s="7" t="s">
        <v>40</v>
      </c>
      <c r="P65" s="7" t="s">
        <v>26</v>
      </c>
      <c r="Q65" s="7" t="s">
        <v>27</v>
      </c>
      <c r="R65" s="7" t="s">
        <v>26</v>
      </c>
      <c r="S65" s="7" t="s">
        <v>27</v>
      </c>
      <c r="T65" s="7" t="s">
        <v>31</v>
      </c>
      <c r="U65" s="7" t="s">
        <v>31</v>
      </c>
      <c r="V65" s="7" t="s">
        <v>37</v>
      </c>
      <c r="W65" s="8" t="s">
        <v>39</v>
      </c>
    </row>
    <row r="66" spans="13:23" x14ac:dyDescent="0.3">
      <c r="M66" s="9"/>
      <c r="P66" t="s">
        <v>28</v>
      </c>
      <c r="Q66" t="s">
        <v>28</v>
      </c>
      <c r="T66" t="s">
        <v>33</v>
      </c>
      <c r="U66" t="s">
        <v>33</v>
      </c>
      <c r="V66" t="s">
        <v>38</v>
      </c>
      <c r="W66" s="10" t="s">
        <v>38</v>
      </c>
    </row>
    <row r="67" spans="13:23" x14ac:dyDescent="0.3">
      <c r="M67" s="9"/>
      <c r="P67" t="s">
        <v>29</v>
      </c>
      <c r="Q67" t="s">
        <v>29</v>
      </c>
      <c r="T67" s="14" t="s">
        <v>41</v>
      </c>
      <c r="U67" s="14" t="s">
        <v>42</v>
      </c>
      <c r="V67" t="s">
        <v>31</v>
      </c>
      <c r="W67" s="10" t="s">
        <v>31</v>
      </c>
    </row>
    <row r="68" spans="13:23" x14ac:dyDescent="0.3">
      <c r="M68" s="9"/>
      <c r="T68" t="s">
        <v>34</v>
      </c>
      <c r="U68" t="s">
        <v>34</v>
      </c>
      <c r="V68" t="s">
        <v>29</v>
      </c>
      <c r="W68" s="10" t="s">
        <v>29</v>
      </c>
    </row>
    <row r="69" spans="13:23" x14ac:dyDescent="0.3">
      <c r="M69" s="9"/>
      <c r="T69" t="s">
        <v>35</v>
      </c>
      <c r="U69" t="s">
        <v>36</v>
      </c>
      <c r="W69" s="10"/>
    </row>
    <row r="70" spans="13:23" x14ac:dyDescent="0.3">
      <c r="M70" s="11"/>
      <c r="N70" s="12"/>
      <c r="O70" s="12"/>
      <c r="P70" s="12"/>
      <c r="Q70" s="12"/>
      <c r="R70" s="12"/>
      <c r="S70" s="12"/>
      <c r="T70" s="12" t="s">
        <v>50</v>
      </c>
      <c r="U70" s="12" t="s">
        <v>35</v>
      </c>
      <c r="V70" s="12"/>
      <c r="W70" s="13"/>
    </row>
    <row r="75" spans="13:23" x14ac:dyDescent="0.3">
      <c r="M75" s="6" t="s">
        <v>49</v>
      </c>
      <c r="N75" s="7"/>
      <c r="O75" s="7"/>
      <c r="P75" s="7" t="s">
        <v>28</v>
      </c>
      <c r="Q75" s="7" t="s">
        <v>28</v>
      </c>
      <c r="R75" s="7"/>
      <c r="S75" s="7"/>
      <c r="T75" s="7" t="s">
        <v>31</v>
      </c>
      <c r="U75" s="7" t="s">
        <v>31</v>
      </c>
      <c r="V75" s="7" t="s">
        <v>38</v>
      </c>
      <c r="W75" s="8" t="s">
        <v>38</v>
      </c>
    </row>
    <row r="76" spans="13:23" x14ac:dyDescent="0.3">
      <c r="M76" s="9"/>
      <c r="P76" t="s">
        <v>29</v>
      </c>
      <c r="Q76" t="s">
        <v>29</v>
      </c>
      <c r="T76" t="s">
        <v>50</v>
      </c>
      <c r="U76" t="s">
        <v>35</v>
      </c>
      <c r="V76" t="s">
        <v>31</v>
      </c>
      <c r="W76" s="10" t="s">
        <v>31</v>
      </c>
    </row>
    <row r="77" spans="13:23" x14ac:dyDescent="0.3">
      <c r="M77" s="9"/>
      <c r="T77" t="s">
        <v>33</v>
      </c>
      <c r="U77" t="s">
        <v>33</v>
      </c>
      <c r="V77" t="s">
        <v>29</v>
      </c>
      <c r="W77" s="10" t="s">
        <v>29</v>
      </c>
    </row>
    <row r="78" spans="13:23" x14ac:dyDescent="0.3">
      <c r="M78" s="9"/>
      <c r="V78" t="s">
        <v>37</v>
      </c>
      <c r="W78" s="10" t="s">
        <v>39</v>
      </c>
    </row>
    <row r="79" spans="13:23" x14ac:dyDescent="0.3">
      <c r="M79" s="11"/>
      <c r="N79" s="12"/>
      <c r="O79" s="12"/>
      <c r="P79" s="12"/>
      <c r="Q79" s="12"/>
      <c r="R79" s="12"/>
      <c r="S79" s="12"/>
      <c r="T79" s="12"/>
      <c r="U79" s="12"/>
      <c r="V79" s="12"/>
      <c r="W79" s="13"/>
    </row>
    <row r="81" spans="13:23" x14ac:dyDescent="0.3">
      <c r="M81" s="6" t="s">
        <v>51</v>
      </c>
      <c r="N81" s="7"/>
      <c r="O81" s="7"/>
      <c r="P81" s="7" t="s">
        <v>29</v>
      </c>
      <c r="Q81" s="7" t="s">
        <v>29</v>
      </c>
      <c r="R81" s="7"/>
      <c r="S81" s="7"/>
      <c r="T81" s="7" t="s">
        <v>31</v>
      </c>
      <c r="U81" s="7" t="s">
        <v>31</v>
      </c>
      <c r="V81" s="7" t="s">
        <v>31</v>
      </c>
      <c r="W81" s="8" t="s">
        <v>31</v>
      </c>
    </row>
    <row r="82" spans="13:23" x14ac:dyDescent="0.3">
      <c r="M82" s="9"/>
      <c r="P82" t="s">
        <v>28</v>
      </c>
      <c r="Q82" t="s">
        <v>28</v>
      </c>
      <c r="T82" t="s">
        <v>33</v>
      </c>
      <c r="U82" t="s">
        <v>33</v>
      </c>
      <c r="V82" t="s">
        <v>37</v>
      </c>
      <c r="W82" s="10" t="s">
        <v>39</v>
      </c>
    </row>
    <row r="83" spans="13:23" x14ac:dyDescent="0.3">
      <c r="M83" s="9"/>
      <c r="T83" t="s">
        <v>34</v>
      </c>
      <c r="U83" t="s">
        <v>34</v>
      </c>
      <c r="V83" t="s">
        <v>38</v>
      </c>
      <c r="W83" s="10" t="s">
        <v>38</v>
      </c>
    </row>
    <row r="84" spans="13:23" x14ac:dyDescent="0.3">
      <c r="M84" s="11"/>
      <c r="N84" s="12"/>
      <c r="O84" s="12"/>
      <c r="P84" s="12"/>
      <c r="Q84" s="12"/>
      <c r="R84" s="12"/>
      <c r="S84" s="12"/>
      <c r="T84" s="12"/>
      <c r="U84" s="12"/>
      <c r="V84" s="12" t="s">
        <v>29</v>
      </c>
      <c r="W84" s="13" t="s">
        <v>29</v>
      </c>
    </row>
    <row r="86" spans="13:23" x14ac:dyDescent="0.3">
      <c r="M86" s="6" t="s">
        <v>54</v>
      </c>
      <c r="N86" s="7" t="s">
        <v>23</v>
      </c>
      <c r="O86" s="7" t="s">
        <v>40</v>
      </c>
      <c r="P86" s="7" t="s">
        <v>26</v>
      </c>
      <c r="Q86" s="7" t="s">
        <v>27</v>
      </c>
      <c r="R86" s="7" t="s">
        <v>26</v>
      </c>
      <c r="S86" s="7" t="s">
        <v>27</v>
      </c>
      <c r="T86" s="7" t="s">
        <v>31</v>
      </c>
      <c r="U86" s="7" t="s">
        <v>31</v>
      </c>
      <c r="V86" s="7" t="s">
        <v>31</v>
      </c>
      <c r="W86" s="8" t="s">
        <v>31</v>
      </c>
    </row>
    <row r="87" spans="13:23" x14ac:dyDescent="0.3">
      <c r="M87" s="9"/>
      <c r="N87" s="14" t="s">
        <v>56</v>
      </c>
      <c r="O87" s="14" t="s">
        <v>57</v>
      </c>
      <c r="P87" t="s">
        <v>28</v>
      </c>
      <c r="Q87" t="s">
        <v>28</v>
      </c>
      <c r="R87" t="s">
        <v>30</v>
      </c>
      <c r="S87" t="s">
        <v>30</v>
      </c>
      <c r="T87" t="s">
        <v>32</v>
      </c>
      <c r="U87" t="s">
        <v>27</v>
      </c>
      <c r="V87" t="s">
        <v>37</v>
      </c>
      <c r="W87" s="10" t="s">
        <v>39</v>
      </c>
    </row>
    <row r="88" spans="13:23" x14ac:dyDescent="0.3">
      <c r="M88" s="9"/>
      <c r="N88" s="14" t="s">
        <v>58</v>
      </c>
      <c r="O88" s="14" t="s">
        <v>59</v>
      </c>
      <c r="P88" t="s">
        <v>29</v>
      </c>
      <c r="Q88" t="s">
        <v>29</v>
      </c>
      <c r="T88" t="s">
        <v>33</v>
      </c>
      <c r="U88" t="s">
        <v>33</v>
      </c>
      <c r="V88" t="s">
        <v>38</v>
      </c>
      <c r="W88" s="10" t="s">
        <v>38</v>
      </c>
    </row>
    <row r="89" spans="13:23" x14ac:dyDescent="0.3">
      <c r="M89" s="9"/>
      <c r="N89" t="s">
        <v>24</v>
      </c>
      <c r="O89" t="s">
        <v>25</v>
      </c>
      <c r="P89" s="14" t="s">
        <v>60</v>
      </c>
      <c r="Q89" s="14" t="s">
        <v>60</v>
      </c>
      <c r="T89" t="s">
        <v>34</v>
      </c>
      <c r="U89" t="s">
        <v>34</v>
      </c>
      <c r="V89" t="s">
        <v>29</v>
      </c>
      <c r="W89" s="10" t="s">
        <v>29</v>
      </c>
    </row>
    <row r="90" spans="13:23" x14ac:dyDescent="0.3">
      <c r="M90" s="9"/>
      <c r="P90" s="14" t="s">
        <v>61</v>
      </c>
      <c r="Q90" s="14" t="s">
        <v>61</v>
      </c>
      <c r="T90" t="s">
        <v>70</v>
      </c>
      <c r="U90" t="s">
        <v>36</v>
      </c>
      <c r="V90" s="14" t="s">
        <v>66</v>
      </c>
      <c r="W90" s="16" t="s">
        <v>66</v>
      </c>
    </row>
    <row r="91" spans="13:23" x14ac:dyDescent="0.3">
      <c r="M91" s="9"/>
      <c r="P91" s="14" t="s">
        <v>62</v>
      </c>
      <c r="Q91" s="14" t="s">
        <v>62</v>
      </c>
      <c r="W91" s="10"/>
    </row>
    <row r="92" spans="13:23" x14ac:dyDescent="0.3">
      <c r="M92" s="9"/>
      <c r="P92" s="14" t="s">
        <v>63</v>
      </c>
      <c r="Q92" s="14" t="s">
        <v>63</v>
      </c>
      <c r="W92" s="10"/>
    </row>
    <row r="93" spans="13:23" x14ac:dyDescent="0.3">
      <c r="M93" s="9"/>
      <c r="P93" s="14" t="s">
        <v>68</v>
      </c>
      <c r="Q93" s="14" t="s">
        <v>64</v>
      </c>
      <c r="W93" s="10"/>
    </row>
    <row r="94" spans="13:23" x14ac:dyDescent="0.3">
      <c r="M94" s="11"/>
      <c r="N94" s="12"/>
      <c r="O94" s="12"/>
      <c r="P94" s="15" t="s">
        <v>65</v>
      </c>
      <c r="Q94" s="15" t="s">
        <v>65</v>
      </c>
      <c r="R94" s="12"/>
      <c r="S94" s="12"/>
      <c r="T94" s="12"/>
      <c r="U94" s="12"/>
      <c r="V94" s="12"/>
      <c r="W94" s="13"/>
    </row>
    <row r="96" spans="13:23" x14ac:dyDescent="0.3">
      <c r="M96" s="6" t="s">
        <v>67</v>
      </c>
      <c r="N96" s="7" t="s">
        <v>23</v>
      </c>
      <c r="O96" s="7" t="s">
        <v>40</v>
      </c>
      <c r="P96" s="7" t="s">
        <v>26</v>
      </c>
      <c r="Q96" s="7" t="s">
        <v>27</v>
      </c>
      <c r="R96" s="7" t="s">
        <v>26</v>
      </c>
      <c r="S96" s="7" t="s">
        <v>27</v>
      </c>
      <c r="T96" s="7" t="s">
        <v>31</v>
      </c>
      <c r="U96" s="7" t="s">
        <v>31</v>
      </c>
      <c r="V96" s="7" t="s">
        <v>38</v>
      </c>
      <c r="W96" s="8" t="s">
        <v>38</v>
      </c>
    </row>
    <row r="97" spans="13:23" x14ac:dyDescent="0.3">
      <c r="M97" s="9"/>
      <c r="N97" s="14" t="s">
        <v>56</v>
      </c>
      <c r="O97" s="14" t="s">
        <v>57</v>
      </c>
      <c r="P97" t="s">
        <v>28</v>
      </c>
      <c r="Q97" t="s">
        <v>28</v>
      </c>
      <c r="R97" t="s">
        <v>30</v>
      </c>
      <c r="S97" t="s">
        <v>30</v>
      </c>
      <c r="T97" t="s">
        <v>32</v>
      </c>
      <c r="U97" t="s">
        <v>27</v>
      </c>
      <c r="V97" t="s">
        <v>31</v>
      </c>
      <c r="W97" s="10" t="s">
        <v>31</v>
      </c>
    </row>
    <row r="98" spans="13:23" x14ac:dyDescent="0.3">
      <c r="M98" s="9"/>
      <c r="N98" s="14" t="s">
        <v>58</v>
      </c>
      <c r="O98" s="14" t="s">
        <v>59</v>
      </c>
      <c r="P98" t="s">
        <v>29</v>
      </c>
      <c r="Q98" t="s">
        <v>29</v>
      </c>
      <c r="T98" t="s">
        <v>33</v>
      </c>
      <c r="U98" t="s">
        <v>33</v>
      </c>
      <c r="V98" t="s">
        <v>29</v>
      </c>
      <c r="W98" s="10" t="s">
        <v>29</v>
      </c>
    </row>
    <row r="99" spans="13:23" x14ac:dyDescent="0.3">
      <c r="M99" s="9"/>
      <c r="N99" t="s">
        <v>24</v>
      </c>
      <c r="O99" t="s">
        <v>25</v>
      </c>
      <c r="P99" s="14" t="s">
        <v>60</v>
      </c>
      <c r="Q99" s="14" t="s">
        <v>60</v>
      </c>
      <c r="T99" t="s">
        <v>34</v>
      </c>
      <c r="U99" t="s">
        <v>34</v>
      </c>
      <c r="V99" t="s">
        <v>37</v>
      </c>
      <c r="W99" s="10" t="s">
        <v>39</v>
      </c>
    </row>
    <row r="100" spans="13:23" x14ac:dyDescent="0.3">
      <c r="M100" s="9"/>
      <c r="P100" s="14" t="s">
        <v>61</v>
      </c>
      <c r="Q100" s="14" t="s">
        <v>61</v>
      </c>
      <c r="T100" s="14" t="s">
        <v>70</v>
      </c>
      <c r="U100" s="14" t="s">
        <v>36</v>
      </c>
      <c r="V100" s="14" t="s">
        <v>66</v>
      </c>
      <c r="W100" s="16" t="s">
        <v>66</v>
      </c>
    </row>
    <row r="101" spans="13:23" x14ac:dyDescent="0.3">
      <c r="M101" s="9"/>
      <c r="P101" s="14" t="s">
        <v>62</v>
      </c>
      <c r="Q101" s="14" t="s">
        <v>62</v>
      </c>
      <c r="W101" s="10"/>
    </row>
    <row r="102" spans="13:23" x14ac:dyDescent="0.3">
      <c r="M102" s="9"/>
      <c r="P102" s="14" t="s">
        <v>63</v>
      </c>
      <c r="Q102" s="14" t="s">
        <v>63</v>
      </c>
      <c r="W102" s="10"/>
    </row>
    <row r="103" spans="13:23" x14ac:dyDescent="0.3">
      <c r="M103" s="9"/>
      <c r="P103" s="14" t="s">
        <v>68</v>
      </c>
      <c r="Q103" s="14" t="s">
        <v>64</v>
      </c>
      <c r="W103" s="10"/>
    </row>
    <row r="104" spans="13:23" x14ac:dyDescent="0.3">
      <c r="M104" s="11"/>
      <c r="N104" s="12"/>
      <c r="O104" s="12"/>
      <c r="P104" s="15" t="s">
        <v>65</v>
      </c>
      <c r="Q104" s="15" t="s">
        <v>65</v>
      </c>
      <c r="R104" s="12"/>
      <c r="S104" s="12"/>
      <c r="T104" s="12"/>
      <c r="U104" s="12"/>
      <c r="V104" s="12"/>
      <c r="W104" s="13"/>
    </row>
    <row r="106" spans="13:23" x14ac:dyDescent="0.3">
      <c r="M106" s="6" t="s">
        <v>69</v>
      </c>
      <c r="N106" s="7"/>
      <c r="O106" s="7"/>
      <c r="P106" s="7" t="s">
        <v>28</v>
      </c>
      <c r="Q106" s="7" t="s">
        <v>28</v>
      </c>
      <c r="R106" s="7"/>
      <c r="S106" s="7"/>
      <c r="T106" s="7" t="s">
        <v>31</v>
      </c>
      <c r="U106" s="7" t="s">
        <v>31</v>
      </c>
      <c r="V106" s="7" t="s">
        <v>38</v>
      </c>
      <c r="W106" s="8" t="s">
        <v>38</v>
      </c>
    </row>
    <row r="107" spans="13:23" x14ac:dyDescent="0.3">
      <c r="M107" s="9"/>
      <c r="P107" t="s">
        <v>29</v>
      </c>
      <c r="Q107" t="s">
        <v>29</v>
      </c>
      <c r="T107" t="s">
        <v>33</v>
      </c>
      <c r="U107" t="s">
        <v>33</v>
      </c>
      <c r="V107" t="s">
        <v>31</v>
      </c>
      <c r="W107" s="10" t="s">
        <v>31</v>
      </c>
    </row>
    <row r="108" spans="13:23" x14ac:dyDescent="0.3">
      <c r="M108" s="9"/>
      <c r="T108" s="14" t="s">
        <v>50</v>
      </c>
      <c r="U108" s="14" t="s">
        <v>35</v>
      </c>
      <c r="V108" t="s">
        <v>29</v>
      </c>
      <c r="W108" s="10" t="s">
        <v>29</v>
      </c>
    </row>
    <row r="109" spans="13:23" x14ac:dyDescent="0.3">
      <c r="M109" s="9"/>
      <c r="T109" s="14" t="s">
        <v>70</v>
      </c>
      <c r="U109" s="14" t="s">
        <v>36</v>
      </c>
      <c r="V109" t="s">
        <v>37</v>
      </c>
      <c r="W109" s="10" t="s">
        <v>39</v>
      </c>
    </row>
    <row r="110" spans="13:23" x14ac:dyDescent="0.3">
      <c r="M110" s="9"/>
      <c r="T110" s="14" t="s">
        <v>41</v>
      </c>
      <c r="U110" s="14" t="s">
        <v>42</v>
      </c>
      <c r="W110" s="10"/>
    </row>
    <row r="111" spans="13:23" x14ac:dyDescent="0.3">
      <c r="M111" s="11"/>
      <c r="N111" s="12"/>
      <c r="O111" s="12"/>
      <c r="P111" s="12"/>
      <c r="Q111" s="12"/>
      <c r="R111" s="12"/>
      <c r="S111" s="12"/>
      <c r="T111" s="15" t="s">
        <v>34</v>
      </c>
      <c r="U111" s="15" t="s">
        <v>34</v>
      </c>
      <c r="V111" s="12"/>
      <c r="W111" s="13"/>
    </row>
    <row r="113" spans="13:23" x14ac:dyDescent="0.3">
      <c r="M113" s="6" t="s">
        <v>71</v>
      </c>
      <c r="N113" s="7" t="s">
        <v>23</v>
      </c>
      <c r="O113" s="7" t="s">
        <v>40</v>
      </c>
      <c r="P113" s="7" t="s">
        <v>26</v>
      </c>
      <c r="Q113" s="7" t="s">
        <v>27</v>
      </c>
      <c r="R113" s="7" t="s">
        <v>26</v>
      </c>
      <c r="S113" s="7" t="s">
        <v>27</v>
      </c>
      <c r="T113" s="7" t="s">
        <v>31</v>
      </c>
      <c r="U113" s="7" t="s">
        <v>31</v>
      </c>
      <c r="V113" s="7" t="s">
        <v>37</v>
      </c>
      <c r="W113" s="8" t="s">
        <v>39</v>
      </c>
    </row>
    <row r="114" spans="13:23" x14ac:dyDescent="0.3">
      <c r="M114" s="9"/>
      <c r="P114" t="s">
        <v>28</v>
      </c>
      <c r="Q114" t="s">
        <v>28</v>
      </c>
      <c r="R114" s="14" t="s">
        <v>30</v>
      </c>
      <c r="S114" s="14" t="s">
        <v>30</v>
      </c>
      <c r="T114" t="s">
        <v>33</v>
      </c>
      <c r="U114" t="s">
        <v>33</v>
      </c>
      <c r="V114" t="s">
        <v>38</v>
      </c>
      <c r="W114" s="10" t="s">
        <v>38</v>
      </c>
    </row>
    <row r="115" spans="13:23" x14ac:dyDescent="0.3">
      <c r="M115" s="9"/>
      <c r="P115" t="s">
        <v>29</v>
      </c>
      <c r="Q115" t="s">
        <v>29</v>
      </c>
      <c r="T115" t="s">
        <v>41</v>
      </c>
      <c r="U115" t="s">
        <v>42</v>
      </c>
      <c r="V115" t="s">
        <v>31</v>
      </c>
      <c r="W115" s="10" t="s">
        <v>31</v>
      </c>
    </row>
    <row r="116" spans="13:23" x14ac:dyDescent="0.3">
      <c r="M116" s="9"/>
      <c r="P116" s="14" t="s">
        <v>63</v>
      </c>
      <c r="Q116" s="14" t="s">
        <v>63</v>
      </c>
      <c r="T116" t="s">
        <v>34</v>
      </c>
      <c r="U116" t="s">
        <v>34</v>
      </c>
      <c r="V116" t="s">
        <v>29</v>
      </c>
      <c r="W116" s="10" t="s">
        <v>29</v>
      </c>
    </row>
    <row r="117" spans="13:23" x14ac:dyDescent="0.3">
      <c r="M117" s="9"/>
      <c r="T117" t="s">
        <v>35</v>
      </c>
      <c r="U117" t="s">
        <v>36</v>
      </c>
      <c r="V117" s="14" t="s">
        <v>66</v>
      </c>
      <c r="W117" s="16" t="s">
        <v>66</v>
      </c>
    </row>
    <row r="118" spans="13:23" x14ac:dyDescent="0.3">
      <c r="M118" s="9"/>
      <c r="T118" t="s">
        <v>50</v>
      </c>
      <c r="U118" t="s">
        <v>35</v>
      </c>
      <c r="V118" s="14" t="s">
        <v>72</v>
      </c>
      <c r="W118" s="16" t="s">
        <v>73</v>
      </c>
    </row>
    <row r="119" spans="13:23" x14ac:dyDescent="0.3">
      <c r="M119" s="11"/>
      <c r="N119" s="12"/>
      <c r="O119" s="12"/>
      <c r="P119" s="12"/>
      <c r="Q119" s="12"/>
      <c r="R119" s="12"/>
      <c r="S119" s="12"/>
      <c r="T119" s="15" t="s">
        <v>32</v>
      </c>
      <c r="U119" s="15" t="s">
        <v>27</v>
      </c>
      <c r="V119" s="12"/>
      <c r="W119" s="13"/>
    </row>
    <row r="124" spans="13:23" x14ac:dyDescent="0.3">
      <c r="M124" s="6" t="s">
        <v>74</v>
      </c>
      <c r="N124" s="7" t="s">
        <v>23</v>
      </c>
      <c r="O124" s="7" t="s">
        <v>40</v>
      </c>
      <c r="P124" s="7" t="s">
        <v>28</v>
      </c>
      <c r="Q124" s="7" t="s">
        <v>28</v>
      </c>
      <c r="R124" s="7" t="s">
        <v>26</v>
      </c>
      <c r="S124" s="7" t="s">
        <v>27</v>
      </c>
      <c r="T124" s="7" t="s">
        <v>31</v>
      </c>
      <c r="U124" s="7" t="s">
        <v>31</v>
      </c>
      <c r="V124" s="7" t="s">
        <v>38</v>
      </c>
      <c r="W124" s="8" t="s">
        <v>38</v>
      </c>
    </row>
    <row r="125" spans="13:23" x14ac:dyDescent="0.3">
      <c r="M125" s="9"/>
      <c r="P125" t="s">
        <v>29</v>
      </c>
      <c r="Q125" t="s">
        <v>29</v>
      </c>
      <c r="T125" t="s">
        <v>50</v>
      </c>
      <c r="U125" t="s">
        <v>35</v>
      </c>
      <c r="V125" t="s">
        <v>31</v>
      </c>
      <c r="W125" s="10" t="s">
        <v>31</v>
      </c>
    </row>
    <row r="126" spans="13:23" x14ac:dyDescent="0.3">
      <c r="M126" s="9"/>
      <c r="P126" s="14" t="s">
        <v>26</v>
      </c>
      <c r="Q126" s="14" t="s">
        <v>27</v>
      </c>
      <c r="T126" t="s">
        <v>33</v>
      </c>
      <c r="U126" t="s">
        <v>33</v>
      </c>
      <c r="V126" t="s">
        <v>29</v>
      </c>
      <c r="W126" s="10" t="s">
        <v>29</v>
      </c>
    </row>
    <row r="127" spans="13:23" x14ac:dyDescent="0.3">
      <c r="M127" s="9"/>
      <c r="T127" s="14" t="s">
        <v>35</v>
      </c>
      <c r="U127" s="14" t="s">
        <v>36</v>
      </c>
      <c r="V127" t="s">
        <v>37</v>
      </c>
      <c r="W127" s="10" t="s">
        <v>39</v>
      </c>
    </row>
    <row r="128" spans="13:23" x14ac:dyDescent="0.3">
      <c r="M128" s="9"/>
      <c r="T128" s="14" t="s">
        <v>41</v>
      </c>
      <c r="U128" s="14" t="s">
        <v>42</v>
      </c>
      <c r="W128" s="10"/>
    </row>
    <row r="129" spans="13:23" x14ac:dyDescent="0.3">
      <c r="M129" s="11"/>
      <c r="N129" s="12"/>
      <c r="O129" s="12"/>
      <c r="P129" s="12"/>
      <c r="Q129" s="12"/>
      <c r="R129" s="12"/>
      <c r="S129" s="12"/>
      <c r="T129" s="15" t="s">
        <v>34</v>
      </c>
      <c r="U129" s="15" t="s">
        <v>34</v>
      </c>
      <c r="V129" s="12"/>
      <c r="W129" s="13"/>
    </row>
    <row r="134" spans="13:23" x14ac:dyDescent="0.3">
      <c r="M134" s="6" t="s">
        <v>75</v>
      </c>
      <c r="N134" s="7"/>
      <c r="O134" s="7"/>
      <c r="P134" s="7" t="s">
        <v>29</v>
      </c>
      <c r="Q134" s="7" t="s">
        <v>29</v>
      </c>
      <c r="R134" s="7"/>
      <c r="S134" s="7"/>
      <c r="T134" s="7" t="s">
        <v>31</v>
      </c>
      <c r="U134" s="7" t="s">
        <v>31</v>
      </c>
      <c r="V134" s="7" t="s">
        <v>31</v>
      </c>
      <c r="W134" s="8" t="s">
        <v>31</v>
      </c>
    </row>
    <row r="135" spans="13:23" x14ac:dyDescent="0.3">
      <c r="M135" s="9"/>
      <c r="P135" t="s">
        <v>28</v>
      </c>
      <c r="Q135" t="s">
        <v>28</v>
      </c>
      <c r="T135" t="s">
        <v>33</v>
      </c>
      <c r="U135" t="s">
        <v>33</v>
      </c>
      <c r="V135" t="s">
        <v>37</v>
      </c>
      <c r="W135" s="10" t="s">
        <v>39</v>
      </c>
    </row>
    <row r="136" spans="13:23" x14ac:dyDescent="0.3">
      <c r="M136" s="9"/>
      <c r="V136" t="s">
        <v>38</v>
      </c>
      <c r="W136" s="10" t="s">
        <v>38</v>
      </c>
    </row>
    <row r="137" spans="13:23" x14ac:dyDescent="0.3">
      <c r="M137" s="11"/>
      <c r="N137" s="12"/>
      <c r="O137" s="12"/>
      <c r="P137" s="12"/>
      <c r="Q137" s="12"/>
      <c r="R137" s="12"/>
      <c r="S137" s="12"/>
      <c r="T137" s="12"/>
      <c r="U137" s="12"/>
      <c r="V137" s="12" t="s">
        <v>29</v>
      </c>
      <c r="W137" s="13" t="s">
        <v>29</v>
      </c>
    </row>
  </sheetData>
  <mergeCells count="2">
    <mergeCell ref="M47:W47"/>
    <mergeCell ref="M11:W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3FBF-662F-4686-B93D-B7F79DBA7A85}">
  <dimension ref="A1:W93"/>
  <sheetViews>
    <sheetView topLeftCell="K67" workbookViewId="0">
      <selection activeCell="P82" sqref="P82:Q87"/>
    </sheetView>
  </sheetViews>
  <sheetFormatPr baseColWidth="10" defaultRowHeight="14.4" x14ac:dyDescent="0.3"/>
  <cols>
    <col min="13" max="13" width="22.88671875" bestFit="1" customWidth="1"/>
    <col min="15" max="15" width="19.33203125" bestFit="1" customWidth="1"/>
  </cols>
  <sheetData>
    <row r="1" spans="1:23" x14ac:dyDescent="0.3">
      <c r="A1" s="1" t="s">
        <v>79</v>
      </c>
      <c r="B1" s="1"/>
      <c r="C1" s="1"/>
      <c r="D1" s="1"/>
      <c r="E1" s="1"/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4" t="s">
        <v>15</v>
      </c>
      <c r="M1" s="36" t="s">
        <v>117</v>
      </c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x14ac:dyDescent="0.3">
      <c r="A2" s="1"/>
      <c r="B2" s="1"/>
      <c r="C2" s="1" t="s">
        <v>1</v>
      </c>
      <c r="D2" s="1" t="s">
        <v>3</v>
      </c>
      <c r="E2" s="1" t="s">
        <v>4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4" t="s">
        <v>5</v>
      </c>
      <c r="M2" s="6" t="s">
        <v>55</v>
      </c>
      <c r="N2" s="17" t="s">
        <v>58</v>
      </c>
      <c r="O2" s="17" t="s">
        <v>59</v>
      </c>
      <c r="P2" s="7" t="s">
        <v>28</v>
      </c>
      <c r="Q2" s="7" t="s">
        <v>28</v>
      </c>
      <c r="R2" s="7" t="s">
        <v>30</v>
      </c>
      <c r="S2" s="7" t="s">
        <v>30</v>
      </c>
      <c r="T2" s="7" t="s">
        <v>31</v>
      </c>
      <c r="U2" s="7" t="s">
        <v>31</v>
      </c>
      <c r="V2" s="17" t="s">
        <v>66</v>
      </c>
      <c r="W2" s="18" t="s">
        <v>66</v>
      </c>
    </row>
    <row r="3" spans="1:23" x14ac:dyDescent="0.3">
      <c r="A3" s="1">
        <v>1</v>
      </c>
      <c r="B3" s="1" t="s">
        <v>0</v>
      </c>
      <c r="C3" s="1" t="s">
        <v>2</v>
      </c>
      <c r="D3" s="1"/>
      <c r="E3" s="1"/>
      <c r="F3" s="1">
        <f>1/9</f>
        <v>0.1111111111111111</v>
      </c>
      <c r="G3" s="1">
        <f>4/14</f>
        <v>0.2857142857142857</v>
      </c>
      <c r="H3" s="1">
        <f>2/7</f>
        <v>0.2857142857142857</v>
      </c>
      <c r="I3" s="5">
        <f>5/19</f>
        <v>0.26315789473684209</v>
      </c>
      <c r="J3" s="5">
        <f>4/15</f>
        <v>0.26666666666666666</v>
      </c>
      <c r="K3" s="4">
        <f>AVERAGE(F3:J3)</f>
        <v>0.24247284878863823</v>
      </c>
      <c r="M3" s="9"/>
      <c r="P3" s="14" t="s">
        <v>63</v>
      </c>
      <c r="Q3" s="14" t="s">
        <v>63</v>
      </c>
      <c r="R3" t="s">
        <v>26</v>
      </c>
      <c r="S3" t="s">
        <v>27</v>
      </c>
      <c r="T3" t="s">
        <v>32</v>
      </c>
      <c r="U3" t="s">
        <v>27</v>
      </c>
      <c r="V3" t="s">
        <v>31</v>
      </c>
      <c r="W3" s="10" t="s">
        <v>31</v>
      </c>
    </row>
    <row r="4" spans="1:23" x14ac:dyDescent="0.3">
      <c r="A4" s="1">
        <v>2</v>
      </c>
      <c r="B4" s="1" t="s">
        <v>6</v>
      </c>
      <c r="C4" s="1" t="s">
        <v>7</v>
      </c>
      <c r="D4" s="1"/>
      <c r="E4" s="1"/>
      <c r="F4" s="1">
        <f>1/4</f>
        <v>0.25</v>
      </c>
      <c r="G4" s="1">
        <f>3/9</f>
        <v>0.33333333333333331</v>
      </c>
      <c r="H4" s="1">
        <f>2/5</f>
        <v>0.4</v>
      </c>
      <c r="I4" s="5">
        <f>3/7</f>
        <v>0.42857142857142855</v>
      </c>
      <c r="J4" s="5">
        <f>4/9</f>
        <v>0.44444444444444442</v>
      </c>
      <c r="K4" s="4">
        <f>AVERAGE(F4:J4)</f>
        <v>0.37126984126984125</v>
      </c>
      <c r="L4">
        <f>K4/K3</f>
        <v>1.5311810915104742</v>
      </c>
      <c r="M4" s="9"/>
      <c r="P4" t="s">
        <v>26</v>
      </c>
      <c r="Q4" t="s">
        <v>27</v>
      </c>
      <c r="T4" t="s">
        <v>33</v>
      </c>
      <c r="U4" t="s">
        <v>33</v>
      </c>
      <c r="V4" t="s">
        <v>29</v>
      </c>
      <c r="W4" s="10" t="s">
        <v>29</v>
      </c>
    </row>
    <row r="5" spans="1:23" x14ac:dyDescent="0.3">
      <c r="A5" s="1">
        <v>3</v>
      </c>
      <c r="B5" s="1" t="s">
        <v>8</v>
      </c>
      <c r="C5" s="1" t="s">
        <v>9</v>
      </c>
      <c r="D5" s="1"/>
      <c r="E5" s="1"/>
      <c r="F5" s="1">
        <f>1/4</f>
        <v>0.25</v>
      </c>
      <c r="G5" s="1">
        <f>2/2</f>
        <v>1</v>
      </c>
      <c r="H5" s="1">
        <f>2/4</f>
        <v>0.5</v>
      </c>
      <c r="I5" s="5">
        <f>4/13</f>
        <v>0.30769230769230771</v>
      </c>
      <c r="J5" s="5">
        <f>4/7</f>
        <v>0.5714285714285714</v>
      </c>
      <c r="K5" s="4">
        <f t="shared" ref="K5:K8" si="0">AVERAGE(F5:J5)</f>
        <v>0.52582417582417573</v>
      </c>
      <c r="L5">
        <f>K5/K3</f>
        <v>2.168589920278178</v>
      </c>
      <c r="M5" s="9"/>
      <c r="P5" t="s">
        <v>29</v>
      </c>
      <c r="Q5" t="s">
        <v>29</v>
      </c>
      <c r="T5" t="s">
        <v>34</v>
      </c>
      <c r="U5" t="s">
        <v>34</v>
      </c>
      <c r="V5" t="s">
        <v>38</v>
      </c>
      <c r="W5" s="10" t="s">
        <v>38</v>
      </c>
    </row>
    <row r="6" spans="1:23" x14ac:dyDescent="0.3">
      <c r="A6" s="1">
        <v>4</v>
      </c>
      <c r="B6" s="1" t="s">
        <v>10</v>
      </c>
      <c r="C6" s="1" t="s">
        <v>11</v>
      </c>
      <c r="D6" s="1">
        <v>2</v>
      </c>
      <c r="E6" s="1"/>
      <c r="F6" s="1">
        <f>3/7</f>
        <v>0.42857142857142855</v>
      </c>
      <c r="G6" s="1">
        <f>9/14</f>
        <v>0.6428571428571429</v>
      </c>
      <c r="H6" s="1">
        <f>2/5</f>
        <v>0.4</v>
      </c>
      <c r="I6" s="5">
        <f>6/20</f>
        <v>0.3</v>
      </c>
      <c r="J6" s="5">
        <f>5/18</f>
        <v>0.27777777777777779</v>
      </c>
      <c r="K6" s="4">
        <f t="shared" si="0"/>
        <v>0.4098412698412699</v>
      </c>
      <c r="M6" s="9"/>
      <c r="T6" s="14" t="s">
        <v>85</v>
      </c>
      <c r="U6" s="14" t="s">
        <v>35</v>
      </c>
      <c r="W6" s="10"/>
    </row>
    <row r="7" spans="1:23" x14ac:dyDescent="0.3">
      <c r="A7" s="1">
        <v>5</v>
      </c>
      <c r="B7" s="1" t="s">
        <v>10</v>
      </c>
      <c r="C7" s="1" t="s">
        <v>11</v>
      </c>
      <c r="D7" s="1">
        <v>3</v>
      </c>
      <c r="E7" s="1"/>
      <c r="F7" s="1">
        <f>1/3</f>
        <v>0.33333333333333331</v>
      </c>
      <c r="G7" s="1">
        <f>4/7</f>
        <v>0.5714285714285714</v>
      </c>
      <c r="H7" s="1">
        <f>2/4</f>
        <v>0.5</v>
      </c>
      <c r="I7" s="5">
        <f>5/12</f>
        <v>0.41666666666666669</v>
      </c>
      <c r="J7" s="5">
        <f>5/11</f>
        <v>0.45454545454545453</v>
      </c>
      <c r="K7" s="4">
        <f t="shared" si="0"/>
        <v>0.45519480519480515</v>
      </c>
      <c r="M7" s="11"/>
      <c r="N7" s="12"/>
      <c r="O7" s="12"/>
      <c r="P7" s="12"/>
      <c r="Q7" s="12"/>
      <c r="R7" s="12"/>
      <c r="S7" s="12"/>
      <c r="T7" s="12"/>
      <c r="U7" s="12"/>
      <c r="V7" s="12"/>
      <c r="W7" s="13"/>
    </row>
    <row r="8" spans="1:23" x14ac:dyDescent="0.3">
      <c r="A8" s="1">
        <v>6</v>
      </c>
      <c r="B8" s="1" t="s">
        <v>12</v>
      </c>
      <c r="C8" s="1" t="s">
        <v>11</v>
      </c>
      <c r="D8" s="1"/>
      <c r="E8" s="1">
        <v>3</v>
      </c>
      <c r="F8" s="1">
        <f>1/3</f>
        <v>0.33333333333333331</v>
      </c>
      <c r="G8" s="1">
        <f>2/2</f>
        <v>1</v>
      </c>
      <c r="H8" s="1">
        <f>2/2</f>
        <v>1</v>
      </c>
      <c r="I8" s="5">
        <f>3/8</f>
        <v>0.375</v>
      </c>
      <c r="J8" s="5">
        <f>4/8</f>
        <v>0.5</v>
      </c>
      <c r="K8" s="4">
        <f t="shared" si="0"/>
        <v>0.64166666666666661</v>
      </c>
    </row>
    <row r="9" spans="1:23" x14ac:dyDescent="0.3">
      <c r="A9" s="26"/>
      <c r="B9" s="26"/>
      <c r="C9" s="26"/>
      <c r="M9" s="6" t="s">
        <v>80</v>
      </c>
      <c r="N9" s="17" t="s">
        <v>58</v>
      </c>
      <c r="O9" s="17" t="s">
        <v>59</v>
      </c>
      <c r="P9" s="7" t="s">
        <v>26</v>
      </c>
      <c r="Q9" s="7" t="s">
        <v>27</v>
      </c>
      <c r="R9" s="7" t="s">
        <v>30</v>
      </c>
      <c r="S9" s="7" t="s">
        <v>30</v>
      </c>
      <c r="T9" s="7" t="s">
        <v>33</v>
      </c>
      <c r="U9" s="7" t="s">
        <v>33</v>
      </c>
      <c r="V9" s="17" t="s">
        <v>66</v>
      </c>
      <c r="W9" s="18" t="s">
        <v>66</v>
      </c>
    </row>
    <row r="10" spans="1:23" x14ac:dyDescent="0.3">
      <c r="M10" s="9"/>
      <c r="P10" t="s">
        <v>28</v>
      </c>
      <c r="Q10" t="s">
        <v>28</v>
      </c>
      <c r="R10" t="s">
        <v>26</v>
      </c>
      <c r="S10" t="s">
        <v>27</v>
      </c>
      <c r="T10" t="s">
        <v>34</v>
      </c>
      <c r="U10" t="s">
        <v>34</v>
      </c>
      <c r="V10" t="s">
        <v>31</v>
      </c>
      <c r="W10" s="10" t="s">
        <v>31</v>
      </c>
    </row>
    <row r="11" spans="1:23" x14ac:dyDescent="0.3">
      <c r="A11" s="1" t="s">
        <v>79</v>
      </c>
      <c r="B11" s="1"/>
      <c r="C11" s="1"/>
      <c r="D11" s="1"/>
      <c r="E11" s="1"/>
      <c r="F11" s="1" t="s">
        <v>13</v>
      </c>
      <c r="G11" s="1" t="s">
        <v>14</v>
      </c>
      <c r="H11" s="1" t="s">
        <v>16</v>
      </c>
      <c r="I11" s="1" t="s">
        <v>17</v>
      </c>
      <c r="J11" s="1" t="s">
        <v>18</v>
      </c>
      <c r="K11" s="4" t="s">
        <v>15</v>
      </c>
      <c r="M11" s="9"/>
      <c r="P11" t="s">
        <v>29</v>
      </c>
      <c r="Q11" t="s">
        <v>29</v>
      </c>
      <c r="T11" t="s">
        <v>31</v>
      </c>
      <c r="U11" t="s">
        <v>31</v>
      </c>
      <c r="V11" t="s">
        <v>29</v>
      </c>
      <c r="W11" s="10" t="s">
        <v>29</v>
      </c>
    </row>
    <row r="12" spans="1:23" x14ac:dyDescent="0.3">
      <c r="A12" s="1"/>
      <c r="B12" s="1"/>
      <c r="C12" s="1" t="s">
        <v>1</v>
      </c>
      <c r="D12" s="1" t="s">
        <v>3</v>
      </c>
      <c r="E12" s="1" t="s">
        <v>4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</v>
      </c>
      <c r="K12" s="4" t="s">
        <v>5</v>
      </c>
      <c r="M12" s="11"/>
      <c r="N12" s="12"/>
      <c r="O12" s="12"/>
      <c r="P12" s="12"/>
      <c r="Q12" s="12"/>
      <c r="R12" s="12"/>
      <c r="S12" s="12"/>
      <c r="T12" s="12"/>
      <c r="U12" s="12"/>
      <c r="V12" s="12" t="s">
        <v>38</v>
      </c>
      <c r="W12" s="13" t="s">
        <v>38</v>
      </c>
    </row>
    <row r="13" spans="1:23" x14ac:dyDescent="0.3">
      <c r="A13" s="1">
        <v>1</v>
      </c>
      <c r="B13" s="1" t="s">
        <v>0</v>
      </c>
      <c r="C13" s="1" t="s">
        <v>9</v>
      </c>
      <c r="D13" s="1"/>
      <c r="E13" s="1"/>
      <c r="F13" s="1">
        <f>3/104</f>
        <v>2.8846153846153848E-2</v>
      </c>
      <c r="G13" s="1">
        <f>6/170</f>
        <v>3.5294117647058823E-2</v>
      </c>
      <c r="H13" s="1">
        <f>2/75</f>
        <v>2.6666666666666668E-2</v>
      </c>
      <c r="I13" s="5">
        <f>6/149</f>
        <v>4.0268456375838924E-2</v>
      </c>
      <c r="J13" s="5">
        <f>6/178</f>
        <v>3.3707865168539325E-2</v>
      </c>
      <c r="K13" s="4">
        <f>AVERAGE(F13:J13)</f>
        <v>3.2956651940851518E-2</v>
      </c>
    </row>
    <row r="14" spans="1:23" x14ac:dyDescent="0.3">
      <c r="A14" s="1">
        <v>2</v>
      </c>
      <c r="B14" s="1" t="s">
        <v>6</v>
      </c>
      <c r="C14" s="1" t="s">
        <v>2</v>
      </c>
      <c r="D14" s="1"/>
      <c r="E14" s="1"/>
      <c r="F14" s="1">
        <f>3/33</f>
        <v>9.0909090909090912E-2</v>
      </c>
      <c r="G14" s="1">
        <f>6/47</f>
        <v>0.1276595744680851</v>
      </c>
      <c r="H14" s="1">
        <f>2/22</f>
        <v>9.0909090909090912E-2</v>
      </c>
      <c r="I14" s="5">
        <f>4/50</f>
        <v>0.08</v>
      </c>
      <c r="J14" s="5">
        <f>4/55</f>
        <v>7.2727272727272724E-2</v>
      </c>
      <c r="K14" s="4">
        <f t="shared" ref="K14:K20" si="1">AVERAGE(F14:J14)</f>
        <v>9.2441005802707935E-2</v>
      </c>
      <c r="L14">
        <f>K14/K13</f>
        <v>2.8049270893358682</v>
      </c>
      <c r="M14" s="6" t="s">
        <v>81</v>
      </c>
      <c r="N14" s="7" t="s">
        <v>58</v>
      </c>
      <c r="O14" s="7" t="s">
        <v>59</v>
      </c>
      <c r="P14" s="7" t="s">
        <v>28</v>
      </c>
      <c r="Q14" s="7" t="s">
        <v>28</v>
      </c>
      <c r="R14" s="7" t="s">
        <v>30</v>
      </c>
      <c r="S14" s="7" t="s">
        <v>30</v>
      </c>
      <c r="T14" s="7" t="s">
        <v>85</v>
      </c>
      <c r="U14" s="7" t="s">
        <v>35</v>
      </c>
      <c r="V14" s="17" t="s">
        <v>66</v>
      </c>
      <c r="W14" s="18" t="s">
        <v>66</v>
      </c>
    </row>
    <row r="15" spans="1:23" x14ac:dyDescent="0.3">
      <c r="A15" s="1">
        <v>3</v>
      </c>
      <c r="B15" s="1" t="s">
        <v>8</v>
      </c>
      <c r="C15" s="1" t="s">
        <v>20</v>
      </c>
      <c r="D15" s="1"/>
      <c r="E15" s="1"/>
      <c r="F15" s="1">
        <f>3/17</f>
        <v>0.17647058823529413</v>
      </c>
      <c r="G15" s="1">
        <f>3/24</f>
        <v>0.125</v>
      </c>
      <c r="H15" s="1">
        <f>2/8</f>
        <v>0.25</v>
      </c>
      <c r="I15" s="5">
        <f>7/30</f>
        <v>0.23333333333333334</v>
      </c>
      <c r="J15" s="5">
        <f>6/22</f>
        <v>0.27272727272727271</v>
      </c>
      <c r="K15" s="4">
        <f t="shared" si="1"/>
        <v>0.21150623885918005</v>
      </c>
      <c r="L15">
        <f>K15/K13</f>
        <v>6.4177101253725004</v>
      </c>
      <c r="M15" s="9"/>
      <c r="P15" t="s">
        <v>29</v>
      </c>
      <c r="Q15" t="s">
        <v>29</v>
      </c>
      <c r="R15" t="s">
        <v>26</v>
      </c>
      <c r="S15" t="s">
        <v>27</v>
      </c>
      <c r="T15" t="s">
        <v>31</v>
      </c>
      <c r="U15" t="s">
        <v>31</v>
      </c>
      <c r="V15" t="s">
        <v>31</v>
      </c>
      <c r="W15" s="10" t="s">
        <v>31</v>
      </c>
    </row>
    <row r="16" spans="1:23" x14ac:dyDescent="0.3">
      <c r="A16" s="1">
        <v>4</v>
      </c>
      <c r="B16" s="1" t="s">
        <v>10</v>
      </c>
      <c r="C16" s="1" t="s">
        <v>21</v>
      </c>
      <c r="D16" s="1">
        <v>2</v>
      </c>
      <c r="E16" s="1"/>
      <c r="F16" s="1">
        <f>3/29</f>
        <v>0.10344827586206896</v>
      </c>
      <c r="G16" s="1">
        <f>10/36</f>
        <v>0.27777777777777779</v>
      </c>
      <c r="H16" s="1">
        <f>2/7</f>
        <v>0.2857142857142857</v>
      </c>
      <c r="I16" s="5">
        <f>7/35</f>
        <v>0.2</v>
      </c>
      <c r="J16" s="5">
        <f>6/40</f>
        <v>0.15</v>
      </c>
      <c r="K16" s="4">
        <f t="shared" si="1"/>
        <v>0.20338806787082647</v>
      </c>
      <c r="M16" s="9"/>
      <c r="T16" t="s">
        <v>33</v>
      </c>
      <c r="U16" t="s">
        <v>33</v>
      </c>
      <c r="V16" t="s">
        <v>29</v>
      </c>
      <c r="W16" s="10" t="s">
        <v>29</v>
      </c>
    </row>
    <row r="17" spans="1:23" x14ac:dyDescent="0.3">
      <c r="A17" s="1">
        <v>5</v>
      </c>
      <c r="B17" s="1" t="s">
        <v>10</v>
      </c>
      <c r="C17" s="1" t="s">
        <v>21</v>
      </c>
      <c r="D17" s="1">
        <v>3</v>
      </c>
      <c r="E17" s="1"/>
      <c r="F17" s="1">
        <f>3/7</f>
        <v>0.42857142857142855</v>
      </c>
      <c r="G17" s="1">
        <f>9/16</f>
        <v>0.5625</v>
      </c>
      <c r="H17" s="1">
        <f>2/5</f>
        <v>0.4</v>
      </c>
      <c r="I17" s="5">
        <f>3/8</f>
        <v>0.375</v>
      </c>
      <c r="J17" s="5">
        <f>5/20</f>
        <v>0.25</v>
      </c>
      <c r="K17" s="4">
        <f t="shared" si="1"/>
        <v>0.40321428571428575</v>
      </c>
      <c r="M17" s="11"/>
      <c r="N17" s="12"/>
      <c r="O17" s="12"/>
      <c r="P17" s="12"/>
      <c r="Q17" s="12"/>
      <c r="R17" s="12"/>
      <c r="S17" s="12"/>
      <c r="T17" s="12" t="s">
        <v>34</v>
      </c>
      <c r="U17" s="12" t="s">
        <v>34</v>
      </c>
      <c r="V17" s="12" t="s">
        <v>38</v>
      </c>
      <c r="W17" s="13" t="s">
        <v>38</v>
      </c>
    </row>
    <row r="18" spans="1:23" x14ac:dyDescent="0.3">
      <c r="A18" s="1">
        <v>6</v>
      </c>
      <c r="B18" s="1" t="s">
        <v>12</v>
      </c>
      <c r="C18" s="1" t="s">
        <v>21</v>
      </c>
      <c r="D18" s="1"/>
      <c r="E18" s="1">
        <v>3</v>
      </c>
      <c r="F18" s="1">
        <f>1/3</f>
        <v>0.33333333333333331</v>
      </c>
      <c r="G18" s="1">
        <f>2/2</f>
        <v>1</v>
      </c>
      <c r="H18" s="1">
        <f>2/2</f>
        <v>1</v>
      </c>
      <c r="I18" s="5">
        <f>3/8</f>
        <v>0.375</v>
      </c>
      <c r="J18" s="5">
        <f>4/8</f>
        <v>0.5</v>
      </c>
      <c r="K18" s="4">
        <f t="shared" si="1"/>
        <v>0.64166666666666661</v>
      </c>
    </row>
    <row r="19" spans="1:23" x14ac:dyDescent="0.3">
      <c r="A19" s="26"/>
      <c r="B19" s="26"/>
      <c r="C19" s="26"/>
      <c r="M19" s="6" t="s">
        <v>82</v>
      </c>
      <c r="N19" s="7" t="s">
        <v>89</v>
      </c>
      <c r="O19" s="7" t="s">
        <v>90</v>
      </c>
      <c r="P19" s="7" t="s">
        <v>61</v>
      </c>
      <c r="Q19" s="7" t="s">
        <v>61</v>
      </c>
      <c r="R19" s="7" t="s">
        <v>30</v>
      </c>
      <c r="S19" s="7" t="s">
        <v>30</v>
      </c>
      <c r="T19" s="7" t="s">
        <v>31</v>
      </c>
      <c r="U19" s="7" t="s">
        <v>31</v>
      </c>
      <c r="V19" s="7" t="s">
        <v>38</v>
      </c>
      <c r="W19" s="8" t="s">
        <v>38</v>
      </c>
    </row>
    <row r="20" spans="1:23" x14ac:dyDescent="0.3">
      <c r="A20" s="1" t="s">
        <v>133</v>
      </c>
      <c r="B20" s="1" t="s">
        <v>10</v>
      </c>
      <c r="C20" s="1" t="s">
        <v>20</v>
      </c>
      <c r="D20" s="1">
        <v>3</v>
      </c>
      <c r="E20" s="1"/>
      <c r="F20" s="1">
        <f>0/1</f>
        <v>0</v>
      </c>
      <c r="G20" s="1">
        <f>3/4</f>
        <v>0.75</v>
      </c>
      <c r="H20" s="1">
        <f>2/3</f>
        <v>0.66666666666666663</v>
      </c>
      <c r="I20" s="1">
        <f>3/5</f>
        <v>0.6</v>
      </c>
      <c r="J20" s="1">
        <f>4/6</f>
        <v>0.66666666666666663</v>
      </c>
      <c r="K20" s="4">
        <f t="shared" si="1"/>
        <v>0.53666666666666663</v>
      </c>
      <c r="M20" s="9"/>
      <c r="N20" t="s">
        <v>56</v>
      </c>
      <c r="O20" t="s">
        <v>57</v>
      </c>
      <c r="P20" t="s">
        <v>28</v>
      </c>
      <c r="Q20" t="s">
        <v>28</v>
      </c>
      <c r="R20" t="s">
        <v>26</v>
      </c>
      <c r="S20" t="s">
        <v>27</v>
      </c>
      <c r="T20" t="s">
        <v>85</v>
      </c>
      <c r="U20" t="s">
        <v>35</v>
      </c>
      <c r="V20" t="s">
        <v>37</v>
      </c>
      <c r="W20" s="10" t="s">
        <v>39</v>
      </c>
    </row>
    <row r="21" spans="1:23" x14ac:dyDescent="0.3">
      <c r="M21" s="9"/>
      <c r="N21" t="s">
        <v>58</v>
      </c>
      <c r="O21" t="s">
        <v>59</v>
      </c>
      <c r="P21" t="s">
        <v>26</v>
      </c>
      <c r="Q21" t="s">
        <v>27</v>
      </c>
      <c r="T21" t="s">
        <v>33</v>
      </c>
      <c r="U21" t="s">
        <v>33</v>
      </c>
      <c r="V21" t="s">
        <v>66</v>
      </c>
      <c r="W21" s="10" t="s">
        <v>66</v>
      </c>
    </row>
    <row r="22" spans="1:23" x14ac:dyDescent="0.3">
      <c r="M22" s="9"/>
      <c r="P22" t="s">
        <v>60</v>
      </c>
      <c r="Q22" t="s">
        <v>60</v>
      </c>
      <c r="T22" t="s">
        <v>70</v>
      </c>
      <c r="U22" t="s">
        <v>36</v>
      </c>
      <c r="V22" t="s">
        <v>31</v>
      </c>
      <c r="W22" s="10" t="s">
        <v>31</v>
      </c>
    </row>
    <row r="23" spans="1:23" x14ac:dyDescent="0.3">
      <c r="M23" s="9"/>
      <c r="P23" t="s">
        <v>63</v>
      </c>
      <c r="Q23" t="s">
        <v>63</v>
      </c>
      <c r="T23" t="s">
        <v>34</v>
      </c>
      <c r="U23" t="s">
        <v>34</v>
      </c>
      <c r="V23" t="s">
        <v>29</v>
      </c>
      <c r="W23" s="10" t="s">
        <v>29</v>
      </c>
    </row>
    <row r="24" spans="1:23" x14ac:dyDescent="0.3">
      <c r="M24" s="9"/>
      <c r="P24" t="s">
        <v>29</v>
      </c>
      <c r="Q24" t="s">
        <v>29</v>
      </c>
      <c r="T24" t="s">
        <v>41</v>
      </c>
      <c r="U24" t="s">
        <v>42</v>
      </c>
      <c r="W24" s="10"/>
    </row>
    <row r="25" spans="1:23" x14ac:dyDescent="0.3">
      <c r="M25" s="9"/>
      <c r="P25" t="s">
        <v>62</v>
      </c>
      <c r="Q25" t="s">
        <v>62</v>
      </c>
      <c r="W25" s="10"/>
    </row>
    <row r="26" spans="1:23" x14ac:dyDescent="0.3">
      <c r="M26" s="9"/>
      <c r="P26" t="s">
        <v>77</v>
      </c>
      <c r="Q26" t="s">
        <v>76</v>
      </c>
      <c r="W26" s="10"/>
    </row>
    <row r="27" spans="1:23" x14ac:dyDescent="0.3">
      <c r="M27" s="11"/>
      <c r="N27" s="12"/>
      <c r="O27" s="12"/>
      <c r="P27" s="12" t="s">
        <v>68</v>
      </c>
      <c r="Q27" s="12" t="s">
        <v>64</v>
      </c>
      <c r="R27" s="12"/>
      <c r="S27" s="12"/>
      <c r="T27" s="12"/>
      <c r="U27" s="12"/>
      <c r="V27" s="12"/>
      <c r="W27" s="13"/>
    </row>
    <row r="29" spans="1:23" x14ac:dyDescent="0.3">
      <c r="M29" s="6" t="s">
        <v>83</v>
      </c>
      <c r="N29" s="7" t="s">
        <v>58</v>
      </c>
      <c r="O29" s="7" t="s">
        <v>59</v>
      </c>
      <c r="P29" s="7" t="s">
        <v>26</v>
      </c>
      <c r="Q29" s="7" t="s">
        <v>27</v>
      </c>
      <c r="R29" s="7" t="s">
        <v>30</v>
      </c>
      <c r="S29" s="7" t="s">
        <v>30</v>
      </c>
      <c r="T29" s="7" t="s">
        <v>31</v>
      </c>
      <c r="U29" s="7" t="s">
        <v>31</v>
      </c>
      <c r="V29" s="7" t="s">
        <v>38</v>
      </c>
      <c r="W29" s="8" t="s">
        <v>38</v>
      </c>
    </row>
    <row r="30" spans="1:23" x14ac:dyDescent="0.3">
      <c r="M30" s="9"/>
      <c r="P30" t="s">
        <v>28</v>
      </c>
      <c r="Q30" t="s">
        <v>28</v>
      </c>
      <c r="R30" t="s">
        <v>26</v>
      </c>
      <c r="S30" t="s">
        <v>27</v>
      </c>
      <c r="T30" t="s">
        <v>85</v>
      </c>
      <c r="U30" t="s">
        <v>35</v>
      </c>
      <c r="V30" t="s">
        <v>37</v>
      </c>
      <c r="W30" s="10" t="s">
        <v>39</v>
      </c>
    </row>
    <row r="31" spans="1:23" x14ac:dyDescent="0.3">
      <c r="M31" s="9"/>
      <c r="P31" t="s">
        <v>29</v>
      </c>
      <c r="Q31" t="s">
        <v>29</v>
      </c>
      <c r="T31" t="s">
        <v>70</v>
      </c>
      <c r="U31" t="s">
        <v>36</v>
      </c>
      <c r="V31" t="s">
        <v>66</v>
      </c>
      <c r="W31" s="10" t="s">
        <v>66</v>
      </c>
    </row>
    <row r="32" spans="1:23" x14ac:dyDescent="0.3">
      <c r="M32" s="9"/>
      <c r="P32" t="s">
        <v>63</v>
      </c>
      <c r="Q32" t="s">
        <v>63</v>
      </c>
      <c r="T32" t="s">
        <v>34</v>
      </c>
      <c r="U32" t="s">
        <v>34</v>
      </c>
      <c r="V32" t="s">
        <v>31</v>
      </c>
      <c r="W32" s="10" t="s">
        <v>31</v>
      </c>
    </row>
    <row r="33" spans="13:23" x14ac:dyDescent="0.3">
      <c r="M33" s="11"/>
      <c r="N33" s="12"/>
      <c r="O33" s="12"/>
      <c r="P33" s="12"/>
      <c r="Q33" s="12"/>
      <c r="R33" s="12"/>
      <c r="S33" s="12"/>
      <c r="T33" t="s">
        <v>33</v>
      </c>
      <c r="U33" t="s">
        <v>33</v>
      </c>
      <c r="V33" t="s">
        <v>29</v>
      </c>
      <c r="W33" s="10" t="s">
        <v>29</v>
      </c>
    </row>
    <row r="35" spans="13:23" x14ac:dyDescent="0.3">
      <c r="M35" s="6" t="s">
        <v>84</v>
      </c>
      <c r="N35" s="7" t="s">
        <v>58</v>
      </c>
      <c r="O35" s="7" t="s">
        <v>59</v>
      </c>
      <c r="P35" s="7" t="s">
        <v>29</v>
      </c>
      <c r="Q35" s="7" t="s">
        <v>29</v>
      </c>
      <c r="R35" s="7" t="s">
        <v>30</v>
      </c>
      <c r="S35" s="7" t="s">
        <v>30</v>
      </c>
      <c r="T35" s="7" t="s">
        <v>31</v>
      </c>
      <c r="U35" s="7" t="s">
        <v>31</v>
      </c>
      <c r="V35" s="7" t="s">
        <v>38</v>
      </c>
      <c r="W35" s="8" t="s">
        <v>38</v>
      </c>
    </row>
    <row r="36" spans="13:23" x14ac:dyDescent="0.3">
      <c r="M36" s="9"/>
      <c r="P36" t="s">
        <v>28</v>
      </c>
      <c r="Q36" t="s">
        <v>28</v>
      </c>
      <c r="R36" t="s">
        <v>26</v>
      </c>
      <c r="S36" t="s">
        <v>27</v>
      </c>
      <c r="T36" t="s">
        <v>33</v>
      </c>
      <c r="U36" t="s">
        <v>33</v>
      </c>
      <c r="V36" t="s">
        <v>31</v>
      </c>
      <c r="W36" s="10" t="s">
        <v>31</v>
      </c>
    </row>
    <row r="37" spans="13:23" x14ac:dyDescent="0.3">
      <c r="M37" s="9"/>
      <c r="T37" t="s">
        <v>34</v>
      </c>
      <c r="U37" t="s">
        <v>34</v>
      </c>
      <c r="V37" t="s">
        <v>29</v>
      </c>
      <c r="W37" s="10" t="s">
        <v>29</v>
      </c>
    </row>
    <row r="38" spans="13:23" x14ac:dyDescent="0.3">
      <c r="M38" s="11"/>
      <c r="N38" s="12"/>
      <c r="O38" s="12"/>
      <c r="P38" s="12"/>
      <c r="Q38" s="12"/>
      <c r="R38" s="12"/>
      <c r="S38" s="12"/>
      <c r="T38" s="12"/>
      <c r="U38" s="12"/>
      <c r="V38" t="s">
        <v>66</v>
      </c>
      <c r="W38" s="10" t="s">
        <v>66</v>
      </c>
    </row>
    <row r="40" spans="13:23" x14ac:dyDescent="0.3">
      <c r="M40" s="6" t="s">
        <v>54</v>
      </c>
      <c r="N40" s="7" t="s">
        <v>56</v>
      </c>
      <c r="O40" s="7" t="s">
        <v>57</v>
      </c>
      <c r="P40" s="17" t="s">
        <v>63</v>
      </c>
      <c r="Q40" s="17" t="s">
        <v>63</v>
      </c>
      <c r="R40" s="7" t="s">
        <v>30</v>
      </c>
      <c r="S40" s="7" t="s">
        <v>30</v>
      </c>
      <c r="T40" s="7" t="s">
        <v>31</v>
      </c>
      <c r="U40" s="7" t="s">
        <v>31</v>
      </c>
      <c r="V40" s="7" t="s">
        <v>66</v>
      </c>
      <c r="W40" s="8" t="s">
        <v>66</v>
      </c>
    </row>
    <row r="41" spans="13:23" x14ac:dyDescent="0.3">
      <c r="M41" s="9"/>
      <c r="N41" t="s">
        <v>58</v>
      </c>
      <c r="O41" t="s">
        <v>59</v>
      </c>
      <c r="P41" t="s">
        <v>26</v>
      </c>
      <c r="Q41" t="s">
        <v>27</v>
      </c>
      <c r="R41" t="s">
        <v>26</v>
      </c>
      <c r="S41" t="s">
        <v>27</v>
      </c>
      <c r="T41" t="s">
        <v>32</v>
      </c>
      <c r="U41" t="s">
        <v>27</v>
      </c>
      <c r="V41" t="s">
        <v>31</v>
      </c>
      <c r="W41" s="10" t="s">
        <v>31</v>
      </c>
    </row>
    <row r="42" spans="13:23" x14ac:dyDescent="0.3">
      <c r="M42" s="9"/>
      <c r="N42" t="s">
        <v>23</v>
      </c>
      <c r="O42" t="s">
        <v>86</v>
      </c>
      <c r="P42" t="s">
        <v>28</v>
      </c>
      <c r="Q42" t="s">
        <v>28</v>
      </c>
      <c r="T42" t="s">
        <v>33</v>
      </c>
      <c r="U42" t="s">
        <v>33</v>
      </c>
      <c r="V42" t="s">
        <v>29</v>
      </c>
      <c r="W42" s="10" t="s">
        <v>29</v>
      </c>
    </row>
    <row r="43" spans="13:23" x14ac:dyDescent="0.3">
      <c r="M43" s="9"/>
      <c r="P43" t="s">
        <v>29</v>
      </c>
      <c r="Q43" t="s">
        <v>29</v>
      </c>
      <c r="T43" t="s">
        <v>34</v>
      </c>
      <c r="U43" t="s">
        <v>34</v>
      </c>
      <c r="V43" t="s">
        <v>38</v>
      </c>
      <c r="W43" s="10" t="s">
        <v>38</v>
      </c>
    </row>
    <row r="44" spans="13:23" x14ac:dyDescent="0.3">
      <c r="M44" s="9"/>
      <c r="P44" s="14" t="s">
        <v>60</v>
      </c>
      <c r="Q44" s="14" t="s">
        <v>60</v>
      </c>
      <c r="T44" t="s">
        <v>85</v>
      </c>
      <c r="U44" t="s">
        <v>35</v>
      </c>
      <c r="V44" s="14" t="s">
        <v>72</v>
      </c>
      <c r="W44" s="16" t="s">
        <v>73</v>
      </c>
    </row>
    <row r="45" spans="13:23" x14ac:dyDescent="0.3">
      <c r="M45" s="9"/>
      <c r="P45" s="14" t="s">
        <v>61</v>
      </c>
      <c r="Q45" s="14" t="s">
        <v>61</v>
      </c>
      <c r="T45" s="14" t="s">
        <v>41</v>
      </c>
      <c r="U45" s="14" t="s">
        <v>42</v>
      </c>
      <c r="V45" s="14" t="s">
        <v>37</v>
      </c>
      <c r="W45" s="16" t="s">
        <v>39</v>
      </c>
    </row>
    <row r="46" spans="13:23" x14ac:dyDescent="0.3">
      <c r="M46" s="9"/>
      <c r="W46" s="10"/>
    </row>
    <row r="47" spans="13:23" x14ac:dyDescent="0.3">
      <c r="M47" s="9"/>
      <c r="W47" s="10"/>
    </row>
    <row r="48" spans="13:23" x14ac:dyDescent="0.3"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3"/>
    </row>
    <row r="49" spans="13:23" x14ac:dyDescent="0.3">
      <c r="M49" s="6"/>
      <c r="N49" s="7"/>
      <c r="O49" s="7"/>
      <c r="P49" s="7"/>
      <c r="Q49" s="7"/>
      <c r="R49" s="7"/>
      <c r="S49" s="7"/>
      <c r="T49" s="7"/>
      <c r="U49" s="7"/>
      <c r="V49" s="7"/>
      <c r="W49" s="8"/>
    </row>
    <row r="50" spans="13:23" x14ac:dyDescent="0.3">
      <c r="M50" s="6" t="s">
        <v>87</v>
      </c>
      <c r="N50" s="7" t="s">
        <v>56</v>
      </c>
      <c r="O50" s="7" t="s">
        <v>57</v>
      </c>
      <c r="P50" s="7" t="s">
        <v>26</v>
      </c>
      <c r="Q50" s="7" t="s">
        <v>27</v>
      </c>
      <c r="R50" s="7" t="s">
        <v>30</v>
      </c>
      <c r="S50" s="7" t="s">
        <v>30</v>
      </c>
      <c r="T50" s="7" t="s">
        <v>33</v>
      </c>
      <c r="U50" s="7" t="s">
        <v>33</v>
      </c>
      <c r="V50" s="7" t="s">
        <v>66</v>
      </c>
      <c r="W50" s="8" t="s">
        <v>66</v>
      </c>
    </row>
    <row r="51" spans="13:23" x14ac:dyDescent="0.3">
      <c r="M51" s="9"/>
      <c r="N51" t="s">
        <v>58</v>
      </c>
      <c r="O51" t="s">
        <v>59</v>
      </c>
      <c r="P51" s="14" t="s">
        <v>63</v>
      </c>
      <c r="Q51" s="14" t="s">
        <v>63</v>
      </c>
      <c r="R51" t="s">
        <v>26</v>
      </c>
      <c r="S51" t="s">
        <v>27</v>
      </c>
      <c r="T51" t="s">
        <v>34</v>
      </c>
      <c r="U51" t="s">
        <v>34</v>
      </c>
      <c r="V51" t="s">
        <v>31</v>
      </c>
      <c r="W51" s="10" t="s">
        <v>31</v>
      </c>
    </row>
    <row r="52" spans="13:23" x14ac:dyDescent="0.3">
      <c r="M52" s="9"/>
      <c r="N52" t="s">
        <v>23</v>
      </c>
      <c r="O52" t="s">
        <v>86</v>
      </c>
      <c r="P52" t="s">
        <v>28</v>
      </c>
      <c r="Q52" t="s">
        <v>28</v>
      </c>
      <c r="T52" t="s">
        <v>31</v>
      </c>
      <c r="U52" t="s">
        <v>31</v>
      </c>
      <c r="V52" t="s">
        <v>29</v>
      </c>
      <c r="W52" s="10" t="s">
        <v>29</v>
      </c>
    </row>
    <row r="53" spans="13:23" x14ac:dyDescent="0.3">
      <c r="M53" s="9"/>
      <c r="P53" t="s">
        <v>29</v>
      </c>
      <c r="Q53" t="s">
        <v>29</v>
      </c>
      <c r="T53" s="14" t="s">
        <v>32</v>
      </c>
      <c r="U53" s="14" t="s">
        <v>27</v>
      </c>
      <c r="V53" t="s">
        <v>38</v>
      </c>
      <c r="W53" s="10" t="s">
        <v>38</v>
      </c>
    </row>
    <row r="54" spans="13:23" x14ac:dyDescent="0.3">
      <c r="M54" s="9"/>
      <c r="P54" s="14" t="s">
        <v>60</v>
      </c>
      <c r="Q54" s="14" t="s">
        <v>60</v>
      </c>
      <c r="W54" s="10"/>
    </row>
    <row r="55" spans="13:23" x14ac:dyDescent="0.3">
      <c r="M55" s="9"/>
      <c r="P55" s="14" t="s">
        <v>61</v>
      </c>
      <c r="Q55" s="14" t="s">
        <v>61</v>
      </c>
      <c r="W55" s="10"/>
    </row>
    <row r="56" spans="13:23" x14ac:dyDescent="0.3">
      <c r="M56" s="9"/>
      <c r="W56" s="10"/>
    </row>
    <row r="57" spans="13:23" x14ac:dyDescent="0.3">
      <c r="M57" s="9"/>
      <c r="W57" s="10"/>
    </row>
    <row r="58" spans="13:23" x14ac:dyDescent="0.3">
      <c r="M58" s="11"/>
      <c r="N58" s="12"/>
      <c r="O58" s="12"/>
      <c r="P58" s="12"/>
      <c r="Q58" s="12"/>
      <c r="R58" s="12"/>
      <c r="S58" s="12"/>
      <c r="T58" s="12"/>
      <c r="U58" s="12"/>
      <c r="V58" s="12"/>
      <c r="W58" s="13"/>
    </row>
    <row r="60" spans="13:23" x14ac:dyDescent="0.3">
      <c r="M60" s="6" t="s">
        <v>88</v>
      </c>
      <c r="N60" s="7" t="s">
        <v>56</v>
      </c>
      <c r="O60" s="7" t="s">
        <v>57</v>
      </c>
      <c r="P60" s="7" t="s">
        <v>28</v>
      </c>
      <c r="Q60" s="7" t="s">
        <v>28</v>
      </c>
      <c r="R60" s="7" t="s">
        <v>26</v>
      </c>
      <c r="S60" s="7" t="s">
        <v>27</v>
      </c>
      <c r="T60" s="7" t="s">
        <v>31</v>
      </c>
      <c r="U60" s="7" t="s">
        <v>31</v>
      </c>
      <c r="V60" s="7" t="s">
        <v>66</v>
      </c>
      <c r="W60" s="8" t="s">
        <v>66</v>
      </c>
    </row>
    <row r="61" spans="13:23" x14ac:dyDescent="0.3">
      <c r="M61" s="9"/>
      <c r="N61" t="s">
        <v>58</v>
      </c>
      <c r="O61" t="s">
        <v>59</v>
      </c>
      <c r="P61" t="s">
        <v>26</v>
      </c>
      <c r="Q61" t="s">
        <v>27</v>
      </c>
      <c r="R61" t="s">
        <v>30</v>
      </c>
      <c r="S61" t="s">
        <v>30</v>
      </c>
      <c r="T61" t="s">
        <v>85</v>
      </c>
      <c r="U61" t="s">
        <v>35</v>
      </c>
      <c r="V61" t="s">
        <v>31</v>
      </c>
      <c r="W61" s="10" t="s">
        <v>31</v>
      </c>
    </row>
    <row r="62" spans="13:23" x14ac:dyDescent="0.3">
      <c r="M62" s="9"/>
      <c r="N62" t="s">
        <v>89</v>
      </c>
      <c r="O62" t="s">
        <v>90</v>
      </c>
      <c r="P62" t="s">
        <v>29</v>
      </c>
      <c r="Q62" t="s">
        <v>29</v>
      </c>
      <c r="T62" s="14" t="s">
        <v>32</v>
      </c>
      <c r="U62" s="14" t="s">
        <v>27</v>
      </c>
      <c r="V62" t="s">
        <v>29</v>
      </c>
      <c r="W62" s="10" t="s">
        <v>29</v>
      </c>
    </row>
    <row r="63" spans="13:23" x14ac:dyDescent="0.3">
      <c r="M63" s="9"/>
      <c r="T63" t="s">
        <v>70</v>
      </c>
      <c r="U63" t="s">
        <v>36</v>
      </c>
      <c r="V63" t="s">
        <v>38</v>
      </c>
      <c r="W63" s="10" t="s">
        <v>38</v>
      </c>
    </row>
    <row r="64" spans="13:23" x14ac:dyDescent="0.3">
      <c r="M64" s="9"/>
      <c r="T64" t="s">
        <v>33</v>
      </c>
      <c r="U64" t="s">
        <v>33</v>
      </c>
      <c r="V64" t="s">
        <v>37</v>
      </c>
      <c r="W64" s="10" t="s">
        <v>39</v>
      </c>
    </row>
    <row r="65" spans="13:23" x14ac:dyDescent="0.3">
      <c r="M65" s="9"/>
      <c r="T65" t="s">
        <v>41</v>
      </c>
      <c r="U65" t="s">
        <v>42</v>
      </c>
      <c r="V65" s="14" t="s">
        <v>72</v>
      </c>
      <c r="W65" s="16" t="s">
        <v>73</v>
      </c>
    </row>
    <row r="66" spans="13:23" x14ac:dyDescent="0.3">
      <c r="M66" s="11"/>
      <c r="N66" s="12"/>
      <c r="O66" s="12"/>
      <c r="P66" s="12"/>
      <c r="Q66" s="12"/>
      <c r="R66" s="12"/>
      <c r="S66" s="12"/>
      <c r="T66" s="12" t="s">
        <v>34</v>
      </c>
      <c r="U66" s="12" t="s">
        <v>34</v>
      </c>
      <c r="V66" s="12"/>
      <c r="W66" s="13"/>
    </row>
    <row r="68" spans="13:23" x14ac:dyDescent="0.3">
      <c r="M68" s="6" t="s">
        <v>91</v>
      </c>
      <c r="N68" s="7" t="s">
        <v>89</v>
      </c>
      <c r="O68" s="7" t="s">
        <v>90</v>
      </c>
      <c r="P68" s="30" t="s">
        <v>68</v>
      </c>
      <c r="Q68" s="30" t="s">
        <v>64</v>
      </c>
      <c r="R68" s="7" t="s">
        <v>30</v>
      </c>
      <c r="S68" s="7" t="s">
        <v>30</v>
      </c>
      <c r="T68" s="7" t="s">
        <v>85</v>
      </c>
      <c r="U68" s="7" t="s">
        <v>35</v>
      </c>
      <c r="V68" s="7" t="s">
        <v>37</v>
      </c>
      <c r="W68" s="8" t="s">
        <v>39</v>
      </c>
    </row>
    <row r="69" spans="13:23" x14ac:dyDescent="0.3">
      <c r="M69" s="9"/>
      <c r="N69" t="s">
        <v>56</v>
      </c>
      <c r="O69" t="s">
        <v>57</v>
      </c>
      <c r="P69" s="31" t="s">
        <v>65</v>
      </c>
      <c r="Q69" s="31" t="s">
        <v>65</v>
      </c>
      <c r="R69" t="s">
        <v>26</v>
      </c>
      <c r="S69" t="s">
        <v>27</v>
      </c>
      <c r="T69" t="s">
        <v>70</v>
      </c>
      <c r="U69" t="s">
        <v>36</v>
      </c>
      <c r="V69" t="s">
        <v>66</v>
      </c>
      <c r="W69" s="10" t="s">
        <v>66</v>
      </c>
    </row>
    <row r="70" spans="13:23" x14ac:dyDescent="0.3">
      <c r="M70" s="9"/>
      <c r="N70" t="s">
        <v>58</v>
      </c>
      <c r="O70" t="s">
        <v>59</v>
      </c>
      <c r="P70" s="31" t="s">
        <v>26</v>
      </c>
      <c r="Q70" s="31" t="s">
        <v>27</v>
      </c>
      <c r="T70" t="s">
        <v>31</v>
      </c>
      <c r="U70" t="s">
        <v>31</v>
      </c>
      <c r="V70" t="s">
        <v>38</v>
      </c>
      <c r="W70" s="10" t="s">
        <v>38</v>
      </c>
    </row>
    <row r="71" spans="13:23" x14ac:dyDescent="0.3">
      <c r="M71" s="9"/>
      <c r="P71" s="31" t="s">
        <v>61</v>
      </c>
      <c r="Q71" s="31" t="s">
        <v>61</v>
      </c>
      <c r="T71" s="14" t="s">
        <v>32</v>
      </c>
      <c r="U71" s="14" t="s">
        <v>27</v>
      </c>
      <c r="V71" t="s">
        <v>31</v>
      </c>
      <c r="W71" s="10" t="s">
        <v>31</v>
      </c>
    </row>
    <row r="72" spans="13:23" x14ac:dyDescent="0.3">
      <c r="M72" s="9"/>
      <c r="P72" s="31" t="s">
        <v>28</v>
      </c>
      <c r="Q72" s="31" t="s">
        <v>28</v>
      </c>
      <c r="T72" t="s">
        <v>33</v>
      </c>
      <c r="U72" t="s">
        <v>33</v>
      </c>
      <c r="V72" t="s">
        <v>29</v>
      </c>
      <c r="W72" s="10" t="s">
        <v>29</v>
      </c>
    </row>
    <row r="73" spans="13:23" x14ac:dyDescent="0.3">
      <c r="M73" s="9"/>
      <c r="P73" s="31" t="s">
        <v>60</v>
      </c>
      <c r="Q73" s="31" t="s">
        <v>60</v>
      </c>
      <c r="T73" t="s">
        <v>34</v>
      </c>
      <c r="U73" t="s">
        <v>34</v>
      </c>
      <c r="W73" s="10"/>
    </row>
    <row r="74" spans="13:23" x14ac:dyDescent="0.3">
      <c r="M74" s="9"/>
      <c r="P74" s="31" t="s">
        <v>63</v>
      </c>
      <c r="Q74" s="31" t="s">
        <v>63</v>
      </c>
      <c r="T74" t="s">
        <v>41</v>
      </c>
      <c r="U74" t="s">
        <v>42</v>
      </c>
      <c r="W74" s="10"/>
    </row>
    <row r="75" spans="13:23" x14ac:dyDescent="0.3">
      <c r="M75" s="9"/>
      <c r="P75" s="31" t="s">
        <v>29</v>
      </c>
      <c r="Q75" s="31" t="s">
        <v>29</v>
      </c>
      <c r="W75" s="10"/>
    </row>
    <row r="76" spans="13:23" x14ac:dyDescent="0.3">
      <c r="M76" s="9"/>
      <c r="P76" s="14" t="s">
        <v>78</v>
      </c>
      <c r="Q76" s="14" t="s">
        <v>78</v>
      </c>
      <c r="W76" s="10"/>
    </row>
    <row r="77" spans="13:23" x14ac:dyDescent="0.3">
      <c r="M77" s="11"/>
      <c r="N77" s="12"/>
      <c r="O77" s="12"/>
      <c r="P77" s="57" t="s">
        <v>62</v>
      </c>
      <c r="Q77" s="57" t="s">
        <v>62</v>
      </c>
      <c r="R77" s="12"/>
      <c r="S77" s="12"/>
      <c r="T77" s="12"/>
      <c r="U77" s="12"/>
      <c r="V77" s="12"/>
      <c r="W77" s="13"/>
    </row>
    <row r="79" spans="13:23" x14ac:dyDescent="0.3">
      <c r="M79" s="6" t="s">
        <v>92</v>
      </c>
      <c r="N79" s="7" t="s">
        <v>89</v>
      </c>
      <c r="O79" s="7" t="s">
        <v>90</v>
      </c>
      <c r="P79" s="7" t="s">
        <v>26</v>
      </c>
      <c r="Q79" s="7" t="s">
        <v>27</v>
      </c>
      <c r="R79" s="7" t="s">
        <v>30</v>
      </c>
      <c r="S79" s="7" t="s">
        <v>30</v>
      </c>
      <c r="T79" s="7" t="s">
        <v>85</v>
      </c>
      <c r="U79" s="7" t="s">
        <v>35</v>
      </c>
      <c r="V79" s="7" t="s">
        <v>66</v>
      </c>
      <c r="W79" s="8" t="s">
        <v>66</v>
      </c>
    </row>
    <row r="80" spans="13:23" x14ac:dyDescent="0.3">
      <c r="M80" s="9"/>
      <c r="N80" t="s">
        <v>56</v>
      </c>
      <c r="O80" t="s">
        <v>57</v>
      </c>
      <c r="P80" t="s">
        <v>29</v>
      </c>
      <c r="Q80" t="s">
        <v>29</v>
      </c>
      <c r="R80" t="s">
        <v>26</v>
      </c>
      <c r="S80" t="s">
        <v>27</v>
      </c>
      <c r="T80" t="s">
        <v>31</v>
      </c>
      <c r="U80" t="s">
        <v>31</v>
      </c>
      <c r="V80" t="s">
        <v>29</v>
      </c>
      <c r="W80" s="10" t="s">
        <v>29</v>
      </c>
    </row>
    <row r="81" spans="13:23" x14ac:dyDescent="0.3">
      <c r="M81" s="9"/>
      <c r="N81" t="s">
        <v>58</v>
      </c>
      <c r="O81" t="s">
        <v>59</v>
      </c>
      <c r="P81" t="s">
        <v>28</v>
      </c>
      <c r="Q81" t="s">
        <v>28</v>
      </c>
      <c r="T81" t="s">
        <v>70</v>
      </c>
      <c r="U81" t="s">
        <v>36</v>
      </c>
      <c r="V81" t="s">
        <v>38</v>
      </c>
      <c r="W81" s="10" t="s">
        <v>38</v>
      </c>
    </row>
    <row r="82" spans="13:23" x14ac:dyDescent="0.3">
      <c r="M82" s="9"/>
      <c r="P82" s="31" t="s">
        <v>61</v>
      </c>
      <c r="Q82" s="31" t="s">
        <v>61</v>
      </c>
      <c r="T82" t="s">
        <v>41</v>
      </c>
      <c r="U82" t="s">
        <v>42</v>
      </c>
      <c r="V82" t="s">
        <v>31</v>
      </c>
      <c r="W82" s="10" t="s">
        <v>31</v>
      </c>
    </row>
    <row r="83" spans="13:23" x14ac:dyDescent="0.3">
      <c r="M83" s="9"/>
      <c r="P83" s="31" t="s">
        <v>68</v>
      </c>
      <c r="Q83" s="31" t="s">
        <v>64</v>
      </c>
      <c r="T83" t="s">
        <v>34</v>
      </c>
      <c r="U83" t="s">
        <v>34</v>
      </c>
      <c r="V83" t="s">
        <v>37</v>
      </c>
      <c r="W83" s="10" t="s">
        <v>39</v>
      </c>
    </row>
    <row r="84" spans="13:23" x14ac:dyDescent="0.3">
      <c r="M84" s="9"/>
      <c r="P84" s="31" t="s">
        <v>65</v>
      </c>
      <c r="Q84" s="31" t="s">
        <v>65</v>
      </c>
      <c r="T84" t="s">
        <v>33</v>
      </c>
      <c r="U84" t="s">
        <v>33</v>
      </c>
      <c r="W84" s="10"/>
    </row>
    <row r="85" spans="13:23" x14ac:dyDescent="0.3">
      <c r="M85" s="9"/>
      <c r="P85" s="31" t="s">
        <v>60</v>
      </c>
      <c r="Q85" s="31" t="s">
        <v>60</v>
      </c>
      <c r="W85" s="10"/>
    </row>
    <row r="86" spans="13:23" x14ac:dyDescent="0.3">
      <c r="M86" s="9"/>
      <c r="P86" s="31" t="s">
        <v>63</v>
      </c>
      <c r="Q86" s="31" t="s">
        <v>63</v>
      </c>
      <c r="W86" s="10"/>
    </row>
    <row r="87" spans="13:23" x14ac:dyDescent="0.3">
      <c r="M87" s="11"/>
      <c r="N87" s="12"/>
      <c r="O87" s="12"/>
      <c r="P87" s="57" t="s">
        <v>62</v>
      </c>
      <c r="Q87" s="57" t="s">
        <v>62</v>
      </c>
      <c r="R87" s="12"/>
      <c r="S87" s="12"/>
      <c r="T87" s="12"/>
      <c r="U87" s="12"/>
      <c r="V87" s="12"/>
      <c r="W87" s="13"/>
    </row>
    <row r="89" spans="13:23" x14ac:dyDescent="0.3">
      <c r="M89" s="6" t="s">
        <v>93</v>
      </c>
      <c r="N89" t="s">
        <v>58</v>
      </c>
      <c r="O89" t="s">
        <v>59</v>
      </c>
      <c r="P89" s="7" t="s">
        <v>29</v>
      </c>
      <c r="Q89" s="7" t="s">
        <v>29</v>
      </c>
      <c r="R89" s="7" t="s">
        <v>30</v>
      </c>
      <c r="S89" s="7" t="s">
        <v>30</v>
      </c>
      <c r="T89" t="s">
        <v>31</v>
      </c>
      <c r="U89" t="s">
        <v>31</v>
      </c>
      <c r="V89" s="7" t="s">
        <v>66</v>
      </c>
      <c r="W89" s="8" t="s">
        <v>66</v>
      </c>
    </row>
    <row r="90" spans="13:23" x14ac:dyDescent="0.3">
      <c r="M90" s="9"/>
      <c r="P90" t="s">
        <v>28</v>
      </c>
      <c r="Q90" t="s">
        <v>28</v>
      </c>
      <c r="R90" t="s">
        <v>26</v>
      </c>
      <c r="S90" t="s">
        <v>27</v>
      </c>
      <c r="T90" t="s">
        <v>34</v>
      </c>
      <c r="U90" t="s">
        <v>34</v>
      </c>
      <c r="V90" t="s">
        <v>29</v>
      </c>
      <c r="W90" s="10" t="s">
        <v>29</v>
      </c>
    </row>
    <row r="91" spans="13:23" x14ac:dyDescent="0.3">
      <c r="M91" s="9"/>
      <c r="T91" t="s">
        <v>33</v>
      </c>
      <c r="U91" t="s">
        <v>33</v>
      </c>
      <c r="V91" t="s">
        <v>38</v>
      </c>
      <c r="W91" s="10" t="s">
        <v>38</v>
      </c>
    </row>
    <row r="92" spans="13:23" x14ac:dyDescent="0.3">
      <c r="M92" s="9"/>
      <c r="V92" t="s">
        <v>31</v>
      </c>
      <c r="W92" s="10" t="s">
        <v>31</v>
      </c>
    </row>
    <row r="93" spans="13:23" x14ac:dyDescent="0.3">
      <c r="M93" s="11"/>
      <c r="N93" s="12"/>
      <c r="O93" s="12"/>
      <c r="P93" s="12"/>
      <c r="Q93" s="12"/>
      <c r="R93" s="12"/>
      <c r="S93" s="12"/>
      <c r="T93" s="12"/>
      <c r="U93" s="12"/>
      <c r="V93" s="12"/>
      <c r="W93" s="13"/>
    </row>
  </sheetData>
  <mergeCells count="1">
    <mergeCell ref="M1:W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B273-D2E7-452A-A4B5-981F79D665E5}">
  <dimension ref="A1:G42"/>
  <sheetViews>
    <sheetView topLeftCell="A9" workbookViewId="0">
      <selection activeCell="C17" sqref="C17"/>
    </sheetView>
  </sheetViews>
  <sheetFormatPr baseColWidth="10" defaultRowHeight="14.4" x14ac:dyDescent="0.3"/>
  <cols>
    <col min="7" max="7" width="73.21875" customWidth="1"/>
  </cols>
  <sheetData>
    <row r="1" spans="1:7" x14ac:dyDescent="0.3">
      <c r="A1" t="s">
        <v>123</v>
      </c>
      <c r="B1" s="6"/>
      <c r="C1" s="3"/>
      <c r="D1" s="3" t="s">
        <v>95</v>
      </c>
      <c r="E1" s="24" t="s">
        <v>94</v>
      </c>
    </row>
    <row r="2" spans="1:7" x14ac:dyDescent="0.3">
      <c r="B2" s="29" t="s">
        <v>61</v>
      </c>
      <c r="C2" s="31" t="s">
        <v>61</v>
      </c>
      <c r="D2">
        <v>6.7</v>
      </c>
      <c r="E2" s="10">
        <v>20</v>
      </c>
      <c r="G2" t="s">
        <v>127</v>
      </c>
    </row>
    <row r="3" spans="1:7" ht="43.2" x14ac:dyDescent="0.3">
      <c r="B3" s="27" t="s">
        <v>28</v>
      </c>
      <c r="C3" s="31" t="s">
        <v>28</v>
      </c>
      <c r="D3">
        <v>3.5</v>
      </c>
      <c r="E3" s="10">
        <v>100</v>
      </c>
      <c r="G3" s="48" t="s">
        <v>131</v>
      </c>
    </row>
    <row r="4" spans="1:7" ht="28.8" x14ac:dyDescent="0.3">
      <c r="B4" s="27" t="s">
        <v>26</v>
      </c>
      <c r="C4" s="31" t="s">
        <v>27</v>
      </c>
      <c r="D4">
        <v>34.799999999999997</v>
      </c>
      <c r="E4" s="10">
        <v>52.9</v>
      </c>
      <c r="G4" s="48" t="s">
        <v>132</v>
      </c>
    </row>
    <row r="5" spans="1:7" ht="28.8" x14ac:dyDescent="0.3">
      <c r="B5" s="27" t="s">
        <v>60</v>
      </c>
      <c r="C5" s="31" t="s">
        <v>60</v>
      </c>
      <c r="D5">
        <v>13.3</v>
      </c>
      <c r="E5" s="10">
        <v>20</v>
      </c>
      <c r="G5" s="48" t="s">
        <v>129</v>
      </c>
    </row>
    <row r="6" spans="1:7" ht="28.8" x14ac:dyDescent="0.3">
      <c r="B6" s="27" t="s">
        <v>63</v>
      </c>
      <c r="C6" s="31" t="s">
        <v>63</v>
      </c>
      <c r="D6">
        <v>66.7</v>
      </c>
      <c r="E6" s="10">
        <v>83.3</v>
      </c>
      <c r="G6" s="48" t="s">
        <v>130</v>
      </c>
    </row>
    <row r="7" spans="1:7" x14ac:dyDescent="0.3">
      <c r="B7" s="27" t="s">
        <v>29</v>
      </c>
      <c r="C7" s="31" t="s">
        <v>29</v>
      </c>
      <c r="D7">
        <v>100</v>
      </c>
      <c r="E7" s="10">
        <v>100</v>
      </c>
    </row>
    <row r="8" spans="1:7" x14ac:dyDescent="0.3">
      <c r="B8" s="27" t="s">
        <v>62</v>
      </c>
      <c r="C8" s="31" t="s">
        <v>62</v>
      </c>
      <c r="D8">
        <v>3.5</v>
      </c>
      <c r="E8" s="10">
        <v>33.299999999999997</v>
      </c>
    </row>
    <row r="9" spans="1:7" x14ac:dyDescent="0.3">
      <c r="B9" s="27" t="s">
        <v>77</v>
      </c>
      <c r="C9" s="31" t="s">
        <v>76</v>
      </c>
      <c r="D9">
        <v>8.3000000000000007</v>
      </c>
      <c r="E9" s="10">
        <v>46.7</v>
      </c>
    </row>
    <row r="10" spans="1:7" x14ac:dyDescent="0.3">
      <c r="B10" s="27" t="s">
        <v>68</v>
      </c>
      <c r="C10" s="31" t="s">
        <v>64</v>
      </c>
      <c r="D10">
        <v>41.2</v>
      </c>
      <c r="E10" s="10">
        <v>37.5</v>
      </c>
    </row>
    <row r="11" spans="1:7" x14ac:dyDescent="0.3">
      <c r="B11" s="27" t="s">
        <v>78</v>
      </c>
      <c r="C11" s="31" t="s">
        <v>78</v>
      </c>
      <c r="D11">
        <v>2.8</v>
      </c>
      <c r="E11" s="10">
        <v>0</v>
      </c>
    </row>
    <row r="12" spans="1:7" x14ac:dyDescent="0.3">
      <c r="B12" s="25" t="s">
        <v>96</v>
      </c>
      <c r="C12" s="14" t="s">
        <v>64</v>
      </c>
      <c r="D12">
        <v>41.2</v>
      </c>
      <c r="E12" s="10">
        <v>46.7</v>
      </c>
    </row>
    <row r="13" spans="1:7" ht="15" thickBot="1" x14ac:dyDescent="0.35">
      <c r="B13" s="44" t="s">
        <v>97</v>
      </c>
      <c r="C13" s="45" t="s">
        <v>98</v>
      </c>
      <c r="D13" s="46">
        <v>8</v>
      </c>
      <c r="E13" s="47">
        <v>0</v>
      </c>
    </row>
    <row r="14" spans="1:7" ht="15" thickTop="1" x14ac:dyDescent="0.3">
      <c r="B14" s="11" t="s">
        <v>128</v>
      </c>
      <c r="C14" s="12"/>
      <c r="D14" s="12">
        <v>26</v>
      </c>
      <c r="E14" s="13">
        <v>24</v>
      </c>
    </row>
    <row r="16" spans="1:7" x14ac:dyDescent="0.3">
      <c r="B16" s="29" t="s">
        <v>30</v>
      </c>
      <c r="C16" s="30" t="s">
        <v>30</v>
      </c>
      <c r="D16" s="7">
        <v>66.7</v>
      </c>
      <c r="E16" s="8">
        <v>84.6</v>
      </c>
    </row>
    <row r="17" spans="2:7" ht="15" thickBot="1" x14ac:dyDescent="0.35">
      <c r="B17" s="32" t="s">
        <v>26</v>
      </c>
      <c r="C17" s="33" t="s">
        <v>27</v>
      </c>
      <c r="D17" s="20">
        <v>34.799999999999997</v>
      </c>
      <c r="E17" s="23">
        <v>52.9</v>
      </c>
    </row>
    <row r="18" spans="2:7" ht="15" thickTop="1" x14ac:dyDescent="0.3">
      <c r="B18" s="11" t="s">
        <v>128</v>
      </c>
      <c r="C18" s="12"/>
      <c r="D18" s="12">
        <v>5</v>
      </c>
      <c r="E18" s="13">
        <v>5</v>
      </c>
    </row>
    <row r="19" spans="2:7" x14ac:dyDescent="0.3">
      <c r="F19" s="49" t="s">
        <v>137</v>
      </c>
      <c r="G19" s="49"/>
    </row>
    <row r="20" spans="2:7" x14ac:dyDescent="0.3">
      <c r="B20" s="21" t="s">
        <v>89</v>
      </c>
      <c r="C20" s="17" t="s">
        <v>90</v>
      </c>
      <c r="D20" s="7">
        <v>11.8</v>
      </c>
      <c r="E20" s="8">
        <v>6.7</v>
      </c>
      <c r="F20" s="1">
        <v>11.8</v>
      </c>
      <c r="G20" s="1">
        <v>6.7</v>
      </c>
    </row>
    <row r="21" spans="2:7" x14ac:dyDescent="0.3">
      <c r="B21" s="27" t="s">
        <v>56</v>
      </c>
      <c r="C21" s="31" t="s">
        <v>57</v>
      </c>
      <c r="D21">
        <v>14</v>
      </c>
      <c r="E21" s="10">
        <v>36</v>
      </c>
      <c r="F21" s="1">
        <v>14</v>
      </c>
      <c r="G21" s="1">
        <v>36</v>
      </c>
    </row>
    <row r="22" spans="2:7" ht="15" thickBot="1" x14ac:dyDescent="0.35">
      <c r="B22" s="32" t="s">
        <v>58</v>
      </c>
      <c r="C22" s="33" t="s">
        <v>59</v>
      </c>
      <c r="D22" s="20">
        <v>68.8</v>
      </c>
      <c r="E22" s="23">
        <v>85.7</v>
      </c>
      <c r="F22" s="1">
        <v>68.8</v>
      </c>
      <c r="G22" s="1">
        <v>85.7</v>
      </c>
    </row>
    <row r="23" spans="2:7" ht="15" thickTop="1" x14ac:dyDescent="0.3">
      <c r="B23" s="11" t="s">
        <v>128</v>
      </c>
      <c r="C23" s="12"/>
      <c r="D23" s="12">
        <v>10</v>
      </c>
      <c r="E23" s="13">
        <v>9</v>
      </c>
      <c r="F23" s="1">
        <v>13</v>
      </c>
      <c r="G23" s="1">
        <v>13</v>
      </c>
    </row>
    <row r="25" spans="2:7" x14ac:dyDescent="0.3">
      <c r="B25" s="6" t="s">
        <v>85</v>
      </c>
      <c r="C25" s="7" t="s">
        <v>35</v>
      </c>
      <c r="D25" s="7">
        <v>32.1</v>
      </c>
      <c r="E25" s="8">
        <v>41.7</v>
      </c>
    </row>
    <row r="26" spans="2:7" x14ac:dyDescent="0.3">
      <c r="B26" s="9" t="s">
        <v>70</v>
      </c>
      <c r="C26" s="26" t="s">
        <v>36</v>
      </c>
      <c r="D26" s="26">
        <v>16.600000000000001</v>
      </c>
      <c r="E26" s="10">
        <v>7.7</v>
      </c>
    </row>
    <row r="27" spans="2:7" x14ac:dyDescent="0.3">
      <c r="B27" s="27" t="s">
        <v>31</v>
      </c>
      <c r="C27" s="28" t="s">
        <v>31</v>
      </c>
      <c r="D27" s="26">
        <v>100</v>
      </c>
      <c r="E27" s="10">
        <v>100</v>
      </c>
    </row>
    <row r="28" spans="2:7" x14ac:dyDescent="0.3">
      <c r="B28" s="9" t="s">
        <v>32</v>
      </c>
      <c r="C28" s="26" t="s">
        <v>27</v>
      </c>
      <c r="D28" s="26"/>
      <c r="E28" s="10"/>
    </row>
    <row r="29" spans="2:7" x14ac:dyDescent="0.3">
      <c r="B29" s="9" t="s">
        <v>33</v>
      </c>
      <c r="C29" s="26" t="s">
        <v>33</v>
      </c>
      <c r="D29" s="26">
        <v>100</v>
      </c>
      <c r="E29" s="10">
        <v>100</v>
      </c>
    </row>
    <row r="30" spans="2:7" x14ac:dyDescent="0.3">
      <c r="B30" s="9" t="s">
        <v>34</v>
      </c>
      <c r="C30" s="26" t="s">
        <v>34</v>
      </c>
      <c r="D30" s="26">
        <v>54.5</v>
      </c>
      <c r="E30" s="10">
        <v>77.8</v>
      </c>
    </row>
    <row r="31" spans="2:7" x14ac:dyDescent="0.3">
      <c r="B31" s="9" t="s">
        <v>41</v>
      </c>
      <c r="C31" s="26" t="s">
        <v>42</v>
      </c>
      <c r="D31" s="26">
        <v>11.1</v>
      </c>
      <c r="E31" s="10">
        <v>7.7</v>
      </c>
    </row>
    <row r="32" spans="2:7" ht="15" thickBot="1" x14ac:dyDescent="0.35">
      <c r="B32" s="22" t="s">
        <v>113</v>
      </c>
      <c r="C32" s="19" t="s">
        <v>114</v>
      </c>
      <c r="D32" s="20">
        <v>100</v>
      </c>
      <c r="E32" s="23">
        <v>100</v>
      </c>
    </row>
    <row r="33" spans="2:5" ht="15" thickTop="1" x14ac:dyDescent="0.3">
      <c r="B33" s="11" t="s">
        <v>128</v>
      </c>
      <c r="C33" s="12"/>
      <c r="D33" s="12">
        <v>49</v>
      </c>
      <c r="E33" s="13">
        <v>41</v>
      </c>
    </row>
    <row r="35" spans="2:5" x14ac:dyDescent="0.3">
      <c r="B35" s="6" t="s">
        <v>37</v>
      </c>
      <c r="C35" s="7" t="s">
        <v>39</v>
      </c>
      <c r="D35" s="7">
        <v>21.6</v>
      </c>
      <c r="E35" s="8">
        <v>20</v>
      </c>
    </row>
    <row r="36" spans="2:5" x14ac:dyDescent="0.3">
      <c r="B36" s="9" t="s">
        <v>66</v>
      </c>
      <c r="C36" s="26" t="s">
        <v>66</v>
      </c>
      <c r="D36" s="35">
        <v>64.3</v>
      </c>
      <c r="E36" s="10">
        <v>83.3</v>
      </c>
    </row>
    <row r="37" spans="2:5" x14ac:dyDescent="0.3">
      <c r="B37" s="9" t="s">
        <v>38</v>
      </c>
      <c r="C37" s="26" t="s">
        <v>38</v>
      </c>
      <c r="D37" s="35">
        <v>100</v>
      </c>
      <c r="E37" s="10">
        <v>100</v>
      </c>
    </row>
    <row r="38" spans="2:5" x14ac:dyDescent="0.3">
      <c r="B38" s="9" t="s">
        <v>31</v>
      </c>
      <c r="C38" s="26" t="s">
        <v>31</v>
      </c>
      <c r="D38" s="35">
        <v>100</v>
      </c>
      <c r="E38" s="10">
        <v>100</v>
      </c>
    </row>
    <row r="39" spans="2:5" ht="15" thickBot="1" x14ac:dyDescent="0.35">
      <c r="B39" s="34" t="s">
        <v>29</v>
      </c>
      <c r="C39" s="20" t="s">
        <v>29</v>
      </c>
      <c r="D39" s="20">
        <v>100</v>
      </c>
      <c r="E39" s="23">
        <v>100</v>
      </c>
    </row>
    <row r="40" spans="2:5" ht="15" thickTop="1" x14ac:dyDescent="0.3">
      <c r="B40" s="11" t="s">
        <v>128</v>
      </c>
      <c r="C40" s="12"/>
      <c r="D40" s="12">
        <v>33</v>
      </c>
      <c r="E40" s="13">
        <v>30</v>
      </c>
    </row>
    <row r="42" spans="2:5" x14ac:dyDescent="0.3">
      <c r="B42" t="s">
        <v>109</v>
      </c>
      <c r="D42">
        <f>SUM(D14,D18,D23,D33,D40)</f>
        <v>123</v>
      </c>
      <c r="E42">
        <f>SUM(E14,E18,E23,E33,E40)</f>
        <v>109</v>
      </c>
    </row>
  </sheetData>
  <mergeCells count="1">
    <mergeCell ref="F19:G1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7E15-B26F-4D10-ACFE-150ACDCE8494}">
  <dimension ref="A1:G28"/>
  <sheetViews>
    <sheetView tabSelected="1" workbookViewId="0">
      <selection activeCell="A13" sqref="A13:XFD13"/>
    </sheetView>
  </sheetViews>
  <sheetFormatPr baseColWidth="10" defaultRowHeight="14.4" x14ac:dyDescent="0.3"/>
  <cols>
    <col min="1" max="1" width="14.88671875" bestFit="1" customWidth="1"/>
    <col min="2" max="2" width="7.88671875" bestFit="1" customWidth="1"/>
    <col min="3" max="3" width="39.77734375" bestFit="1" customWidth="1"/>
    <col min="4" max="4" width="45.88671875" bestFit="1" customWidth="1"/>
    <col min="5" max="5" width="23.109375" customWidth="1"/>
    <col min="6" max="7" width="5.21875" bestFit="1" customWidth="1"/>
  </cols>
  <sheetData>
    <row r="1" spans="1:7" x14ac:dyDescent="0.3">
      <c r="A1" s="1"/>
      <c r="B1" s="38" t="s">
        <v>135</v>
      </c>
      <c r="C1" s="39"/>
      <c r="D1" s="39"/>
      <c r="E1" s="39"/>
      <c r="F1" s="39"/>
      <c r="G1" s="40"/>
    </row>
    <row r="2" spans="1:7" x14ac:dyDescent="0.3">
      <c r="A2" s="1" t="s">
        <v>118</v>
      </c>
      <c r="B2" s="1" t="s">
        <v>99</v>
      </c>
      <c r="C2" s="1" t="s">
        <v>101</v>
      </c>
      <c r="D2" s="1" t="s">
        <v>17</v>
      </c>
      <c r="E2" s="1" t="s">
        <v>108</v>
      </c>
      <c r="F2" s="1" t="s">
        <v>18</v>
      </c>
      <c r="G2" s="4" t="s">
        <v>109</v>
      </c>
    </row>
    <row r="3" spans="1:7" x14ac:dyDescent="0.3">
      <c r="A3" s="1" t="s">
        <v>100</v>
      </c>
      <c r="B3" s="1">
        <v>3</v>
      </c>
      <c r="C3" s="52">
        <v>43</v>
      </c>
      <c r="D3" s="52">
        <v>26</v>
      </c>
      <c r="E3" s="53">
        <v>19</v>
      </c>
      <c r="F3" s="1">
        <v>22</v>
      </c>
      <c r="G3" s="4">
        <f t="shared" ref="G3:G10" si="0">SUM(B3:F3)</f>
        <v>113</v>
      </c>
    </row>
    <row r="4" spans="1:7" x14ac:dyDescent="0.3">
      <c r="A4" s="1" t="s">
        <v>102</v>
      </c>
      <c r="B4" s="1">
        <v>0</v>
      </c>
      <c r="C4" s="52">
        <v>20</v>
      </c>
      <c r="D4" s="52">
        <v>27</v>
      </c>
      <c r="E4" s="1">
        <v>17</v>
      </c>
      <c r="F4" s="1">
        <v>28</v>
      </c>
      <c r="G4" s="4">
        <f t="shared" si="0"/>
        <v>92</v>
      </c>
    </row>
    <row r="5" spans="1:7" x14ac:dyDescent="0.3">
      <c r="A5" s="1" t="s">
        <v>103</v>
      </c>
      <c r="B5" s="1">
        <v>0</v>
      </c>
      <c r="C5" s="1">
        <v>16</v>
      </c>
      <c r="D5" s="52">
        <v>15</v>
      </c>
      <c r="E5" s="1">
        <v>6</v>
      </c>
      <c r="F5" s="1">
        <v>26</v>
      </c>
      <c r="G5" s="4">
        <f t="shared" si="0"/>
        <v>63</v>
      </c>
    </row>
    <row r="6" spans="1:7" x14ac:dyDescent="0.3">
      <c r="A6" s="1" t="s">
        <v>104</v>
      </c>
      <c r="B6" s="1">
        <v>0</v>
      </c>
      <c r="C6" s="1">
        <v>14</v>
      </c>
      <c r="D6" s="1">
        <v>16</v>
      </c>
      <c r="E6" s="1">
        <v>1</v>
      </c>
      <c r="F6" s="1">
        <v>15</v>
      </c>
      <c r="G6" s="4">
        <f t="shared" si="0"/>
        <v>46</v>
      </c>
    </row>
    <row r="7" spans="1:7" x14ac:dyDescent="0.3">
      <c r="A7" s="1" t="s">
        <v>136</v>
      </c>
      <c r="B7" s="1">
        <v>0</v>
      </c>
      <c r="C7" s="1">
        <v>0</v>
      </c>
      <c r="D7" s="1">
        <v>0</v>
      </c>
      <c r="E7" s="53">
        <v>14</v>
      </c>
      <c r="F7" s="1">
        <v>0</v>
      </c>
      <c r="G7" s="4">
        <f>SUM(B7:F7)</f>
        <v>14</v>
      </c>
    </row>
    <row r="8" spans="1:7" x14ac:dyDescent="0.3">
      <c r="A8" s="1" t="s">
        <v>106</v>
      </c>
      <c r="B8" s="1">
        <v>0</v>
      </c>
      <c r="C8" s="54">
        <v>8</v>
      </c>
      <c r="D8" s="1">
        <v>1</v>
      </c>
      <c r="E8" s="1">
        <v>0</v>
      </c>
      <c r="F8" s="1">
        <v>2</v>
      </c>
      <c r="G8" s="4">
        <f t="shared" ref="G8" si="1">SUM(B8:F8)</f>
        <v>11</v>
      </c>
    </row>
    <row r="9" spans="1:7" x14ac:dyDescent="0.3">
      <c r="A9" s="37" t="s">
        <v>125</v>
      </c>
      <c r="B9" s="37">
        <v>4</v>
      </c>
      <c r="C9" s="37">
        <v>5</v>
      </c>
      <c r="D9" s="37">
        <v>0</v>
      </c>
      <c r="E9" s="37">
        <v>0</v>
      </c>
      <c r="F9" s="37">
        <v>0</v>
      </c>
      <c r="G9" s="4">
        <f>SUM(B9:F9)</f>
        <v>9</v>
      </c>
    </row>
    <row r="10" spans="1:7" x14ac:dyDescent="0.3">
      <c r="A10" s="1" t="s">
        <v>105</v>
      </c>
      <c r="B10" s="1">
        <v>1</v>
      </c>
      <c r="C10" s="54">
        <v>1</v>
      </c>
      <c r="D10" s="1">
        <v>3</v>
      </c>
      <c r="E10" s="1">
        <v>2</v>
      </c>
      <c r="F10" s="1">
        <v>0</v>
      </c>
      <c r="G10" s="4">
        <f t="shared" si="0"/>
        <v>7</v>
      </c>
    </row>
    <row r="11" spans="1:7" x14ac:dyDescent="0.3">
      <c r="A11" s="1" t="s">
        <v>107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4">
        <f>SUM(B11:F11)</f>
        <v>3</v>
      </c>
    </row>
    <row r="12" spans="1:7" x14ac:dyDescent="0.3">
      <c r="A12" s="37" t="s">
        <v>141</v>
      </c>
      <c r="B12" s="37">
        <v>0</v>
      </c>
      <c r="C12" s="55">
        <v>1</v>
      </c>
      <c r="D12" s="37">
        <v>0</v>
      </c>
      <c r="E12" s="37">
        <v>0</v>
      </c>
      <c r="F12" s="37">
        <v>0</v>
      </c>
      <c r="G12" s="4">
        <f>SUM(B12:F12)</f>
        <v>1</v>
      </c>
    </row>
    <row r="13" spans="1:7" x14ac:dyDescent="0.3">
      <c r="A13" s="56" t="s">
        <v>142</v>
      </c>
      <c r="B13" s="4">
        <f>SUM(B3:B12)</f>
        <v>8</v>
      </c>
      <c r="C13" s="4">
        <f>SUM(C3:C12)</f>
        <v>109</v>
      </c>
      <c r="D13" s="4">
        <f>SUM(D3:D12)</f>
        <v>89</v>
      </c>
      <c r="E13" s="4">
        <f>SUM(E3:E12)</f>
        <v>59</v>
      </c>
      <c r="F13" s="4">
        <f>SUM(F3:F12)</f>
        <v>94</v>
      </c>
      <c r="G13" s="4">
        <f t="shared" ref="G13:G15" si="2">SUM(B13:F13)</f>
        <v>359</v>
      </c>
    </row>
    <row r="14" spans="1:7" x14ac:dyDescent="0.3">
      <c r="A14" s="56" t="s">
        <v>143</v>
      </c>
      <c r="B14" s="56">
        <v>5</v>
      </c>
      <c r="C14" s="56">
        <v>6</v>
      </c>
      <c r="D14" s="56">
        <v>8</v>
      </c>
      <c r="E14" s="4">
        <v>13</v>
      </c>
      <c r="F14" s="4">
        <v>6</v>
      </c>
      <c r="G14" s="4">
        <f t="shared" si="2"/>
        <v>38</v>
      </c>
    </row>
    <row r="15" spans="1:7" x14ac:dyDescent="0.3">
      <c r="A15" s="56" t="s">
        <v>144</v>
      </c>
      <c r="B15" s="56">
        <v>8</v>
      </c>
      <c r="C15" s="56">
        <v>21</v>
      </c>
      <c r="D15" s="4">
        <v>15</v>
      </c>
      <c r="E15" s="4">
        <v>18</v>
      </c>
      <c r="F15" s="4">
        <v>13</v>
      </c>
      <c r="G15" s="4">
        <f t="shared" si="2"/>
        <v>75</v>
      </c>
    </row>
    <row r="18" spans="1:6" x14ac:dyDescent="0.3">
      <c r="B18" s="38" t="s">
        <v>119</v>
      </c>
      <c r="C18" s="39"/>
      <c r="D18" s="39"/>
      <c r="E18" s="50" t="s">
        <v>139</v>
      </c>
      <c r="F18" s="51"/>
    </row>
    <row r="19" spans="1:6" x14ac:dyDescent="0.3">
      <c r="B19" s="1"/>
      <c r="C19" s="1" t="s">
        <v>112</v>
      </c>
      <c r="D19" s="1" t="s">
        <v>115</v>
      </c>
      <c r="E19" s="1" t="s">
        <v>138</v>
      </c>
      <c r="F19" s="1"/>
    </row>
    <row r="20" spans="1:6" x14ac:dyDescent="0.3">
      <c r="B20" s="1"/>
      <c r="C20" s="41" t="s">
        <v>111</v>
      </c>
      <c r="D20" s="1"/>
      <c r="E20" s="1"/>
      <c r="F20" s="1"/>
    </row>
    <row r="21" spans="1:6" x14ac:dyDescent="0.3">
      <c r="B21" s="1"/>
      <c r="C21" s="1" t="s">
        <v>110</v>
      </c>
      <c r="D21" s="1"/>
      <c r="E21" s="1"/>
      <c r="F21" s="1"/>
    </row>
    <row r="22" spans="1:6" x14ac:dyDescent="0.3">
      <c r="B22" s="1"/>
      <c r="C22" s="1"/>
      <c r="D22" s="1"/>
      <c r="E22" s="1"/>
      <c r="F22" s="1"/>
    </row>
    <row r="23" spans="1:6" x14ac:dyDescent="0.3">
      <c r="A23" s="42" t="s">
        <v>120</v>
      </c>
      <c r="B23" s="42"/>
      <c r="D23" s="42"/>
      <c r="E23" s="42"/>
      <c r="F23" s="42"/>
    </row>
    <row r="24" spans="1:6" x14ac:dyDescent="0.3">
      <c r="A24" s="43" t="s">
        <v>124</v>
      </c>
      <c r="B24" s="42"/>
      <c r="D24" s="42"/>
      <c r="E24" s="42"/>
      <c r="F24" s="42"/>
    </row>
    <row r="25" spans="1:6" x14ac:dyDescent="0.3">
      <c r="A25" s="43" t="s">
        <v>126</v>
      </c>
      <c r="B25" s="42"/>
      <c r="D25" s="42"/>
      <c r="E25" s="42"/>
      <c r="F25" s="42"/>
    </row>
    <row r="26" spans="1:6" x14ac:dyDescent="0.3">
      <c r="A26" s="43" t="s">
        <v>121</v>
      </c>
      <c r="B26" s="42"/>
      <c r="D26" s="42"/>
      <c r="E26" s="42"/>
      <c r="F26" s="42"/>
    </row>
    <row r="27" spans="1:6" x14ac:dyDescent="0.3">
      <c r="A27" s="43" t="s">
        <v>122</v>
      </c>
    </row>
    <row r="28" spans="1:6" x14ac:dyDescent="0.3">
      <c r="A28" s="43" t="s">
        <v>140</v>
      </c>
    </row>
  </sheetData>
  <mergeCells count="2">
    <mergeCell ref="B1:G1"/>
    <mergeCell ref="B18:D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classes_properties</vt:lpstr>
      <vt:lpstr>strip_merge</vt:lpstr>
      <vt:lpstr>synonyms</vt:lpstr>
      <vt:lpstr>knowledge_bases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2023-01-27T07:57:23Z</dcterms:created>
  <dcterms:modified xsi:type="dcterms:W3CDTF">2023-02-27T14:56:26Z</dcterms:modified>
</cp:coreProperties>
</file>