
<file path=[Content_Types].xml><?xml version="1.0" encoding="utf-8"?>
<Types xmlns="http://schemas.openxmlformats.org/package/2006/content-types">
  <Default Extension="rels" ContentType="application/vnd.openxmlformats-package.relationships+xml"/>
  <Default Extension="tiff" ContentType="image/tif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5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7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milhafeez/Google Drive/Career/Columbia/mesa_metals_calibration/mesa_metals_calibration/data/"/>
    </mc:Choice>
  </mc:AlternateContent>
  <xr:revisionPtr revIDLastSave="0" documentId="13_ncr:1_{1314865E-FA30-2448-8E4D-A33ADDADDB51}" xr6:coauthVersionLast="46" xr6:coauthVersionMax="46" xr10:uidLastSave="{00000000-0000-0000-0000-000000000000}"/>
  <bookViews>
    <workbookView xWindow="-12500" yWindow="-20940" windowWidth="32960" windowHeight="20940" firstSheet="5" activeTab="17" xr2:uid="{08E544B3-AB3A-D443-A0E6-C39D9911B18A}"/>
  </bookViews>
  <sheets>
    <sheet name="General" sheetId="56" r:id="rId1"/>
    <sheet name="cobalt_Co" sheetId="1" r:id="rId2"/>
    <sheet name="nickel_Ni" sheetId="2" r:id="rId3"/>
    <sheet name="zinc_Zn" sheetId="3" r:id="rId4"/>
    <sheet name="copper_Cu" sheetId="4" r:id="rId5"/>
    <sheet name="strontium_Sr" sheetId="5" r:id="rId6"/>
    <sheet name="molybdenum_Mo" sheetId="6" r:id="rId7"/>
    <sheet name="antimony_Sb" sheetId="45" r:id="rId8"/>
    <sheet name="cesium_Cs" sheetId="46" r:id="rId9"/>
    <sheet name="barium_Ba" sheetId="48" r:id="rId10"/>
    <sheet name="tungsten_W" sheetId="47" r:id="rId11"/>
    <sheet name="thallium_Tl" sheetId="49" r:id="rId12"/>
    <sheet name="lead_Pb" sheetId="50" r:id="rId13"/>
    <sheet name="uranium_U" sheetId="51" r:id="rId14"/>
    <sheet name="manganese_Mn" sheetId="52" r:id="rId15"/>
    <sheet name="selenium_Se" sheetId="54" r:id="rId16"/>
    <sheet name="arsenic_As " sheetId="53" r:id="rId17"/>
    <sheet name="cadmium_Cd" sheetId="55" r:id="rId18"/>
    <sheet name="Distribution_sample_std" sheetId="7" r:id="rId19"/>
  </sheets>
  <externalReferences>
    <externalReference r:id="rId20"/>
  </externalReferences>
  <definedNames>
    <definedName name="intercept">[1]Sheet2!$N$10</definedName>
    <definedName name="slope">[1]Sheet2!$N$9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42" i="2" l="1"/>
  <c r="Q21" i="55"/>
  <c r="Y21" i="55" s="1"/>
  <c r="Q15" i="55"/>
  <c r="Y15" i="55" s="1"/>
  <c r="Q9" i="55"/>
  <c r="Y9" i="55" s="1"/>
  <c r="Q3" i="55"/>
  <c r="Y3" i="55" s="1"/>
  <c r="Y27" i="51"/>
  <c r="X27" i="51"/>
  <c r="Y21" i="51"/>
  <c r="X15" i="50"/>
  <c r="Y9" i="50"/>
  <c r="X9" i="50"/>
  <c r="X15" i="53"/>
  <c r="X3" i="53"/>
  <c r="Y27" i="54"/>
  <c r="X27" i="54"/>
  <c r="X15" i="52"/>
  <c r="Y3" i="52"/>
  <c r="X3" i="52"/>
  <c r="Y33" i="49"/>
  <c r="X33" i="49"/>
  <c r="Y27" i="49"/>
  <c r="X15" i="6"/>
  <c r="Y9" i="6"/>
  <c r="Y3" i="4"/>
  <c r="Y27" i="3"/>
  <c r="Y27" i="2"/>
  <c r="X27" i="2"/>
  <c r="X15" i="2"/>
  <c r="Y3" i="2"/>
  <c r="X3" i="2"/>
  <c r="Q33" i="53"/>
  <c r="Y33" i="53" s="1"/>
  <c r="Q27" i="53"/>
  <c r="Y27" i="53" s="1"/>
  <c r="Q21" i="53"/>
  <c r="Y21" i="53" s="1"/>
  <c r="Q15" i="53"/>
  <c r="Y15" i="53" s="1"/>
  <c r="Q9" i="53"/>
  <c r="Y9" i="53" s="1"/>
  <c r="Q3" i="53"/>
  <c r="Y3" i="53" s="1"/>
  <c r="Q3" i="54"/>
  <c r="Y3" i="54" s="1"/>
  <c r="Q9" i="54"/>
  <c r="Y9" i="54" s="1"/>
  <c r="Q33" i="54"/>
  <c r="X33" i="54" s="1"/>
  <c r="Q27" i="54"/>
  <c r="Q21" i="54"/>
  <c r="Y21" i="54" s="1"/>
  <c r="Q15" i="54"/>
  <c r="Y15" i="54" s="1"/>
  <c r="Q33" i="52"/>
  <c r="Y33" i="52" s="1"/>
  <c r="Q27" i="52"/>
  <c r="X27" i="52" s="1"/>
  <c r="Q21" i="52"/>
  <c r="X21" i="52" s="1"/>
  <c r="Q15" i="52"/>
  <c r="Y15" i="52" s="1"/>
  <c r="Q9" i="52"/>
  <c r="Y9" i="52" s="1"/>
  <c r="Q3" i="52"/>
  <c r="Q33" i="51"/>
  <c r="Y33" i="51" s="1"/>
  <c r="Q27" i="51"/>
  <c r="Q21" i="51"/>
  <c r="X21" i="51" s="1"/>
  <c r="Q15" i="51"/>
  <c r="X15" i="51" s="1"/>
  <c r="Q9" i="51"/>
  <c r="Y9" i="51" s="1"/>
  <c r="Q3" i="51"/>
  <c r="Y3" i="51" s="1"/>
  <c r="Q33" i="50"/>
  <c r="Y33" i="50" s="1"/>
  <c r="Q27" i="50"/>
  <c r="Y27" i="50" s="1"/>
  <c r="Q21" i="50"/>
  <c r="Y21" i="50" s="1"/>
  <c r="Q15" i="50"/>
  <c r="Y15" i="50" s="1"/>
  <c r="Q9" i="50"/>
  <c r="Q3" i="50"/>
  <c r="Y3" i="50" s="1"/>
  <c r="Q33" i="49"/>
  <c r="Q27" i="49"/>
  <c r="X27" i="49" s="1"/>
  <c r="Q21" i="49"/>
  <c r="Y21" i="49" s="1"/>
  <c r="Q15" i="49"/>
  <c r="X15" i="49" s="1"/>
  <c r="Q9" i="49"/>
  <c r="X9" i="49" s="1"/>
  <c r="Q3" i="49"/>
  <c r="X3" i="49" s="1"/>
  <c r="E2" i="49"/>
  <c r="E3" i="49"/>
  <c r="E4" i="49"/>
  <c r="E5" i="49"/>
  <c r="E6" i="49"/>
  <c r="E7" i="49"/>
  <c r="Q33" i="47"/>
  <c r="Y33" i="47" s="1"/>
  <c r="Q27" i="47"/>
  <c r="Y27" i="47" s="1"/>
  <c r="Q21" i="47"/>
  <c r="Y21" i="47" s="1"/>
  <c r="Q15" i="47"/>
  <c r="X15" i="47" s="1"/>
  <c r="Q9" i="47"/>
  <c r="Y9" i="47" s="1"/>
  <c r="Q3" i="47"/>
  <c r="Y3" i="47" s="1"/>
  <c r="Q33" i="48"/>
  <c r="Y33" i="48" s="1"/>
  <c r="Q27" i="48"/>
  <c r="Y27" i="48" s="1"/>
  <c r="Q21" i="48"/>
  <c r="Y21" i="48" s="1"/>
  <c r="Q15" i="48"/>
  <c r="Y15" i="48" s="1"/>
  <c r="Q9" i="48"/>
  <c r="Y9" i="48" s="1"/>
  <c r="Q3" i="48"/>
  <c r="X3" i="48" s="1"/>
  <c r="Q33" i="46"/>
  <c r="Y33" i="46" s="1"/>
  <c r="Q27" i="46"/>
  <c r="X27" i="46" s="1"/>
  <c r="Q21" i="46"/>
  <c r="Y21" i="46" s="1"/>
  <c r="Q15" i="46"/>
  <c r="X15" i="46" s="1"/>
  <c r="Q9" i="46"/>
  <c r="Y9" i="46" s="1"/>
  <c r="Q3" i="46"/>
  <c r="X3" i="46" s="1"/>
  <c r="Q33" i="45"/>
  <c r="Y33" i="45" s="1"/>
  <c r="Q27" i="45"/>
  <c r="Y27" i="45" s="1"/>
  <c r="Q21" i="45"/>
  <c r="Y21" i="45" s="1"/>
  <c r="Q15" i="45"/>
  <c r="Y15" i="45" s="1"/>
  <c r="Q9" i="45"/>
  <c r="Y9" i="45" s="1"/>
  <c r="Q3" i="45"/>
  <c r="Y3" i="45" s="1"/>
  <c r="Q33" i="6"/>
  <c r="Y33" i="6" s="1"/>
  <c r="Q27" i="6"/>
  <c r="Y27" i="6" s="1"/>
  <c r="Q21" i="6"/>
  <c r="Y21" i="6" s="1"/>
  <c r="Q15" i="6"/>
  <c r="Y15" i="6" s="1"/>
  <c r="Q9" i="6"/>
  <c r="X9" i="6" s="1"/>
  <c r="Q3" i="6"/>
  <c r="Y3" i="6" s="1"/>
  <c r="Q33" i="5"/>
  <c r="Y33" i="5" s="1"/>
  <c r="Q27" i="5"/>
  <c r="Y27" i="5" s="1"/>
  <c r="Q21" i="5"/>
  <c r="Y21" i="5" s="1"/>
  <c r="Q15" i="5"/>
  <c r="Y15" i="5" s="1"/>
  <c r="Q9" i="5"/>
  <c r="Y9" i="5" s="1"/>
  <c r="Q3" i="5"/>
  <c r="Y3" i="5" s="1"/>
  <c r="Q33" i="4"/>
  <c r="Y33" i="4" s="1"/>
  <c r="Q27" i="4"/>
  <c r="X27" i="4" s="1"/>
  <c r="Q21" i="4"/>
  <c r="X21" i="4" s="1"/>
  <c r="Q15" i="4"/>
  <c r="X15" i="4" s="1"/>
  <c r="Q9" i="4"/>
  <c r="Y9" i="4" s="1"/>
  <c r="Q3" i="4"/>
  <c r="X3" i="4" s="1"/>
  <c r="Q33" i="3"/>
  <c r="X33" i="3" s="1"/>
  <c r="Q27" i="3"/>
  <c r="X27" i="3" s="1"/>
  <c r="Q21" i="3"/>
  <c r="Y21" i="3" s="1"/>
  <c r="Q15" i="3"/>
  <c r="X15" i="3" s="1"/>
  <c r="Q9" i="3"/>
  <c r="Y9" i="3" s="1"/>
  <c r="Q3" i="3"/>
  <c r="X3" i="3" s="1"/>
  <c r="Q33" i="2"/>
  <c r="Q27" i="2"/>
  <c r="Q21" i="2"/>
  <c r="Y21" i="2" s="1"/>
  <c r="Q15" i="2"/>
  <c r="Y15" i="2" s="1"/>
  <c r="Q9" i="2"/>
  <c r="Y9" i="2" s="1"/>
  <c r="Q3" i="2"/>
  <c r="Q33" i="1"/>
  <c r="Y33" i="1" s="1"/>
  <c r="Q27" i="1"/>
  <c r="Y27" i="1" s="1"/>
  <c r="Q20" i="1"/>
  <c r="Y20" i="1" s="1"/>
  <c r="Q15" i="1"/>
  <c r="Y15" i="1" s="1"/>
  <c r="Q8" i="1"/>
  <c r="Y8" i="1" s="1"/>
  <c r="Q3" i="1"/>
  <c r="Y3" i="1" s="1"/>
  <c r="X3" i="54" l="1"/>
  <c r="X15" i="54"/>
  <c r="Y15" i="51"/>
  <c r="K253" i="7" s="1"/>
  <c r="K252" i="7"/>
  <c r="X27" i="50"/>
  <c r="X3" i="50"/>
  <c r="Y3" i="49"/>
  <c r="X21" i="47"/>
  <c r="X27" i="47"/>
  <c r="Y15" i="47"/>
  <c r="K250" i="7"/>
  <c r="X9" i="48"/>
  <c r="X15" i="48"/>
  <c r="Y3" i="48"/>
  <c r="X27" i="48"/>
  <c r="X27" i="45"/>
  <c r="X33" i="45"/>
  <c r="X21" i="45"/>
  <c r="K246" i="7"/>
  <c r="X21" i="6"/>
  <c r="K251" i="7"/>
  <c r="J255" i="7"/>
  <c r="K255" i="7"/>
  <c r="K249" i="7"/>
  <c r="K247" i="7"/>
  <c r="K254" i="7"/>
  <c r="J243" i="7"/>
  <c r="X33" i="48"/>
  <c r="X9" i="54"/>
  <c r="X21" i="53"/>
  <c r="Y9" i="49"/>
  <c r="Y21" i="52"/>
  <c r="Y33" i="54"/>
  <c r="X9" i="45"/>
  <c r="X27" i="53"/>
  <c r="X3" i="51"/>
  <c r="X33" i="4"/>
  <c r="Y15" i="49"/>
  <c r="Y27" i="52"/>
  <c r="K245" i="7"/>
  <c r="X15" i="1"/>
  <c r="X9" i="3"/>
  <c r="X3" i="6"/>
  <c r="X27" i="6"/>
  <c r="J246" i="7" s="1"/>
  <c r="X15" i="45"/>
  <c r="Y3" i="46"/>
  <c r="X21" i="48"/>
  <c r="J249" i="7" s="1"/>
  <c r="X9" i="47"/>
  <c r="X33" i="47"/>
  <c r="X21" i="49"/>
  <c r="J251" i="7" s="1"/>
  <c r="X9" i="52"/>
  <c r="X33" i="52"/>
  <c r="X21" i="54"/>
  <c r="X9" i="53"/>
  <c r="X33" i="53"/>
  <c r="X21" i="50"/>
  <c r="X9" i="51"/>
  <c r="X33" i="51"/>
  <c r="J253" i="7" s="1"/>
  <c r="X33" i="6"/>
  <c r="X9" i="4"/>
  <c r="J244" i="7" s="1"/>
  <c r="X3" i="45"/>
  <c r="X33" i="50"/>
  <c r="Y15" i="4"/>
  <c r="Y27" i="4"/>
  <c r="X3" i="47"/>
  <c r="Y3" i="3"/>
  <c r="K243" i="7" s="1"/>
  <c r="Y15" i="3"/>
  <c r="Y27" i="46"/>
  <c r="K257" i="7"/>
  <c r="Y15" i="46"/>
  <c r="K248" i="7" s="1"/>
  <c r="X9" i="46"/>
  <c r="X21" i="46"/>
  <c r="X33" i="46"/>
  <c r="Y21" i="4"/>
  <c r="K244" i="7" s="1"/>
  <c r="Y33" i="3"/>
  <c r="X21" i="3"/>
  <c r="X9" i="2"/>
  <c r="X21" i="2"/>
  <c r="X33" i="2"/>
  <c r="X37" i="2" s="1"/>
  <c r="Y33" i="2"/>
  <c r="K242" i="7" s="1"/>
  <c r="X9" i="5"/>
  <c r="X21" i="5"/>
  <c r="X33" i="5"/>
  <c r="X3" i="5"/>
  <c r="X15" i="5"/>
  <c r="X27" i="5"/>
  <c r="K241" i="7"/>
  <c r="X3" i="1"/>
  <c r="J241" i="7" s="1"/>
  <c r="X27" i="1"/>
  <c r="X33" i="1"/>
  <c r="X8" i="1"/>
  <c r="X20" i="1"/>
  <c r="X15" i="55"/>
  <c r="X3" i="55"/>
  <c r="X9" i="55"/>
  <c r="X21" i="55"/>
  <c r="K256" i="7"/>
  <c r="Y37" i="1"/>
  <c r="J256" i="7" l="1"/>
  <c r="J247" i="7"/>
  <c r="J257" i="7"/>
  <c r="J242" i="7"/>
  <c r="J245" i="7"/>
  <c r="J254" i="7"/>
  <c r="X37" i="1"/>
  <c r="J248" i="7"/>
  <c r="J252" i="7"/>
  <c r="J250" i="7"/>
  <c r="Y37" i="2"/>
  <c r="AG263" i="7" l="1"/>
  <c r="U263" i="7"/>
  <c r="AY263" i="7"/>
  <c r="AV263" i="7"/>
  <c r="AS268" i="7"/>
  <c r="AS263" i="7"/>
  <c r="AP263" i="7"/>
  <c r="AJ263" i="7"/>
  <c r="AD263" i="7"/>
  <c r="AA264" i="7"/>
  <c r="AA265" i="7"/>
  <c r="AA266" i="7"/>
  <c r="AA267" i="7"/>
  <c r="AA268" i="7"/>
  <c r="AA263" i="7"/>
  <c r="X264" i="7"/>
  <c r="X265" i="7"/>
  <c r="X266" i="7"/>
  <c r="X267" i="7"/>
  <c r="X268" i="7"/>
  <c r="X263" i="7"/>
  <c r="R264" i="7"/>
  <c r="R265" i="7"/>
  <c r="R266" i="7"/>
  <c r="R267" i="7"/>
  <c r="R263" i="7"/>
  <c r="O268" i="7"/>
  <c r="O264" i="7"/>
  <c r="O265" i="7"/>
  <c r="O266" i="7"/>
  <c r="O267" i="7"/>
  <c r="O263" i="7"/>
  <c r="D300" i="7" l="1"/>
  <c r="E300" i="7"/>
  <c r="F300" i="7"/>
  <c r="G300" i="7"/>
  <c r="H300" i="7"/>
  <c r="I300" i="7"/>
  <c r="J300" i="7"/>
  <c r="K300" i="7"/>
  <c r="L300" i="7"/>
  <c r="M300" i="7"/>
  <c r="N300" i="7"/>
  <c r="O300" i="7"/>
  <c r="R300" i="7"/>
  <c r="C300" i="7"/>
  <c r="E33" i="53"/>
  <c r="E34" i="53"/>
  <c r="E35" i="53"/>
  <c r="E36" i="53"/>
  <c r="E37" i="53"/>
  <c r="E32" i="53"/>
  <c r="E26" i="53"/>
  <c r="E27" i="53"/>
  <c r="E28" i="53"/>
  <c r="E29" i="53"/>
  <c r="E30" i="53"/>
  <c r="E31" i="53"/>
  <c r="E33" i="54"/>
  <c r="E34" i="54"/>
  <c r="E35" i="54"/>
  <c r="E36" i="54"/>
  <c r="E37" i="54"/>
  <c r="E32" i="54"/>
  <c r="E27" i="54"/>
  <c r="E28" i="54"/>
  <c r="E29" i="54"/>
  <c r="E30" i="54"/>
  <c r="E31" i="54"/>
  <c r="E26" i="54"/>
  <c r="E33" i="52"/>
  <c r="E34" i="52"/>
  <c r="E35" i="52"/>
  <c r="E36" i="52"/>
  <c r="E37" i="52"/>
  <c r="E32" i="52"/>
  <c r="E27" i="52"/>
  <c r="E28" i="52"/>
  <c r="E29" i="52"/>
  <c r="E30" i="52"/>
  <c r="E31" i="52"/>
  <c r="E26" i="52"/>
  <c r="E33" i="51"/>
  <c r="E34" i="51"/>
  <c r="E35" i="51"/>
  <c r="E36" i="51"/>
  <c r="E37" i="51"/>
  <c r="E32" i="51"/>
  <c r="E27" i="51"/>
  <c r="E28" i="51"/>
  <c r="E29" i="51"/>
  <c r="E30" i="51"/>
  <c r="E31" i="51"/>
  <c r="E26" i="51"/>
  <c r="E33" i="50"/>
  <c r="E34" i="50"/>
  <c r="E35" i="50"/>
  <c r="E36" i="50"/>
  <c r="E37" i="50"/>
  <c r="E32" i="50"/>
  <c r="E27" i="50"/>
  <c r="E28" i="50"/>
  <c r="E29" i="50"/>
  <c r="E30" i="50"/>
  <c r="E31" i="50"/>
  <c r="E26" i="50"/>
  <c r="E33" i="49"/>
  <c r="E34" i="49"/>
  <c r="E35" i="49"/>
  <c r="E36" i="49"/>
  <c r="E37" i="49"/>
  <c r="E32" i="49"/>
  <c r="E27" i="49"/>
  <c r="E28" i="49"/>
  <c r="E29" i="49"/>
  <c r="E30" i="49"/>
  <c r="E31" i="49"/>
  <c r="E26" i="49"/>
  <c r="E33" i="47"/>
  <c r="E34" i="47"/>
  <c r="E35" i="47"/>
  <c r="E36" i="47"/>
  <c r="E37" i="47"/>
  <c r="E32" i="47"/>
  <c r="E27" i="47"/>
  <c r="E28" i="47"/>
  <c r="E29" i="47"/>
  <c r="E30" i="47"/>
  <c r="E31" i="47"/>
  <c r="E26" i="47"/>
  <c r="E33" i="48"/>
  <c r="E34" i="48"/>
  <c r="E35" i="48"/>
  <c r="E36" i="48"/>
  <c r="E37" i="48"/>
  <c r="E32" i="48"/>
  <c r="E27" i="48"/>
  <c r="E28" i="48"/>
  <c r="E29" i="48"/>
  <c r="E30" i="48"/>
  <c r="E31" i="48"/>
  <c r="E26" i="48"/>
  <c r="E33" i="46"/>
  <c r="E34" i="46"/>
  <c r="E35" i="46"/>
  <c r="E36" i="46"/>
  <c r="E37" i="46"/>
  <c r="E32" i="46"/>
  <c r="E27" i="46"/>
  <c r="E28" i="46"/>
  <c r="E29" i="46"/>
  <c r="E30" i="46"/>
  <c r="E31" i="46"/>
  <c r="E26" i="46"/>
  <c r="E33" i="45"/>
  <c r="E34" i="45"/>
  <c r="E35" i="45"/>
  <c r="E36" i="45"/>
  <c r="E37" i="45"/>
  <c r="E32" i="45"/>
  <c r="E26" i="45"/>
  <c r="E27" i="45"/>
  <c r="E28" i="45"/>
  <c r="E29" i="45"/>
  <c r="E30" i="45"/>
  <c r="E31" i="45"/>
  <c r="E33" i="6"/>
  <c r="E34" i="6"/>
  <c r="E35" i="6"/>
  <c r="E36" i="6"/>
  <c r="E37" i="6"/>
  <c r="E32" i="6"/>
  <c r="E27" i="6"/>
  <c r="E28" i="6"/>
  <c r="E29" i="6"/>
  <c r="E30" i="6"/>
  <c r="E31" i="6"/>
  <c r="E26" i="6"/>
  <c r="P300" i="7" l="1"/>
  <c r="E33" i="5" l="1"/>
  <c r="E34" i="5"/>
  <c r="E35" i="5"/>
  <c r="E36" i="5"/>
  <c r="E37" i="5"/>
  <c r="E32" i="5"/>
  <c r="E27" i="5"/>
  <c r="E28" i="5"/>
  <c r="E29" i="5"/>
  <c r="E30" i="5"/>
  <c r="E31" i="5"/>
  <c r="E26" i="5"/>
  <c r="E33" i="4"/>
  <c r="E34" i="4"/>
  <c r="E35" i="4"/>
  <c r="E36" i="4"/>
  <c r="E37" i="4"/>
  <c r="E32" i="4"/>
  <c r="E27" i="4"/>
  <c r="E28" i="4"/>
  <c r="E29" i="4"/>
  <c r="E30" i="4"/>
  <c r="E31" i="4"/>
  <c r="E26" i="4"/>
  <c r="E33" i="3"/>
  <c r="E34" i="3"/>
  <c r="E35" i="3"/>
  <c r="E36" i="3"/>
  <c r="E37" i="3"/>
  <c r="E32" i="3"/>
  <c r="E27" i="3"/>
  <c r="E28" i="3"/>
  <c r="E29" i="3"/>
  <c r="E30" i="3"/>
  <c r="E31" i="3"/>
  <c r="E26" i="3"/>
  <c r="E27" i="2"/>
  <c r="E28" i="2"/>
  <c r="E29" i="2"/>
  <c r="E30" i="2"/>
  <c r="E31" i="2"/>
  <c r="E33" i="2"/>
  <c r="E34" i="2"/>
  <c r="E35" i="2"/>
  <c r="E36" i="2"/>
  <c r="E37" i="2"/>
  <c r="E32" i="2"/>
  <c r="E26" i="2"/>
  <c r="E33" i="1"/>
  <c r="E34" i="1"/>
  <c r="E35" i="1"/>
  <c r="E36" i="1"/>
  <c r="E37" i="1"/>
  <c r="E32" i="1"/>
  <c r="E27" i="1"/>
  <c r="E28" i="1"/>
  <c r="E29" i="1"/>
  <c r="E30" i="1"/>
  <c r="E31" i="1"/>
  <c r="E26" i="1"/>
  <c r="E21" i="55"/>
  <c r="E22" i="55"/>
  <c r="E23" i="55"/>
  <c r="E24" i="55"/>
  <c r="E25" i="55"/>
  <c r="E20" i="55"/>
  <c r="E21" i="53"/>
  <c r="E22" i="53"/>
  <c r="E23" i="53"/>
  <c r="E24" i="53"/>
  <c r="E25" i="53"/>
  <c r="E20" i="53"/>
  <c r="E14" i="53"/>
  <c r="Q300" i="7"/>
  <c r="E21" i="54"/>
  <c r="E22" i="54"/>
  <c r="E23" i="54"/>
  <c r="E24" i="54"/>
  <c r="E25" i="54"/>
  <c r="E20" i="54"/>
  <c r="E14" i="54"/>
  <c r="E21" i="52"/>
  <c r="E22" i="52"/>
  <c r="E23" i="52"/>
  <c r="E24" i="52"/>
  <c r="E25" i="52"/>
  <c r="E20" i="52"/>
  <c r="E21" i="51"/>
  <c r="E22" i="51"/>
  <c r="E23" i="51"/>
  <c r="E24" i="51"/>
  <c r="E25" i="51"/>
  <c r="E20" i="51"/>
  <c r="E21" i="50"/>
  <c r="E22" i="50"/>
  <c r="E23" i="50"/>
  <c r="E24" i="50"/>
  <c r="E25" i="50"/>
  <c r="E20" i="50"/>
  <c r="E21" i="49"/>
  <c r="E22" i="49"/>
  <c r="E23" i="49"/>
  <c r="E24" i="49"/>
  <c r="E25" i="49"/>
  <c r="E20" i="49"/>
  <c r="E21" i="47"/>
  <c r="E22" i="47"/>
  <c r="E23" i="47"/>
  <c r="E24" i="47"/>
  <c r="E25" i="47"/>
  <c r="E20" i="47"/>
  <c r="E21" i="48"/>
  <c r="E22" i="48"/>
  <c r="E23" i="48"/>
  <c r="E24" i="48"/>
  <c r="E25" i="48"/>
  <c r="E20" i="48"/>
  <c r="E21" i="46"/>
  <c r="E22" i="46"/>
  <c r="E23" i="46"/>
  <c r="E24" i="46"/>
  <c r="E25" i="46"/>
  <c r="E20" i="46"/>
  <c r="E21" i="45"/>
  <c r="E22" i="45"/>
  <c r="E23" i="45"/>
  <c r="E24" i="45"/>
  <c r="E25" i="45"/>
  <c r="E20" i="45"/>
  <c r="E21" i="6"/>
  <c r="E22" i="6"/>
  <c r="E23" i="6"/>
  <c r="E24" i="6"/>
  <c r="E25" i="6"/>
  <c r="E20" i="6"/>
  <c r="E21" i="5"/>
  <c r="E22" i="5"/>
  <c r="E23" i="5"/>
  <c r="E24" i="5"/>
  <c r="E25" i="5"/>
  <c r="E20" i="5"/>
  <c r="E21" i="4"/>
  <c r="E22" i="4"/>
  <c r="E23" i="4"/>
  <c r="E24" i="4"/>
  <c r="E25" i="4"/>
  <c r="E20" i="4"/>
  <c r="E21" i="3"/>
  <c r="E22" i="3"/>
  <c r="E23" i="3"/>
  <c r="E24" i="3"/>
  <c r="E25" i="3"/>
  <c r="E20" i="3"/>
  <c r="E21" i="2"/>
  <c r="E22" i="2"/>
  <c r="E23" i="2"/>
  <c r="E24" i="2"/>
  <c r="E25" i="2"/>
  <c r="E20" i="2"/>
  <c r="E21" i="1"/>
  <c r="E22" i="1"/>
  <c r="E23" i="1"/>
  <c r="E24" i="1"/>
  <c r="E25" i="1"/>
  <c r="E20" i="1"/>
  <c r="E15" i="55"/>
  <c r="E16" i="55"/>
  <c r="E17" i="55"/>
  <c r="E18" i="55"/>
  <c r="E19" i="55"/>
  <c r="E14" i="55"/>
  <c r="E9" i="55"/>
  <c r="E10" i="55"/>
  <c r="E11" i="55"/>
  <c r="E12" i="55"/>
  <c r="E13" i="55"/>
  <c r="E8" i="55"/>
  <c r="E3" i="55"/>
  <c r="E4" i="55"/>
  <c r="E5" i="55"/>
  <c r="E6" i="55"/>
  <c r="E7" i="55"/>
  <c r="E2" i="55"/>
  <c r="E15" i="53"/>
  <c r="E16" i="53"/>
  <c r="E17" i="53"/>
  <c r="E18" i="53"/>
  <c r="E19" i="53"/>
  <c r="E9" i="53"/>
  <c r="E10" i="53"/>
  <c r="E11" i="53"/>
  <c r="E12" i="53"/>
  <c r="E13" i="53"/>
  <c r="E8" i="53"/>
  <c r="E3" i="53"/>
  <c r="E4" i="53"/>
  <c r="E5" i="53"/>
  <c r="E6" i="53"/>
  <c r="E7" i="53"/>
  <c r="E2" i="53"/>
  <c r="E15" i="54"/>
  <c r="E16" i="54"/>
  <c r="E17" i="54"/>
  <c r="E18" i="54"/>
  <c r="E19" i="54"/>
  <c r="E9" i="54"/>
  <c r="E10" i="54"/>
  <c r="E11" i="54"/>
  <c r="E12" i="54"/>
  <c r="E13" i="54"/>
  <c r="E8" i="54"/>
  <c r="E3" i="54"/>
  <c r="E4" i="54"/>
  <c r="E5" i="54"/>
  <c r="E6" i="54"/>
  <c r="E7" i="54"/>
  <c r="E2" i="54"/>
  <c r="E15" i="52"/>
  <c r="E16" i="52"/>
  <c r="E17" i="52"/>
  <c r="E18" i="52"/>
  <c r="E19" i="52"/>
  <c r="E14" i="52"/>
  <c r="E9" i="52"/>
  <c r="E10" i="52"/>
  <c r="E11" i="52"/>
  <c r="E12" i="52"/>
  <c r="E13" i="52"/>
  <c r="E8" i="52"/>
  <c r="E3" i="52"/>
  <c r="E4" i="52"/>
  <c r="E5" i="52"/>
  <c r="E6" i="52"/>
  <c r="E7" i="52"/>
  <c r="E2" i="52"/>
  <c r="E15" i="51"/>
  <c r="E16" i="51"/>
  <c r="E17" i="51"/>
  <c r="E18" i="51"/>
  <c r="E19" i="51"/>
  <c r="E14" i="51"/>
  <c r="E9" i="51"/>
  <c r="E10" i="51"/>
  <c r="E11" i="51"/>
  <c r="E12" i="51"/>
  <c r="E13" i="51"/>
  <c r="E8" i="51"/>
  <c r="E3" i="51"/>
  <c r="E4" i="51"/>
  <c r="E5" i="51"/>
  <c r="E6" i="51"/>
  <c r="E7" i="51"/>
  <c r="E2" i="51"/>
  <c r="E15" i="50"/>
  <c r="E16" i="50"/>
  <c r="E17" i="50"/>
  <c r="E18" i="50"/>
  <c r="E19" i="50"/>
  <c r="E14" i="50"/>
  <c r="E9" i="50"/>
  <c r="E10" i="50"/>
  <c r="E11" i="50"/>
  <c r="E12" i="50"/>
  <c r="E13" i="50"/>
  <c r="E8" i="50"/>
  <c r="E3" i="50"/>
  <c r="E4" i="50"/>
  <c r="E5" i="50"/>
  <c r="E6" i="50"/>
  <c r="E7" i="50"/>
  <c r="E2" i="50"/>
  <c r="E15" i="49"/>
  <c r="E16" i="49"/>
  <c r="E17" i="49"/>
  <c r="E18" i="49"/>
  <c r="E19" i="49"/>
  <c r="E14" i="49"/>
  <c r="E9" i="49"/>
  <c r="E10" i="49"/>
  <c r="E11" i="49"/>
  <c r="E12" i="49"/>
  <c r="E13" i="49"/>
  <c r="E8" i="49"/>
  <c r="E15" i="47"/>
  <c r="E16" i="47"/>
  <c r="E17" i="47"/>
  <c r="E18" i="47"/>
  <c r="E19" i="47"/>
  <c r="E14" i="47"/>
  <c r="E9" i="47"/>
  <c r="E10" i="47"/>
  <c r="E11" i="47"/>
  <c r="E12" i="47"/>
  <c r="E13" i="47"/>
  <c r="E8" i="47"/>
  <c r="E3" i="47"/>
  <c r="E4" i="47"/>
  <c r="E5" i="47"/>
  <c r="E6" i="47"/>
  <c r="E7" i="47"/>
  <c r="E2" i="47"/>
  <c r="E15" i="48"/>
  <c r="E16" i="48"/>
  <c r="E17" i="48"/>
  <c r="E18" i="48"/>
  <c r="E19" i="48"/>
  <c r="E14" i="48"/>
  <c r="E9" i="48"/>
  <c r="E10" i="48"/>
  <c r="E11" i="48"/>
  <c r="E12" i="48"/>
  <c r="E13" i="48"/>
  <c r="E8" i="48"/>
  <c r="E3" i="48"/>
  <c r="E4" i="48"/>
  <c r="E5" i="48"/>
  <c r="E6" i="48"/>
  <c r="E7" i="48"/>
  <c r="E2" i="48"/>
  <c r="E15" i="46"/>
  <c r="E16" i="46"/>
  <c r="E17" i="46"/>
  <c r="E18" i="46"/>
  <c r="E19" i="46"/>
  <c r="E14" i="46"/>
  <c r="E9" i="46"/>
  <c r="E10" i="46"/>
  <c r="E11" i="46"/>
  <c r="E12" i="46"/>
  <c r="E13" i="46"/>
  <c r="E8" i="46"/>
  <c r="E3" i="46"/>
  <c r="E4" i="46"/>
  <c r="E5" i="46"/>
  <c r="E6" i="46"/>
  <c r="E7" i="46"/>
  <c r="E2" i="46"/>
  <c r="E15" i="45"/>
  <c r="E16" i="45"/>
  <c r="E17" i="45"/>
  <c r="E18" i="45"/>
  <c r="E19" i="45"/>
  <c r="E14" i="45"/>
  <c r="E9" i="45"/>
  <c r="E10" i="45"/>
  <c r="E11" i="45"/>
  <c r="E12" i="45"/>
  <c r="E13" i="45"/>
  <c r="E8" i="45"/>
  <c r="E3" i="45"/>
  <c r="E4" i="45"/>
  <c r="E5" i="45"/>
  <c r="E6" i="45"/>
  <c r="E7" i="45"/>
  <c r="E2" i="45"/>
  <c r="E15" i="6"/>
  <c r="E16" i="6"/>
  <c r="E17" i="6"/>
  <c r="E18" i="6"/>
  <c r="E19" i="6"/>
  <c r="E14" i="6"/>
  <c r="E9" i="6"/>
  <c r="E10" i="6"/>
  <c r="E11" i="6"/>
  <c r="E12" i="6"/>
  <c r="E13" i="6"/>
  <c r="E8" i="6"/>
  <c r="E3" i="6"/>
  <c r="E4" i="6"/>
  <c r="E5" i="6"/>
  <c r="E6" i="6"/>
  <c r="E7" i="6"/>
  <c r="E2" i="6"/>
  <c r="E15" i="5"/>
  <c r="E16" i="5"/>
  <c r="E17" i="5"/>
  <c r="E18" i="5"/>
  <c r="E19" i="5"/>
  <c r="E14" i="5"/>
  <c r="E8" i="5"/>
  <c r="E9" i="5"/>
  <c r="E10" i="5"/>
  <c r="E11" i="5"/>
  <c r="E12" i="5"/>
  <c r="E13" i="5"/>
  <c r="E3" i="5"/>
  <c r="E4" i="5"/>
  <c r="E5" i="5"/>
  <c r="E6" i="5"/>
  <c r="E7" i="5"/>
  <c r="E2" i="5"/>
  <c r="C237" i="7"/>
  <c r="D237" i="7"/>
  <c r="E237" i="7"/>
  <c r="F237" i="7"/>
  <c r="G237" i="7"/>
  <c r="H237" i="7"/>
  <c r="I237" i="7"/>
  <c r="J237" i="7"/>
  <c r="K237" i="7"/>
  <c r="L237" i="7"/>
  <c r="M237" i="7"/>
  <c r="N237" i="7"/>
  <c r="O237" i="7"/>
  <c r="P237" i="7"/>
  <c r="Q237" i="7"/>
  <c r="R237" i="7"/>
  <c r="S237" i="7"/>
  <c r="T237" i="7"/>
  <c r="U237" i="7"/>
  <c r="B237" i="7"/>
  <c r="E43" i="2"/>
  <c r="E44" i="2"/>
  <c r="E45" i="2"/>
  <c r="E46" i="2"/>
  <c r="E48" i="2"/>
  <c r="E49" i="2"/>
  <c r="E50" i="2"/>
  <c r="E51" i="2"/>
  <c r="E52" i="2"/>
  <c r="E53" i="2"/>
  <c r="E54" i="2"/>
  <c r="E55" i="2"/>
  <c r="E56" i="2"/>
  <c r="E57" i="2"/>
  <c r="E58" i="2"/>
  <c r="E59" i="2"/>
  <c r="E61" i="2"/>
  <c r="E62" i="2"/>
  <c r="E63" i="2"/>
  <c r="E64" i="2"/>
  <c r="E65" i="2"/>
  <c r="E66" i="2"/>
  <c r="E67" i="2"/>
  <c r="E68" i="2"/>
  <c r="E69" i="2"/>
  <c r="E70" i="2"/>
  <c r="E71" i="2"/>
  <c r="E72" i="2"/>
  <c r="E74" i="2"/>
  <c r="E75" i="2"/>
  <c r="E76" i="2"/>
  <c r="E77" i="2"/>
  <c r="E78" i="2"/>
  <c r="E79" i="2"/>
  <c r="E80" i="2"/>
  <c r="E81" i="2"/>
  <c r="E82" i="2"/>
  <c r="E83" i="2"/>
  <c r="E84" i="2"/>
  <c r="E85" i="2"/>
  <c r="E88" i="2"/>
  <c r="E89" i="2"/>
  <c r="E90" i="2"/>
  <c r="E91" i="2"/>
  <c r="E92" i="2"/>
  <c r="E93" i="2"/>
  <c r="E94" i="2"/>
  <c r="E95" i="2"/>
  <c r="E96" i="2"/>
  <c r="E97" i="2"/>
  <c r="E98" i="2"/>
  <c r="E99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42" i="2"/>
  <c r="K42" i="2" s="1"/>
  <c r="E19" i="4"/>
  <c r="E18" i="4"/>
  <c r="E17" i="4"/>
  <c r="E16" i="4"/>
  <c r="E15" i="4"/>
  <c r="E14" i="4"/>
  <c r="E13" i="4"/>
  <c r="E12" i="4"/>
  <c r="E11" i="4"/>
  <c r="E10" i="4"/>
  <c r="E9" i="4"/>
  <c r="E8" i="4"/>
  <c r="E7" i="4"/>
  <c r="E6" i="4"/>
  <c r="E5" i="4"/>
  <c r="E4" i="4"/>
  <c r="E3" i="4"/>
  <c r="E2" i="4"/>
  <c r="L264" i="7" l="1"/>
  <c r="L268" i="7"/>
  <c r="L263" i="7"/>
  <c r="L265" i="7"/>
  <c r="L266" i="7"/>
  <c r="L267" i="7"/>
  <c r="I264" i="7"/>
  <c r="I268" i="7"/>
  <c r="I266" i="7"/>
  <c r="I265" i="7"/>
  <c r="I263" i="7"/>
  <c r="I267" i="7"/>
  <c r="F266" i="7"/>
  <c r="F267" i="7"/>
  <c r="F264" i="7"/>
  <c r="F268" i="7"/>
  <c r="F265" i="7"/>
  <c r="F263" i="7"/>
  <c r="C264" i="7"/>
  <c r="C268" i="7"/>
  <c r="C265" i="7"/>
  <c r="C263" i="7"/>
  <c r="C266" i="7"/>
  <c r="C267" i="7"/>
  <c r="F89" i="3"/>
  <c r="L89" i="3" s="1"/>
  <c r="F90" i="3"/>
  <c r="L90" i="3" s="1"/>
  <c r="F91" i="3"/>
  <c r="L91" i="3" s="1"/>
  <c r="F92" i="3"/>
  <c r="L92" i="3" s="1"/>
  <c r="F93" i="3"/>
  <c r="L93" i="3" s="1"/>
  <c r="F94" i="3"/>
  <c r="L94" i="3" s="1"/>
  <c r="F95" i="3"/>
  <c r="L95" i="3" s="1"/>
  <c r="F96" i="3"/>
  <c r="L96" i="3" s="1"/>
  <c r="F97" i="3"/>
  <c r="L97" i="3" s="1"/>
  <c r="F98" i="3"/>
  <c r="L98" i="3" s="1"/>
  <c r="F99" i="3"/>
  <c r="L99" i="3" s="1"/>
  <c r="F101" i="3"/>
  <c r="L101" i="3" s="1"/>
  <c r="F102" i="3"/>
  <c r="L102" i="3" s="1"/>
  <c r="F103" i="3"/>
  <c r="L103" i="3" s="1"/>
  <c r="F104" i="3"/>
  <c r="L104" i="3" s="1"/>
  <c r="F105" i="3"/>
  <c r="L105" i="3" s="1"/>
  <c r="F106" i="3"/>
  <c r="L106" i="3" s="1"/>
  <c r="F107" i="3"/>
  <c r="L107" i="3" s="1"/>
  <c r="F108" i="3"/>
  <c r="L108" i="3" s="1"/>
  <c r="F109" i="3"/>
  <c r="L109" i="3" s="1"/>
  <c r="F110" i="3"/>
  <c r="L110" i="3" s="1"/>
  <c r="F111" i="3"/>
  <c r="L111" i="3" s="1"/>
  <c r="F112" i="3"/>
  <c r="L112" i="3" s="1"/>
  <c r="F88" i="3"/>
  <c r="F61" i="3"/>
  <c r="L61" i="3" s="1"/>
  <c r="E62" i="3"/>
  <c r="K62" i="3" s="1"/>
  <c r="E63" i="3"/>
  <c r="K63" i="3" s="1"/>
  <c r="E64" i="3"/>
  <c r="K64" i="3" s="1"/>
  <c r="E65" i="3"/>
  <c r="K65" i="3" s="1"/>
  <c r="E66" i="3"/>
  <c r="K66" i="3" s="1"/>
  <c r="E67" i="3"/>
  <c r="K67" i="3" s="1"/>
  <c r="E68" i="3"/>
  <c r="K68" i="3" s="1"/>
  <c r="E69" i="3"/>
  <c r="K69" i="3" s="1"/>
  <c r="E70" i="3"/>
  <c r="E71" i="3"/>
  <c r="K71" i="3" s="1"/>
  <c r="E72" i="3"/>
  <c r="K72" i="3" s="1"/>
  <c r="E61" i="3"/>
  <c r="K61" i="3" s="1"/>
  <c r="F74" i="3"/>
  <c r="L74" i="3" s="1"/>
  <c r="E75" i="3"/>
  <c r="K75" i="3" s="1"/>
  <c r="E76" i="3"/>
  <c r="K76" i="3" s="1"/>
  <c r="E77" i="3"/>
  <c r="K77" i="3" s="1"/>
  <c r="E78" i="3"/>
  <c r="K78" i="3" s="1"/>
  <c r="E79" i="3"/>
  <c r="K79" i="3" s="1"/>
  <c r="E80" i="3"/>
  <c r="K80" i="3" s="1"/>
  <c r="E81" i="3"/>
  <c r="K81" i="3" s="1"/>
  <c r="E82" i="3"/>
  <c r="K82" i="3" s="1"/>
  <c r="E83" i="3"/>
  <c r="K83" i="3" s="1"/>
  <c r="E84" i="3"/>
  <c r="K84" i="3" s="1"/>
  <c r="E85" i="3"/>
  <c r="K85" i="3" s="1"/>
  <c r="E74" i="3"/>
  <c r="K74" i="3" s="1"/>
  <c r="F62" i="3"/>
  <c r="L62" i="3" s="1"/>
  <c r="F63" i="3"/>
  <c r="L63" i="3" s="1"/>
  <c r="F64" i="3"/>
  <c r="L64" i="3" s="1"/>
  <c r="F65" i="3"/>
  <c r="L65" i="3" s="1"/>
  <c r="F66" i="3"/>
  <c r="L66" i="3" s="1"/>
  <c r="F67" i="3"/>
  <c r="L67" i="3" s="1"/>
  <c r="F68" i="3"/>
  <c r="L68" i="3" s="1"/>
  <c r="F69" i="3"/>
  <c r="L69" i="3" s="1"/>
  <c r="F70" i="3"/>
  <c r="L70" i="3" s="1"/>
  <c r="F71" i="3"/>
  <c r="L71" i="3" s="1"/>
  <c r="F72" i="3"/>
  <c r="L72" i="3" s="1"/>
  <c r="F75" i="3"/>
  <c r="L75" i="3" s="1"/>
  <c r="F76" i="3"/>
  <c r="L76" i="3" s="1"/>
  <c r="F77" i="3"/>
  <c r="L77" i="3" s="1"/>
  <c r="F78" i="3"/>
  <c r="L78" i="3" s="1"/>
  <c r="F79" i="3"/>
  <c r="L79" i="3" s="1"/>
  <c r="F80" i="3"/>
  <c r="L80" i="3" s="1"/>
  <c r="F81" i="3"/>
  <c r="L81" i="3" s="1"/>
  <c r="F82" i="3"/>
  <c r="L82" i="3" s="1"/>
  <c r="F83" i="3"/>
  <c r="L83" i="3" s="1"/>
  <c r="F84" i="3"/>
  <c r="L84" i="3" s="1"/>
  <c r="F85" i="3"/>
  <c r="L85" i="3" s="1"/>
  <c r="F49" i="3"/>
  <c r="L49" i="3" s="1"/>
  <c r="F50" i="3"/>
  <c r="L50" i="3" s="1"/>
  <c r="F51" i="3"/>
  <c r="L51" i="3" s="1"/>
  <c r="F52" i="3"/>
  <c r="L52" i="3" s="1"/>
  <c r="F53" i="3"/>
  <c r="L53" i="3" s="1"/>
  <c r="F54" i="3"/>
  <c r="L54" i="3" s="1"/>
  <c r="F55" i="3"/>
  <c r="L55" i="3" s="1"/>
  <c r="F56" i="3"/>
  <c r="L56" i="3" s="1"/>
  <c r="F57" i="3"/>
  <c r="L57" i="3" s="1"/>
  <c r="F58" i="3"/>
  <c r="L58" i="3" s="1"/>
  <c r="F59" i="3"/>
  <c r="L59" i="3" s="1"/>
  <c r="F48" i="3"/>
  <c r="L48" i="3" s="1"/>
  <c r="F43" i="3"/>
  <c r="L43" i="3" s="1"/>
  <c r="F44" i="3"/>
  <c r="L44" i="3" s="1"/>
  <c r="F45" i="3"/>
  <c r="L45" i="3" s="1"/>
  <c r="F46" i="3"/>
  <c r="L46" i="3" s="1"/>
  <c r="F42" i="3"/>
  <c r="L42" i="3" s="1"/>
  <c r="E102" i="3"/>
  <c r="K102" i="3" s="1"/>
  <c r="E103" i="3"/>
  <c r="K103" i="3" s="1"/>
  <c r="E104" i="3"/>
  <c r="K104" i="3" s="1"/>
  <c r="E105" i="3"/>
  <c r="K105" i="3" s="1"/>
  <c r="E106" i="3"/>
  <c r="K106" i="3" s="1"/>
  <c r="E107" i="3"/>
  <c r="K107" i="3" s="1"/>
  <c r="E108" i="3"/>
  <c r="K108" i="3" s="1"/>
  <c r="E109" i="3"/>
  <c r="K109" i="3" s="1"/>
  <c r="E110" i="3"/>
  <c r="K110" i="3" s="1"/>
  <c r="E111" i="3"/>
  <c r="K111" i="3" s="1"/>
  <c r="E112" i="3"/>
  <c r="K112" i="3" s="1"/>
  <c r="E101" i="3"/>
  <c r="K101" i="3" s="1"/>
  <c r="E90" i="3"/>
  <c r="K90" i="3" s="1"/>
  <c r="E91" i="3"/>
  <c r="K91" i="3" s="1"/>
  <c r="E92" i="3"/>
  <c r="K92" i="3" s="1"/>
  <c r="E93" i="3"/>
  <c r="K93" i="3" s="1"/>
  <c r="E94" i="3"/>
  <c r="K94" i="3" s="1"/>
  <c r="E95" i="3"/>
  <c r="K95" i="3" s="1"/>
  <c r="E96" i="3"/>
  <c r="K96" i="3" s="1"/>
  <c r="E97" i="3"/>
  <c r="K97" i="3" s="1"/>
  <c r="E98" i="3"/>
  <c r="K98" i="3" s="1"/>
  <c r="E99" i="3"/>
  <c r="K99" i="3" s="1"/>
  <c r="E89" i="3"/>
  <c r="K89" i="3" s="1"/>
  <c r="E88" i="3"/>
  <c r="K70" i="3"/>
  <c r="E49" i="3"/>
  <c r="K49" i="3" s="1"/>
  <c r="E50" i="3"/>
  <c r="K50" i="3" s="1"/>
  <c r="E51" i="3"/>
  <c r="K51" i="3" s="1"/>
  <c r="E52" i="3"/>
  <c r="K52" i="3" s="1"/>
  <c r="E53" i="3"/>
  <c r="K53" i="3" s="1"/>
  <c r="E54" i="3"/>
  <c r="K54" i="3" s="1"/>
  <c r="E55" i="3"/>
  <c r="K55" i="3" s="1"/>
  <c r="E56" i="3"/>
  <c r="K56" i="3" s="1"/>
  <c r="E57" i="3"/>
  <c r="K57" i="3" s="1"/>
  <c r="E58" i="3"/>
  <c r="K58" i="3" s="1"/>
  <c r="E59" i="3"/>
  <c r="K59" i="3" s="1"/>
  <c r="E48" i="3"/>
  <c r="K48" i="3" s="1"/>
  <c r="E42" i="3"/>
  <c r="K42" i="3" s="1"/>
  <c r="E43" i="3"/>
  <c r="K43" i="3" s="1"/>
  <c r="E44" i="3"/>
  <c r="K44" i="3" s="1"/>
  <c r="E45" i="3"/>
  <c r="K45" i="3" s="1"/>
  <c r="E46" i="3"/>
  <c r="K46" i="3" s="1"/>
  <c r="E9" i="3"/>
  <c r="E10" i="3"/>
  <c r="E11" i="3"/>
  <c r="E12" i="3"/>
  <c r="E13" i="3"/>
  <c r="E8" i="3"/>
  <c r="E15" i="3"/>
  <c r="E16" i="3"/>
  <c r="E17" i="3"/>
  <c r="E18" i="3"/>
  <c r="E19" i="3"/>
  <c r="E14" i="3"/>
  <c r="E3" i="3"/>
  <c r="E4" i="3"/>
  <c r="E5" i="3"/>
  <c r="E6" i="3"/>
  <c r="E7" i="3"/>
  <c r="E2" i="3"/>
  <c r="H63" i="3" l="1"/>
  <c r="N63" i="3" s="1"/>
  <c r="H67" i="3"/>
  <c r="N67" i="3" s="1"/>
  <c r="H71" i="3"/>
  <c r="N71" i="3" s="1"/>
  <c r="H64" i="3"/>
  <c r="N64" i="3" s="1"/>
  <c r="H68" i="3"/>
  <c r="N68" i="3" s="1"/>
  <c r="H72" i="3"/>
  <c r="N72" i="3" s="1"/>
  <c r="H65" i="3"/>
  <c r="N65" i="3" s="1"/>
  <c r="H69" i="3"/>
  <c r="N69" i="3" s="1"/>
  <c r="H61" i="3"/>
  <c r="N61" i="3" s="1"/>
  <c r="H62" i="3"/>
  <c r="N62" i="3" s="1"/>
  <c r="H66" i="3"/>
  <c r="N66" i="3" s="1"/>
  <c r="H70" i="3"/>
  <c r="N70" i="3" s="1"/>
  <c r="H43" i="3"/>
  <c r="N43" i="3" s="1"/>
  <c r="H48" i="3"/>
  <c r="N48" i="3" s="1"/>
  <c r="H52" i="3"/>
  <c r="N52" i="3" s="1"/>
  <c r="H56" i="3"/>
  <c r="N56" i="3" s="1"/>
  <c r="H42" i="3"/>
  <c r="N42" i="3" s="1"/>
  <c r="H74" i="3"/>
  <c r="N74" i="3" s="1"/>
  <c r="H78" i="3"/>
  <c r="N78" i="3" s="1"/>
  <c r="H82" i="3"/>
  <c r="N82" i="3" s="1"/>
  <c r="H44" i="3"/>
  <c r="N44" i="3" s="1"/>
  <c r="H49" i="3"/>
  <c r="N49" i="3" s="1"/>
  <c r="H53" i="3"/>
  <c r="N53" i="3" s="1"/>
  <c r="H57" i="3"/>
  <c r="N57" i="3" s="1"/>
  <c r="H75" i="3"/>
  <c r="N75" i="3" s="1"/>
  <c r="H79" i="3"/>
  <c r="N79" i="3" s="1"/>
  <c r="H83" i="3"/>
  <c r="N83" i="3" s="1"/>
  <c r="H45" i="3"/>
  <c r="N45" i="3" s="1"/>
  <c r="H50" i="3"/>
  <c r="N50" i="3" s="1"/>
  <c r="H54" i="3"/>
  <c r="N54" i="3" s="1"/>
  <c r="H58" i="3"/>
  <c r="N58" i="3" s="1"/>
  <c r="H76" i="3"/>
  <c r="N76" i="3" s="1"/>
  <c r="H80" i="3"/>
  <c r="N80" i="3" s="1"/>
  <c r="H84" i="3"/>
  <c r="N84" i="3" s="1"/>
  <c r="H46" i="3"/>
  <c r="N46" i="3" s="1"/>
  <c r="H51" i="3"/>
  <c r="N51" i="3" s="1"/>
  <c r="H55" i="3"/>
  <c r="N55" i="3" s="1"/>
  <c r="H59" i="3"/>
  <c r="N59" i="3" s="1"/>
  <c r="H77" i="3"/>
  <c r="N77" i="3" s="1"/>
  <c r="H81" i="3"/>
  <c r="N81" i="3" s="1"/>
  <c r="H85" i="3"/>
  <c r="N85" i="3" s="1"/>
  <c r="H103" i="3"/>
  <c r="N103" i="3" s="1"/>
  <c r="H106" i="3"/>
  <c r="N106" i="3" s="1"/>
  <c r="H110" i="3"/>
  <c r="N110" i="3" s="1"/>
  <c r="H89" i="3"/>
  <c r="N89" i="3" s="1"/>
  <c r="H93" i="3"/>
  <c r="N93" i="3" s="1"/>
  <c r="H97" i="3"/>
  <c r="N97" i="3" s="1"/>
  <c r="H107" i="3"/>
  <c r="N107" i="3" s="1"/>
  <c r="H111" i="3"/>
  <c r="N111" i="3" s="1"/>
  <c r="H90" i="3"/>
  <c r="N90" i="3" s="1"/>
  <c r="H94" i="3"/>
  <c r="N94" i="3" s="1"/>
  <c r="H98" i="3"/>
  <c r="N98" i="3" s="1"/>
  <c r="H102" i="3"/>
  <c r="N102" i="3" s="1"/>
  <c r="H104" i="3"/>
  <c r="N104" i="3" s="1"/>
  <c r="H108" i="3"/>
  <c r="N108" i="3" s="1"/>
  <c r="H112" i="3"/>
  <c r="N112" i="3" s="1"/>
  <c r="H91" i="3"/>
  <c r="N91" i="3" s="1"/>
  <c r="H95" i="3"/>
  <c r="N95" i="3" s="1"/>
  <c r="H99" i="3"/>
  <c r="N99" i="3" s="1"/>
  <c r="H109" i="3"/>
  <c r="N109" i="3" s="1"/>
  <c r="H101" i="3"/>
  <c r="N101" i="3" s="1"/>
  <c r="H92" i="3"/>
  <c r="N92" i="3" s="1"/>
  <c r="H96" i="3"/>
  <c r="N96" i="3" s="1"/>
  <c r="H88" i="3"/>
  <c r="H105" i="3"/>
  <c r="N105" i="3" s="1"/>
  <c r="K88" i="2"/>
  <c r="K89" i="2"/>
  <c r="K90" i="2"/>
  <c r="K91" i="2"/>
  <c r="K92" i="2"/>
  <c r="K93" i="2"/>
  <c r="K94" i="2"/>
  <c r="K95" i="2"/>
  <c r="K96" i="2"/>
  <c r="K97" i="2"/>
  <c r="K98" i="2"/>
  <c r="K99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F102" i="2"/>
  <c r="L102" i="2" s="1"/>
  <c r="F103" i="2"/>
  <c r="L103" i="2" s="1"/>
  <c r="F104" i="2"/>
  <c r="L104" i="2" s="1"/>
  <c r="F105" i="2"/>
  <c r="L105" i="2" s="1"/>
  <c r="F106" i="2"/>
  <c r="L106" i="2" s="1"/>
  <c r="F107" i="2"/>
  <c r="L107" i="2" s="1"/>
  <c r="F108" i="2"/>
  <c r="L108" i="2" s="1"/>
  <c r="F109" i="2"/>
  <c r="L109" i="2" s="1"/>
  <c r="F110" i="2"/>
  <c r="L110" i="2" s="1"/>
  <c r="F111" i="2"/>
  <c r="L111" i="2" s="1"/>
  <c r="F112" i="2"/>
  <c r="L112" i="2" s="1"/>
  <c r="F101" i="2"/>
  <c r="L101" i="2" s="1"/>
  <c r="F89" i="2"/>
  <c r="L89" i="2" s="1"/>
  <c r="F90" i="2"/>
  <c r="L90" i="2" s="1"/>
  <c r="F91" i="2"/>
  <c r="L91" i="2" s="1"/>
  <c r="F92" i="2"/>
  <c r="L92" i="2" s="1"/>
  <c r="F93" i="2"/>
  <c r="L93" i="2" s="1"/>
  <c r="F94" i="2"/>
  <c r="L94" i="2" s="1"/>
  <c r="F95" i="2"/>
  <c r="L95" i="2" s="1"/>
  <c r="F96" i="2"/>
  <c r="L96" i="2" s="1"/>
  <c r="F97" i="2"/>
  <c r="L97" i="2" s="1"/>
  <c r="F98" i="2"/>
  <c r="L98" i="2" s="1"/>
  <c r="F99" i="2"/>
  <c r="L99" i="2" s="1"/>
  <c r="F88" i="2"/>
  <c r="L88" i="2" s="1"/>
  <c r="F75" i="2"/>
  <c r="L75" i="2" s="1"/>
  <c r="F76" i="2"/>
  <c r="L76" i="2" s="1"/>
  <c r="F77" i="2"/>
  <c r="L77" i="2" s="1"/>
  <c r="F78" i="2"/>
  <c r="L78" i="2" s="1"/>
  <c r="F79" i="2"/>
  <c r="L79" i="2" s="1"/>
  <c r="F80" i="2"/>
  <c r="L80" i="2" s="1"/>
  <c r="F81" i="2"/>
  <c r="L81" i="2" s="1"/>
  <c r="F82" i="2"/>
  <c r="L82" i="2" s="1"/>
  <c r="F83" i="2"/>
  <c r="L83" i="2" s="1"/>
  <c r="F84" i="2"/>
  <c r="L84" i="2" s="1"/>
  <c r="F85" i="2"/>
  <c r="L85" i="2" s="1"/>
  <c r="F74" i="2"/>
  <c r="L74" i="2" s="1"/>
  <c r="K74" i="2"/>
  <c r="K75" i="2"/>
  <c r="K76" i="2"/>
  <c r="K77" i="2"/>
  <c r="K78" i="2"/>
  <c r="K79" i="2"/>
  <c r="K80" i="2"/>
  <c r="K81" i="2"/>
  <c r="K82" i="2"/>
  <c r="K83" i="2"/>
  <c r="K84" i="2"/>
  <c r="K85" i="2"/>
  <c r="F62" i="2"/>
  <c r="L62" i="2" s="1"/>
  <c r="F63" i="2"/>
  <c r="L63" i="2" s="1"/>
  <c r="F64" i="2"/>
  <c r="L64" i="2" s="1"/>
  <c r="F65" i="2"/>
  <c r="L65" i="2" s="1"/>
  <c r="F66" i="2"/>
  <c r="L66" i="2" s="1"/>
  <c r="F67" i="2"/>
  <c r="L67" i="2" s="1"/>
  <c r="F68" i="2"/>
  <c r="L68" i="2" s="1"/>
  <c r="F69" i="2"/>
  <c r="L69" i="2" s="1"/>
  <c r="F70" i="2"/>
  <c r="L70" i="2" s="1"/>
  <c r="F71" i="2"/>
  <c r="L71" i="2" s="1"/>
  <c r="F72" i="2"/>
  <c r="L72" i="2" s="1"/>
  <c r="F61" i="2"/>
  <c r="L61" i="2" s="1"/>
  <c r="K61" i="2"/>
  <c r="K62" i="2"/>
  <c r="K63" i="2"/>
  <c r="K64" i="2"/>
  <c r="K65" i="2"/>
  <c r="K66" i="2"/>
  <c r="K67" i="2"/>
  <c r="K68" i="2"/>
  <c r="K69" i="2"/>
  <c r="K70" i="2"/>
  <c r="K71" i="2"/>
  <c r="K72" i="2"/>
  <c r="K43" i="2"/>
  <c r="K44" i="2"/>
  <c r="K45" i="2"/>
  <c r="K46" i="2"/>
  <c r="K48" i="2"/>
  <c r="K49" i="2"/>
  <c r="K50" i="2"/>
  <c r="K51" i="2"/>
  <c r="K52" i="2"/>
  <c r="K53" i="2"/>
  <c r="K54" i="2"/>
  <c r="K55" i="2"/>
  <c r="K56" i="2"/>
  <c r="K57" i="2"/>
  <c r="K58" i="2"/>
  <c r="K59" i="2"/>
  <c r="F43" i="2"/>
  <c r="L43" i="2" s="1"/>
  <c r="F44" i="2"/>
  <c r="L44" i="2" s="1"/>
  <c r="F45" i="2"/>
  <c r="L45" i="2" s="1"/>
  <c r="F46" i="2"/>
  <c r="L46" i="2" s="1"/>
  <c r="F48" i="2"/>
  <c r="L48" i="2" s="1"/>
  <c r="F49" i="2"/>
  <c r="L49" i="2" s="1"/>
  <c r="F50" i="2"/>
  <c r="L50" i="2" s="1"/>
  <c r="F51" i="2"/>
  <c r="L51" i="2" s="1"/>
  <c r="F52" i="2"/>
  <c r="L52" i="2" s="1"/>
  <c r="F53" i="2"/>
  <c r="L53" i="2" s="1"/>
  <c r="F54" i="2"/>
  <c r="L54" i="2" s="1"/>
  <c r="F55" i="2"/>
  <c r="L55" i="2" s="1"/>
  <c r="F56" i="2"/>
  <c r="L56" i="2" s="1"/>
  <c r="F57" i="2"/>
  <c r="L57" i="2" s="1"/>
  <c r="F58" i="2"/>
  <c r="L58" i="2" s="1"/>
  <c r="F59" i="2"/>
  <c r="L59" i="2" s="1"/>
  <c r="F42" i="2"/>
  <c r="L42" i="2" s="1"/>
  <c r="E15" i="2"/>
  <c r="E16" i="2"/>
  <c r="E17" i="2"/>
  <c r="E18" i="2"/>
  <c r="E19" i="2"/>
  <c r="E14" i="2"/>
  <c r="E13" i="2"/>
  <c r="E9" i="2"/>
  <c r="E10" i="2"/>
  <c r="E11" i="2"/>
  <c r="E12" i="2"/>
  <c r="E8" i="2"/>
  <c r="E3" i="2"/>
  <c r="E4" i="2"/>
  <c r="E5" i="2"/>
  <c r="E6" i="2"/>
  <c r="E7" i="2"/>
  <c r="E2" i="2"/>
  <c r="F44" i="1"/>
  <c r="L44" i="1" s="1"/>
  <c r="F45" i="1"/>
  <c r="L45" i="1" s="1"/>
  <c r="F46" i="1"/>
  <c r="L46" i="1" s="1"/>
  <c r="F47" i="1"/>
  <c r="L47" i="1" s="1"/>
  <c r="F49" i="1"/>
  <c r="L49" i="1" s="1"/>
  <c r="F50" i="1"/>
  <c r="L50" i="1" s="1"/>
  <c r="F51" i="1"/>
  <c r="L51" i="1" s="1"/>
  <c r="F52" i="1"/>
  <c r="L52" i="1" s="1"/>
  <c r="F53" i="1"/>
  <c r="L53" i="1" s="1"/>
  <c r="F54" i="1"/>
  <c r="F55" i="1"/>
  <c r="L55" i="1" s="1"/>
  <c r="F56" i="1"/>
  <c r="L56" i="1" s="1"/>
  <c r="F57" i="1"/>
  <c r="L57" i="1" s="1"/>
  <c r="F58" i="1"/>
  <c r="L58" i="1" s="1"/>
  <c r="F59" i="1"/>
  <c r="L59" i="1" s="1"/>
  <c r="F60" i="1"/>
  <c r="L60" i="1" s="1"/>
  <c r="F43" i="1"/>
  <c r="L43" i="1" s="1"/>
  <c r="E44" i="1"/>
  <c r="K44" i="1" s="1"/>
  <c r="E45" i="1"/>
  <c r="K45" i="1" s="1"/>
  <c r="E46" i="1"/>
  <c r="K46" i="1" s="1"/>
  <c r="E47" i="1"/>
  <c r="K47" i="1" s="1"/>
  <c r="E49" i="1"/>
  <c r="K49" i="1" s="1"/>
  <c r="E50" i="1"/>
  <c r="K50" i="1" s="1"/>
  <c r="E51" i="1"/>
  <c r="K51" i="1" s="1"/>
  <c r="E52" i="1"/>
  <c r="K52" i="1" s="1"/>
  <c r="E53" i="1"/>
  <c r="K53" i="1" s="1"/>
  <c r="E54" i="1"/>
  <c r="K54" i="1" s="1"/>
  <c r="E55" i="1"/>
  <c r="K55" i="1" s="1"/>
  <c r="E56" i="1"/>
  <c r="K56" i="1" s="1"/>
  <c r="E57" i="1"/>
  <c r="K57" i="1" s="1"/>
  <c r="E58" i="1"/>
  <c r="K58" i="1" s="1"/>
  <c r="E59" i="1"/>
  <c r="K59" i="1" s="1"/>
  <c r="E60" i="1"/>
  <c r="K60" i="1" s="1"/>
  <c r="E43" i="1"/>
  <c r="K43" i="1" s="1"/>
  <c r="G43" i="1"/>
  <c r="M43" i="1" s="1"/>
  <c r="G49" i="1"/>
  <c r="M49" i="1" s="1"/>
  <c r="G50" i="1"/>
  <c r="M50" i="1" s="1"/>
  <c r="G51" i="1"/>
  <c r="M51" i="1" s="1"/>
  <c r="G52" i="1"/>
  <c r="M52" i="1" s="1"/>
  <c r="G53" i="1"/>
  <c r="M53" i="1" s="1"/>
  <c r="G54" i="1"/>
  <c r="M54" i="1" s="1"/>
  <c r="G55" i="1"/>
  <c r="M55" i="1" s="1"/>
  <c r="G56" i="1"/>
  <c r="M56" i="1" s="1"/>
  <c r="G57" i="1"/>
  <c r="M57" i="1" s="1"/>
  <c r="G58" i="1"/>
  <c r="M58" i="1" s="1"/>
  <c r="G59" i="1"/>
  <c r="M59" i="1" s="1"/>
  <c r="G60" i="1"/>
  <c r="M60" i="1" s="1"/>
  <c r="G44" i="1"/>
  <c r="M44" i="1" s="1"/>
  <c r="G45" i="1"/>
  <c r="M45" i="1" s="1"/>
  <c r="G46" i="1"/>
  <c r="M46" i="1" s="1"/>
  <c r="G47" i="1"/>
  <c r="M47" i="1" s="1"/>
  <c r="L54" i="1"/>
  <c r="E14" i="1"/>
  <c r="E15" i="1"/>
  <c r="E16" i="1"/>
  <c r="E17" i="1"/>
  <c r="E18" i="1"/>
  <c r="E19" i="1"/>
  <c r="E13" i="1"/>
  <c r="E9" i="1"/>
  <c r="E10" i="1"/>
  <c r="E11" i="1"/>
  <c r="E12" i="1"/>
  <c r="E8" i="1"/>
  <c r="E3" i="1"/>
  <c r="E4" i="1"/>
  <c r="E5" i="1"/>
  <c r="E6" i="1"/>
  <c r="E7" i="1"/>
  <c r="E2" i="1"/>
  <c r="H44" i="2" l="1"/>
  <c r="N44" i="2" s="1"/>
  <c r="H62" i="2"/>
  <c r="N62" i="2" s="1"/>
  <c r="H104" i="2"/>
  <c r="N104" i="2" s="1"/>
  <c r="H63" i="2"/>
  <c r="N63" i="2" s="1"/>
  <c r="H75" i="2"/>
  <c r="N75" i="2" s="1"/>
  <c r="H42" i="2"/>
  <c r="N42" i="2" s="1"/>
  <c r="H56" i="2"/>
  <c r="N56" i="2" s="1"/>
  <c r="H52" i="2"/>
  <c r="N52" i="2" s="1"/>
  <c r="H48" i="2"/>
  <c r="N48" i="2" s="1"/>
  <c r="H43" i="2"/>
  <c r="N43" i="2" s="1"/>
  <c r="H82" i="2"/>
  <c r="N82" i="2" s="1"/>
  <c r="H78" i="2"/>
  <c r="N78" i="2" s="1"/>
  <c r="H99" i="2"/>
  <c r="N99" i="2" s="1"/>
  <c r="H95" i="2"/>
  <c r="N95" i="2" s="1"/>
  <c r="H91" i="2"/>
  <c r="N91" i="2" s="1"/>
  <c r="H61" i="2"/>
  <c r="N61" i="2" s="1"/>
  <c r="H69" i="2"/>
  <c r="N69" i="2" s="1"/>
  <c r="H65" i="2"/>
  <c r="N65" i="2" s="1"/>
  <c r="H74" i="2"/>
  <c r="N74" i="2" s="1"/>
  <c r="H111" i="2"/>
  <c r="N111" i="2" s="1"/>
  <c r="H107" i="2"/>
  <c r="N107" i="2" s="1"/>
  <c r="H103" i="2"/>
  <c r="N103" i="2" s="1"/>
  <c r="H53" i="2"/>
  <c r="N53" i="2" s="1"/>
  <c r="H59" i="2"/>
  <c r="N59" i="2" s="1"/>
  <c r="H55" i="2"/>
  <c r="N55" i="2" s="1"/>
  <c r="H51" i="2"/>
  <c r="N51" i="2" s="1"/>
  <c r="H46" i="2"/>
  <c r="N46" i="2" s="1"/>
  <c r="H85" i="2"/>
  <c r="N85" i="2" s="1"/>
  <c r="H81" i="2"/>
  <c r="N81" i="2" s="1"/>
  <c r="H77" i="2"/>
  <c r="N77" i="2" s="1"/>
  <c r="H98" i="2"/>
  <c r="N98" i="2" s="1"/>
  <c r="H94" i="2"/>
  <c r="N94" i="2" s="1"/>
  <c r="H90" i="2"/>
  <c r="N90" i="2" s="1"/>
  <c r="H72" i="2"/>
  <c r="N72" i="2" s="1"/>
  <c r="H68" i="2"/>
  <c r="N68" i="2" s="1"/>
  <c r="H64" i="2"/>
  <c r="N64" i="2" s="1"/>
  <c r="H89" i="2"/>
  <c r="N89" i="2" s="1"/>
  <c r="H110" i="2"/>
  <c r="N110" i="2" s="1"/>
  <c r="H106" i="2"/>
  <c r="N106" i="2" s="1"/>
  <c r="H102" i="2"/>
  <c r="N102" i="2" s="1"/>
  <c r="H49" i="2"/>
  <c r="N49" i="2" s="1"/>
  <c r="H58" i="2"/>
  <c r="N58" i="2" s="1"/>
  <c r="H54" i="2"/>
  <c r="N54" i="2" s="1"/>
  <c r="H50" i="2"/>
  <c r="N50" i="2" s="1"/>
  <c r="H45" i="2"/>
  <c r="N45" i="2" s="1"/>
  <c r="H84" i="2"/>
  <c r="N84" i="2" s="1"/>
  <c r="H80" i="2"/>
  <c r="N80" i="2" s="1"/>
  <c r="H76" i="2"/>
  <c r="N76" i="2" s="1"/>
  <c r="H97" i="2"/>
  <c r="N97" i="2" s="1"/>
  <c r="H93" i="2"/>
  <c r="N93" i="2" s="1"/>
  <c r="H71" i="2"/>
  <c r="N71" i="2" s="1"/>
  <c r="H67" i="2"/>
  <c r="N67" i="2" s="1"/>
  <c r="H101" i="2"/>
  <c r="N101" i="2" s="1"/>
  <c r="H109" i="2"/>
  <c r="N109" i="2" s="1"/>
  <c r="H105" i="2"/>
  <c r="N105" i="2" s="1"/>
  <c r="H57" i="2"/>
  <c r="N57" i="2" s="1"/>
  <c r="H83" i="2"/>
  <c r="N83" i="2" s="1"/>
  <c r="H79" i="2"/>
  <c r="N79" i="2" s="1"/>
  <c r="H88" i="2"/>
  <c r="N88" i="2" s="1"/>
  <c r="H96" i="2"/>
  <c r="N96" i="2" s="1"/>
  <c r="H92" i="2"/>
  <c r="N92" i="2" s="1"/>
  <c r="H70" i="2"/>
  <c r="N70" i="2" s="1"/>
  <c r="H66" i="2"/>
  <c r="N66" i="2" s="1"/>
  <c r="H112" i="2"/>
  <c r="N112" i="2" s="1"/>
  <c r="H108" i="2"/>
  <c r="N108" i="2" s="1"/>
  <c r="H43" i="1"/>
  <c r="N43" i="1" s="1"/>
  <c r="H47" i="1"/>
  <c r="N47" i="1" s="1"/>
  <c r="H59" i="1"/>
  <c r="N59" i="1" s="1"/>
  <c r="H55" i="1"/>
  <c r="N55" i="1" s="1"/>
  <c r="H51" i="1"/>
  <c r="N51" i="1" s="1"/>
  <c r="H46" i="1"/>
  <c r="N46" i="1" s="1"/>
  <c r="H58" i="1"/>
  <c r="N58" i="1" s="1"/>
  <c r="H54" i="1"/>
  <c r="N54" i="1" s="1"/>
  <c r="H50" i="1"/>
  <c r="N50" i="1" s="1"/>
  <c r="H45" i="1"/>
  <c r="N45" i="1" s="1"/>
  <c r="H57" i="1"/>
  <c r="N57" i="1" s="1"/>
  <c r="H53" i="1"/>
  <c r="N53" i="1" s="1"/>
  <c r="H49" i="1"/>
  <c r="N49" i="1" s="1"/>
  <c r="H44" i="1"/>
  <c r="N44" i="1" s="1"/>
  <c r="H60" i="1"/>
  <c r="N60" i="1" s="1"/>
  <c r="H56" i="1"/>
  <c r="N56" i="1" s="1"/>
  <c r="H52" i="1"/>
  <c r="N52" i="1" s="1"/>
</calcChain>
</file>

<file path=xl/sharedStrings.xml><?xml version="1.0" encoding="utf-8"?>
<sst xmlns="http://schemas.openxmlformats.org/spreadsheetml/2006/main" count="3235" uniqueCount="296">
  <si>
    <t>Co 59
(cps)</t>
  </si>
  <si>
    <t>Ni 60
(cps)</t>
  </si>
  <si>
    <t>Date</t>
  </si>
  <si>
    <t>No_cal</t>
  </si>
  <si>
    <t>Std_conc (ppb)</t>
  </si>
  <si>
    <t>Co_59 (BLK corrected)</t>
  </si>
  <si>
    <t>7014562</t>
  </si>
  <si>
    <t>5018625</t>
  </si>
  <si>
    <t>6014755</t>
  </si>
  <si>
    <t>6016405</t>
  </si>
  <si>
    <t>Calb_ no "0" intercept</t>
  </si>
  <si>
    <t>Calb_ "0" intercept</t>
  </si>
  <si>
    <t>Ga_int</t>
  </si>
  <si>
    <t>Sample ID</t>
  </si>
  <si>
    <t>Raw int (cps)</t>
  </si>
  <si>
    <t>7017480</t>
  </si>
  <si>
    <t>7017979</t>
  </si>
  <si>
    <t>3010112</t>
  </si>
  <si>
    <t>3014819</t>
  </si>
  <si>
    <t>3019179</t>
  </si>
  <si>
    <t>5011752</t>
  </si>
  <si>
    <t>Blank 3</t>
  </si>
  <si>
    <t>Below lowest STD (0.01 ppb)</t>
  </si>
  <si>
    <t>6013040</t>
  </si>
  <si>
    <t>6022995</t>
  </si>
  <si>
    <t>8022461</t>
  </si>
  <si>
    <t>5021103</t>
  </si>
  <si>
    <t>6022863</t>
  </si>
  <si>
    <t>7016034</t>
  </si>
  <si>
    <t>Blank 7</t>
  </si>
  <si>
    <t>7013655</t>
  </si>
  <si>
    <t>7016050</t>
  </si>
  <si>
    <t>3015106</t>
  </si>
  <si>
    <t>3017494</t>
  </si>
  <si>
    <t>3014967</t>
  </si>
  <si>
    <t>3016170</t>
  </si>
  <si>
    <t>Blank 9</t>
  </si>
  <si>
    <t>3021530</t>
  </si>
  <si>
    <t>4010272</t>
  </si>
  <si>
    <t>5012473</t>
  </si>
  <si>
    <t>5019737</t>
  </si>
  <si>
    <t>5022428</t>
  </si>
  <si>
    <t>6012213</t>
  </si>
  <si>
    <t>Blank 11</t>
  </si>
  <si>
    <t>6017142</t>
  </si>
  <si>
    <t>6022103</t>
  </si>
  <si>
    <t>4016912</t>
  </si>
  <si>
    <t>4016955</t>
  </si>
  <si>
    <t>4022742</t>
  </si>
  <si>
    <t>3021041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</si>
  <si>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</si>
  <si>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</si>
  <si>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</si>
  <si>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</si>
  <si>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</si>
  <si>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</si>
  <si>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</si>
  <si>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</si>
  <si>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</si>
  <si>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</si>
  <si>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</si>
  <si>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</si>
  <si>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</si>
  <si>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</si>
  <si>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</si>
  <si>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</si>
  <si>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</si>
  <si>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</si>
  <si>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</si>
  <si>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</si>
  <si>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</si>
  <si>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</si>
  <si>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</si>
  <si>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</si>
  <si>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X Variable 1</t>
  </si>
  <si>
    <t xml:space="preserve">Conc_trend </t>
  </si>
  <si>
    <t>Dilution factor</t>
  </si>
  <si>
    <t>Concentration _calibration methods</t>
  </si>
  <si>
    <t>Calb_ P.Elmer</t>
  </si>
  <si>
    <t>Conc_Uncertainty _P.Elmer</t>
  </si>
  <si>
    <t>Ni_60 (BLK corrected)</t>
  </si>
  <si>
    <t>Raw intensity</t>
  </si>
  <si>
    <t>Dilutionfactor</t>
  </si>
  <si>
    <t>Below lowest STD (0.05 ppb)</t>
  </si>
  <si>
    <t>Zn 64
(cps)</t>
  </si>
  <si>
    <t>Zn_64 (BLK corrected)</t>
  </si>
  <si>
    <t>Blank 5</t>
  </si>
  <si>
    <t>More</t>
  </si>
  <si>
    <t>Cu65
(cps)</t>
  </si>
  <si>
    <t>Cu65 (BLK corrected)</t>
  </si>
  <si>
    <t>Co 59
(ug/L)</t>
  </si>
  <si>
    <t>Ni 60
(ug/L)</t>
  </si>
  <si>
    <t>Zn 66
(ug/L)</t>
  </si>
  <si>
    <t>Cu 65
(ug/L)</t>
  </si>
  <si>
    <t>Sr 88
(ug/L)</t>
  </si>
  <si>
    <t>Mo 98
(ug/L)</t>
  </si>
  <si>
    <t>Sb 121
(ug/L)</t>
  </si>
  <si>
    <t>Cs 133
(ug/L)</t>
  </si>
  <si>
    <t>Ba 138
(ug/L)</t>
  </si>
  <si>
    <t>W 184
(ug/L)</t>
  </si>
  <si>
    <t>Tl 205
(ug/L)</t>
  </si>
  <si>
    <t>Pb 208
(ug/L)</t>
  </si>
  <si>
    <t>U 238
(ug/L)</t>
  </si>
  <si>
    <t>Mn 55
(ug/L)</t>
  </si>
  <si>
    <t>Se 78
(ug/L)</t>
  </si>
  <si>
    <t>AsO 91
(ug/L)</t>
  </si>
  <si>
    <t>Cd 111
(ug/L)</t>
  </si>
  <si>
    <t>Cd-1 112
(ug/L)</t>
  </si>
  <si>
    <t>Cd-1 113
(ug/L)</t>
  </si>
  <si>
    <t>Cd 114
(ug/L)</t>
  </si>
  <si>
    <t>Std1</t>
  </si>
  <si>
    <t>Std2</t>
  </si>
  <si>
    <t>Std3</t>
  </si>
  <si>
    <t>Std4</t>
  </si>
  <si>
    <t>Std5</t>
  </si>
  <si>
    <t>Co</t>
  </si>
  <si>
    <t>ug/L</t>
  </si>
  <si>
    <t>Ni</t>
  </si>
  <si>
    <t>Zn</t>
  </si>
  <si>
    <t>Cu</t>
  </si>
  <si>
    <t>Sr</t>
  </si>
  <si>
    <t>Mo</t>
  </si>
  <si>
    <t>Sb</t>
  </si>
  <si>
    <t>Cs</t>
  </si>
  <si>
    <t>Ba</t>
  </si>
  <si>
    <t>W</t>
  </si>
  <si>
    <t>Tl</t>
  </si>
  <si>
    <t>Pb</t>
  </si>
  <si>
    <t>U</t>
  </si>
  <si>
    <t>Mn</t>
  </si>
  <si>
    <t>Se</t>
  </si>
  <si>
    <t>AsO</t>
  </si>
  <si>
    <t>Cd</t>
  </si>
  <si>
    <t>6015247</t>
  </si>
  <si>
    <t>8019959</t>
  </si>
  <si>
    <t>7018509</t>
  </si>
  <si>
    <t>8018030</t>
  </si>
  <si>
    <t>5022860</t>
  </si>
  <si>
    <t>3015327</t>
  </si>
  <si>
    <t>5012953</t>
  </si>
  <si>
    <t>5022622</t>
  </si>
  <si>
    <t>6012663</t>
  </si>
  <si>
    <t>7016344</t>
  </si>
  <si>
    <t>8016534</t>
  </si>
  <si>
    <t>4022297</t>
  </si>
  <si>
    <t>8011583</t>
  </si>
  <si>
    <t>3022439</t>
  </si>
  <si>
    <t>8010730</t>
  </si>
  <si>
    <t>4014103</t>
  </si>
  <si>
    <t>6015484</t>
  </si>
  <si>
    <t>7014783</t>
  </si>
  <si>
    <t>6015603</t>
  </si>
  <si>
    <t>3014800</t>
  </si>
  <si>
    <t>7010966</t>
  </si>
  <si>
    <t>3012743</t>
  </si>
  <si>
    <t>8011540</t>
  </si>
  <si>
    <t>8019240</t>
  </si>
  <si>
    <t>4013190</t>
  </si>
  <si>
    <t>5012333</t>
  </si>
  <si>
    <t>8018855</t>
  </si>
  <si>
    <t>4016084</t>
  </si>
  <si>
    <t>5011183</t>
  </si>
  <si>
    <t>5021782</t>
  </si>
  <si>
    <t>5019109</t>
  </si>
  <si>
    <t>6015450</t>
  </si>
  <si>
    <t>3019454</t>
  </si>
  <si>
    <t>3010465</t>
  </si>
  <si>
    <t>5010926</t>
  </si>
  <si>
    <t>7010788</t>
  </si>
  <si>
    <t>7042000</t>
  </si>
  <si>
    <t>8017425</t>
  </si>
  <si>
    <t>8022810</t>
  </si>
  <si>
    <t>6022170</t>
  </si>
  <si>
    <t>6018866</t>
  </si>
  <si>
    <t>6015166</t>
  </si>
  <si>
    <t>3010007</t>
  </si>
  <si>
    <t>3015912</t>
  </si>
  <si>
    <t>4021312</t>
  </si>
  <si>
    <t>5017041</t>
  </si>
  <si>
    <t>5016142</t>
  </si>
  <si>
    <t>5016940</t>
  </si>
  <si>
    <t>5018021</t>
  </si>
  <si>
    <t>6014410</t>
  </si>
  <si>
    <t>6010377</t>
  </si>
  <si>
    <t>8015473</t>
  </si>
  <si>
    <t>3011437</t>
  </si>
  <si>
    <t>3012395</t>
  </si>
  <si>
    <t>4015282</t>
  </si>
  <si>
    <t>4011724</t>
  </si>
  <si>
    <t>4013271</t>
  </si>
  <si>
    <t>6022359</t>
  </si>
  <si>
    <t>7014953</t>
  </si>
  <si>
    <t>7016182</t>
  </si>
  <si>
    <t>8016577</t>
  </si>
  <si>
    <t>8015058</t>
  </si>
  <si>
    <t>8010064</t>
  </si>
  <si>
    <t>8010226</t>
  </si>
  <si>
    <t>8016984</t>
  </si>
  <si>
    <t>3011828</t>
  </si>
  <si>
    <t>3010848</t>
  </si>
  <si>
    <t>3018350</t>
  </si>
  <si>
    <t>3013995</t>
  </si>
  <si>
    <t>3022056</t>
  </si>
  <si>
    <t>4018125</t>
  </si>
  <si>
    <t>3014908</t>
  </si>
  <si>
    <t>6013546</t>
  </si>
  <si>
    <t>7010320</t>
  </si>
  <si>
    <t>7014678</t>
  </si>
  <si>
    <t>8022879</t>
  </si>
  <si>
    <t>3018210</t>
  </si>
  <si>
    <t>5017696</t>
  </si>
  <si>
    <t>5019710</t>
  </si>
  <si>
    <t>6013988</t>
  </si>
  <si>
    <t>7017537</t>
  </si>
  <si>
    <t>8015490</t>
  </si>
  <si>
    <t>8022828</t>
  </si>
  <si>
    <t>Sr_STD</t>
  </si>
  <si>
    <t>Mo_STD</t>
  </si>
  <si>
    <t>Sb_STD</t>
  </si>
  <si>
    <t>Cs_STD</t>
  </si>
  <si>
    <t>Ba_STD</t>
  </si>
  <si>
    <t>W_STD</t>
  </si>
  <si>
    <t>Tl_STD</t>
  </si>
  <si>
    <t>Pb_STD</t>
  </si>
  <si>
    <t>U_STD</t>
  </si>
  <si>
    <t>Mn_STD</t>
  </si>
  <si>
    <t>Se_STD</t>
  </si>
  <si>
    <t>AsO_STD</t>
  </si>
  <si>
    <t>Cd_STD</t>
  </si>
  <si>
    <t>Cd_1_STD</t>
  </si>
  <si>
    <t>Cd_2_STD</t>
  </si>
  <si>
    <t>No_sample</t>
  </si>
  <si>
    <t>LOD</t>
  </si>
  <si>
    <t>Sr87 (BLK corrected)</t>
  </si>
  <si>
    <t>Sr87
(cps)</t>
  </si>
  <si>
    <t>Mo
(cps)</t>
  </si>
  <si>
    <t>Mo (BLK corrected)</t>
  </si>
  <si>
    <t>Cs
(cps)</t>
  </si>
  <si>
    <t>Cs (BLK corrected)</t>
  </si>
  <si>
    <t>Sb
(cps)</t>
  </si>
  <si>
    <t>Sb (BLK corrected)</t>
  </si>
  <si>
    <t>W
(cps)</t>
  </si>
  <si>
    <t>Ba
(cps)</t>
  </si>
  <si>
    <t>Ba (BLK corrected)</t>
  </si>
  <si>
    <t>W (BLK corrected)</t>
  </si>
  <si>
    <t>Tl
(cps)</t>
  </si>
  <si>
    <t>Tl (BLK corrected)</t>
  </si>
  <si>
    <t>Pb
(cps)</t>
  </si>
  <si>
    <t>Pb (BLK corrected)</t>
  </si>
  <si>
    <t>U
(cps)</t>
  </si>
  <si>
    <t>U (BLK corrected)</t>
  </si>
  <si>
    <t>Mn
(cps)</t>
  </si>
  <si>
    <t>Mn (BLK corrected)</t>
  </si>
  <si>
    <t>Se
(cps)</t>
  </si>
  <si>
    <t>Se (BLK corrected)</t>
  </si>
  <si>
    <t>AsO
(cps)</t>
  </si>
  <si>
    <t>AsO (BLK corrected)</t>
  </si>
  <si>
    <t>Cd
(cps)</t>
  </si>
  <si>
    <t>Cd (BLK corrected)</t>
  </si>
  <si>
    <t>Slope_Calibration</t>
  </si>
  <si>
    <t>Mean (µg/L)</t>
  </si>
  <si>
    <t>% total sample</t>
  </si>
  <si>
    <t>Mass</t>
  </si>
  <si>
    <t>Conc. unit</t>
  </si>
  <si>
    <t>Co_STD (µg/L)</t>
  </si>
  <si>
    <t>Ni_STD (µg/L)</t>
  </si>
  <si>
    <t>Zn_STD (µg/L)</t>
  </si>
  <si>
    <t>Cu_STD  (µg/L)</t>
  </si>
  <si>
    <t>Element concentrations (unfactored)</t>
  </si>
  <si>
    <t>Freq</t>
  </si>
  <si>
    <t>SE</t>
  </si>
  <si>
    <t>SD</t>
  </si>
  <si>
    <t>LOD (µg/L)</t>
  </si>
  <si>
    <t>LOQ (µg/L)</t>
  </si>
  <si>
    <t>MEAN</t>
  </si>
  <si>
    <t>LOD Vesna (µg/L)</t>
  </si>
  <si>
    <t>Weighted</t>
  </si>
  <si>
    <t>Concentrations relative to P.Elmer instrument data</t>
  </si>
  <si>
    <t>Units</t>
  </si>
  <si>
    <t>ppb</t>
  </si>
  <si>
    <t>µg/L</t>
  </si>
  <si>
    <t>cps</t>
  </si>
  <si>
    <t>counts per second</t>
  </si>
  <si>
    <t xml:space="preserve">Analysis of sample run using standard-sample data files (raw data) from: </t>
  </si>
  <si>
    <r>
      <t>19</t>
    </r>
    <r>
      <rPr>
        <i/>
        <vertAlign val="superscript"/>
        <sz val="11"/>
        <color rgb="FF000000"/>
        <rFont val="Times New Roman"/>
        <family val="1"/>
      </rPr>
      <t>th</t>
    </r>
    <r>
      <rPr>
        <i/>
        <sz val="11"/>
        <color rgb="FF000000"/>
        <rFont val="Times New Roman"/>
        <family val="1"/>
      </rPr>
      <t xml:space="preserve"> Nov 2019</t>
    </r>
  </si>
  <si>
    <r>
      <t>08</t>
    </r>
    <r>
      <rPr>
        <i/>
        <vertAlign val="superscript"/>
        <sz val="11"/>
        <color rgb="FF000000"/>
        <rFont val="Times New Roman"/>
        <family val="1"/>
      </rPr>
      <t>th</t>
    </r>
    <r>
      <rPr>
        <i/>
        <sz val="11"/>
        <color rgb="FF000000"/>
        <rFont val="Times New Roman"/>
        <family val="1"/>
      </rPr>
      <t xml:space="preserve"> Jan 2020</t>
    </r>
  </si>
  <si>
    <r>
      <t>27</t>
    </r>
    <r>
      <rPr>
        <i/>
        <vertAlign val="superscript"/>
        <sz val="11"/>
        <color rgb="FF000000"/>
        <rFont val="Times New Roman"/>
        <family val="1"/>
      </rPr>
      <t>th</t>
    </r>
    <r>
      <rPr>
        <i/>
        <sz val="11"/>
        <color rgb="FF000000"/>
        <rFont val="Times New Roman"/>
        <family val="1"/>
      </rPr>
      <t xml:space="preserve"> Feb 2020</t>
    </r>
  </si>
  <si>
    <t>Note:</t>
  </si>
  <si>
    <t xml:space="preserve">Concentrations selected for the calibration leading to leverage or bias. High concentration STDs are the point of influence because the disproportionately affect the position of the regression line. </t>
  </si>
  <si>
    <t>Suggested Changes (Kathrin)</t>
  </si>
  <si>
    <t xml:space="preserve">1. Standards with at least seven different concentrations (including a blank) </t>
  </si>
  <si>
    <t xml:space="preserve">2. Standard concentrations cover the range of sample concentrations and are evenly spaced across the calibration range to avoid leverage/bias </t>
  </si>
  <si>
    <t xml:space="preserve">3. Lowest calibration standard should be approximately equal to estimated LOQ and the remaining standards cover the full range of sample concentrations </t>
  </si>
  <si>
    <t>= remove standards</t>
  </si>
  <si>
    <t>% tot. sample</t>
  </si>
  <si>
    <t>% tot sample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</si>
</sst>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"/>
    <numFmt numFmtId="165" formatCode="0.000"/>
    <numFmt numFmtId="166" formatCode="0.0000"/>
    <numFmt numFmtId="167" formatCode="0.0%"/>
    <numFmt numFmtId="168" formatCode="0.0E+0%"/>
    <numFmt numFmtId="169" formatCode="0E+00"/>
  </numFmts>
  <fonts count="54" x14ac:knownFonts="1"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2"/>
      <color indexed="64"/>
      <name val="Tahoma"/>
      <family val="2"/>
    </font>
    <font>
      <b/>
      <sz val="12"/>
      <color theme="1"/>
      <name val="Tahoma"/>
      <family val="2"/>
    </font>
    <font>
      <sz val="12"/>
      <color indexed="64"/>
      <name val="Calibri"/>
      <family val="2"/>
    </font>
    <font>
      <sz val="12"/>
      <color theme="1"/>
      <name val="Calibri"/>
      <family val="2"/>
    </font>
    <font>
      <sz val="12"/>
      <color rgb="FF551A8B"/>
      <name val="Tahoma"/>
      <family val="2"/>
    </font>
    <font>
      <sz val="12"/>
      <color rgb="FF0070C0"/>
      <name val="Tahoma"/>
      <family val="2"/>
    </font>
    <font>
      <i/>
      <sz val="12"/>
      <color indexed="64"/>
      <name val="Tahoma"/>
      <family val="2"/>
    </font>
    <font>
      <sz val="12"/>
      <color theme="1"/>
      <name val="Calibri (Body)"/>
    </font>
    <font>
      <i/>
      <sz val="12"/>
      <color theme="1"/>
      <name val="Calibri"/>
      <family val="2"/>
      <scheme val="minor"/>
    </font>
    <font>
      <sz val="12"/>
      <color rgb="FF00B0F0"/>
      <name val="Calibri"/>
      <family val="2"/>
      <scheme val="minor"/>
    </font>
    <font>
      <sz val="12"/>
      <color rgb="FF00B0F0"/>
      <name val="Tahoma"/>
      <family val="2"/>
    </font>
    <font>
      <sz val="12"/>
      <color rgb="FF0070C0"/>
      <name val="Calibri"/>
      <family val="2"/>
      <scheme val="minor"/>
    </font>
    <font>
      <sz val="12"/>
      <color rgb="FF000000"/>
      <name val="Tahoma"/>
      <family val="2"/>
    </font>
    <font>
      <i/>
      <sz val="12"/>
      <color rgb="FF000000"/>
      <name val="Tahoma"/>
      <family val="2"/>
    </font>
    <font>
      <sz val="12"/>
      <color theme="1"/>
      <name val="Tahoma"/>
      <family val="2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indexed="64"/>
      <name val="Tahoma"/>
      <family val="2"/>
    </font>
    <font>
      <sz val="9"/>
      <color theme="1"/>
      <name val="Calibri"/>
      <family val="2"/>
      <scheme val="minor"/>
    </font>
    <font>
      <sz val="9"/>
      <color rgb="FFFF0000"/>
      <name val="Tahoma"/>
      <family val="2"/>
    </font>
    <font>
      <sz val="9"/>
      <color rgb="FF000000"/>
      <name val="Tahoma"/>
      <family val="2"/>
    </font>
    <font>
      <b/>
      <sz val="10"/>
      <color theme="1"/>
      <name val="Calibri"/>
      <family val="2"/>
    </font>
    <font>
      <b/>
      <sz val="10"/>
      <color indexed="64"/>
      <name val="Calibri"/>
      <family val="2"/>
    </font>
    <font>
      <sz val="10"/>
      <color theme="1"/>
      <name val="Calibri"/>
      <family val="2"/>
    </font>
    <font>
      <sz val="10"/>
      <color indexed="64"/>
      <name val="Tahoma"/>
      <family val="2"/>
    </font>
    <font>
      <sz val="10"/>
      <color indexed="64"/>
      <name val="Calibri"/>
      <family val="2"/>
    </font>
    <font>
      <sz val="10"/>
      <color rgb="FFFF0000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rgb="FFFF0000"/>
      <name val="Calibri"/>
      <family val="2"/>
    </font>
    <font>
      <i/>
      <sz val="10"/>
      <color theme="1"/>
      <name val="Calibri"/>
      <family val="2"/>
    </font>
    <font>
      <i/>
      <sz val="10"/>
      <color rgb="FFFF0000"/>
      <name val="Calibri"/>
      <family val="2"/>
    </font>
    <font>
      <b/>
      <sz val="10"/>
      <color rgb="FFFF0000"/>
      <name val="Calibri"/>
      <family val="2"/>
    </font>
    <font>
      <sz val="10"/>
      <color rgb="FF000000"/>
      <name val="Calibri"/>
      <family val="2"/>
      <scheme val="minor"/>
    </font>
    <font>
      <sz val="10"/>
      <color rgb="FF000000"/>
      <name val="Tahoma"/>
      <family val="2"/>
    </font>
    <font>
      <b/>
      <sz val="10"/>
      <color rgb="FF000000"/>
      <name val="Calibri"/>
      <family val="2"/>
      <scheme val="minor"/>
    </font>
    <font>
      <b/>
      <sz val="10"/>
      <name val="Arial"/>
      <family val="2"/>
    </font>
    <font>
      <sz val="10"/>
      <color rgb="FF551A8B"/>
      <name val="Tahoma"/>
      <family val="2"/>
    </font>
    <font>
      <sz val="10"/>
      <color rgb="FF0070C0"/>
      <name val="Tahoma"/>
      <family val="2"/>
    </font>
    <font>
      <i/>
      <sz val="10"/>
      <color indexed="64"/>
      <name val="Tahoma"/>
      <family val="2"/>
    </font>
    <font>
      <sz val="10"/>
      <color theme="1"/>
      <name val="Calibri (Body)"/>
    </font>
    <font>
      <sz val="11"/>
      <color theme="1"/>
      <name val="Times New Roman"/>
      <family val="1"/>
    </font>
    <font>
      <i/>
      <sz val="11"/>
      <color rgb="FF000000"/>
      <name val="Times New Roman"/>
      <family val="1"/>
    </font>
    <font>
      <i/>
      <vertAlign val="superscript"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u/>
      <sz val="11"/>
      <color rgb="FFFF0000"/>
      <name val="Times New Roman"/>
      <family val="1"/>
    </font>
    <font>
      <sz val="11"/>
      <color rgb="FFFF0000"/>
      <name val="Times New Roman"/>
      <family val="1"/>
    </font>
    <font>
      <sz val="4"/>
      <color rgb="FFFF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0.39997558519241921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7">
    <xf numFmtId="0" fontId="0" fillId="0" borderId="0" xfId="0"/>
    <xf numFmtId="0" fontId="0" fillId="0" borderId="0" xfId="0" applyFill="1"/>
    <xf numFmtId="0" fontId="0" fillId="0" borderId="0" xfId="0" applyFont="1" applyFill="1" applyBorder="1"/>
    <xf numFmtId="1" fontId="4" fillId="0" borderId="0" xfId="0" applyNumberFormat="1" applyFont="1" applyFill="1" applyBorder="1" applyAlignment="1">
      <alignment horizontal="left" vertical="center"/>
    </xf>
    <xf numFmtId="164" fontId="4" fillId="0" borderId="0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Font="1" applyFill="1" applyBorder="1" applyAlignment="1">
      <alignment horizontal="center"/>
    </xf>
    <xf numFmtId="1" fontId="4" fillId="0" borderId="0" xfId="0" applyNumberFormat="1" applyFont="1" applyFill="1" applyBorder="1" applyAlignment="1">
      <alignment horizontal="center" vertical="center"/>
    </xf>
    <xf numFmtId="14" fontId="0" fillId="0" borderId="0" xfId="0" applyNumberFormat="1" applyFont="1" applyFill="1" applyBorder="1" applyAlignment="1">
      <alignment horizontal="center"/>
    </xf>
    <xf numFmtId="165" fontId="4" fillId="0" borderId="0" xfId="0" applyNumberFormat="1" applyFont="1" applyFill="1" applyBorder="1" applyAlignment="1">
      <alignment horizontal="left" vertical="center"/>
    </xf>
    <xf numFmtId="1" fontId="6" fillId="0" borderId="0" xfId="0" applyNumberFormat="1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/>
    </xf>
    <xf numFmtId="165" fontId="0" fillId="0" borderId="0" xfId="0" applyNumberFormat="1" applyAlignment="1">
      <alignment horizontal="center"/>
    </xf>
    <xf numFmtId="0" fontId="0" fillId="0" borderId="0" xfId="0" applyBorder="1"/>
    <xf numFmtId="0" fontId="4" fillId="0" borderId="0" xfId="0" applyFont="1" applyFill="1" applyBorder="1" applyAlignment="1">
      <alignment horizontal="left" vertical="center" wrapText="1"/>
    </xf>
    <xf numFmtId="167" fontId="8" fillId="0" borderId="0" xfId="0" applyNumberFormat="1" applyFont="1" applyFill="1" applyBorder="1" applyAlignment="1">
      <alignment horizontal="left" vertical="center"/>
    </xf>
    <xf numFmtId="165" fontId="0" fillId="0" borderId="0" xfId="0" applyNumberFormat="1" applyFont="1" applyFill="1" applyBorder="1" applyAlignment="1">
      <alignment horizontal="center"/>
    </xf>
    <xf numFmtId="2" fontId="0" fillId="0" borderId="0" xfId="0" applyNumberFormat="1" applyAlignment="1">
      <alignment horizontal="center"/>
    </xf>
    <xf numFmtId="0" fontId="10" fillId="0" borderId="0" xfId="0" applyFont="1" applyFill="1" applyBorder="1" applyAlignment="1">
      <alignment horizontal="left" vertical="center" wrapText="1"/>
    </xf>
    <xf numFmtId="1" fontId="4" fillId="2" borderId="0" xfId="0" applyNumberFormat="1" applyFont="1" applyFill="1" applyBorder="1" applyAlignment="1">
      <alignment horizontal="left" vertical="center"/>
    </xf>
    <xf numFmtId="0" fontId="11" fillId="2" borderId="0" xfId="0" applyFont="1" applyFill="1"/>
    <xf numFmtId="0" fontId="0" fillId="2" borderId="0" xfId="0" applyFill="1"/>
    <xf numFmtId="164" fontId="0" fillId="0" borderId="0" xfId="0" applyNumberFormat="1" applyFont="1" applyFill="1" applyBorder="1" applyAlignment="1">
      <alignment horizontal="center"/>
    </xf>
    <xf numFmtId="1" fontId="0" fillId="0" borderId="0" xfId="0" applyNumberFormat="1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 vertical="center" wrapText="1"/>
    </xf>
    <xf numFmtId="167" fontId="8" fillId="0" borderId="0" xfId="0" applyNumberFormat="1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 wrapText="1"/>
    </xf>
    <xf numFmtId="1" fontId="10" fillId="0" borderId="0" xfId="0" applyNumberFormat="1" applyFont="1" applyFill="1" applyBorder="1" applyAlignment="1">
      <alignment horizontal="center" vertical="center"/>
    </xf>
    <xf numFmtId="165" fontId="0" fillId="0" borderId="0" xfId="0" applyNumberFormat="1" applyFill="1" applyAlignment="1">
      <alignment horizontal="center"/>
    </xf>
    <xf numFmtId="1" fontId="0" fillId="0" borderId="0" xfId="0" applyNumberFormat="1" applyFill="1" applyAlignment="1">
      <alignment horizontal="center"/>
    </xf>
    <xf numFmtId="168" fontId="8" fillId="0" borderId="0" xfId="0" applyNumberFormat="1" applyFont="1" applyFill="1" applyBorder="1" applyAlignment="1">
      <alignment horizontal="center" vertical="center"/>
    </xf>
    <xf numFmtId="0" fontId="0" fillId="0" borderId="0" xfId="0" applyFill="1" applyBorder="1" applyAlignment="1"/>
    <xf numFmtId="0" fontId="0" fillId="0" borderId="3" xfId="0" applyFill="1" applyBorder="1" applyAlignment="1"/>
    <xf numFmtId="165" fontId="0" fillId="0" borderId="5" xfId="0" applyNumberFormat="1" applyBorder="1" applyAlignment="1">
      <alignment horizontal="center"/>
    </xf>
    <xf numFmtId="0" fontId="13" fillId="0" borderId="0" xfId="0" applyFont="1" applyFill="1" applyBorder="1"/>
    <xf numFmtId="165" fontId="14" fillId="0" borderId="0" xfId="0" applyNumberFormat="1" applyFont="1" applyFill="1" applyBorder="1" applyAlignment="1">
      <alignment horizontal="left" vertical="center"/>
    </xf>
    <xf numFmtId="0" fontId="15" fillId="0" borderId="0" xfId="0" applyFont="1" applyFill="1" applyBorder="1"/>
    <xf numFmtId="2" fontId="9" fillId="0" borderId="0" xfId="0" applyNumberFormat="1" applyFont="1" applyFill="1" applyBorder="1" applyAlignment="1">
      <alignment horizontal="center" vertical="center"/>
    </xf>
    <xf numFmtId="2" fontId="15" fillId="0" borderId="0" xfId="0" applyNumberFormat="1" applyFont="1" applyFill="1" applyBorder="1" applyAlignment="1">
      <alignment horizontal="center"/>
    </xf>
    <xf numFmtId="1" fontId="17" fillId="0" borderId="0" xfId="0" applyNumberFormat="1" applyFont="1" applyFill="1" applyBorder="1" applyAlignment="1">
      <alignment horizontal="center" vertical="center"/>
    </xf>
    <xf numFmtId="164" fontId="9" fillId="0" borderId="0" xfId="0" applyNumberFormat="1" applyFont="1" applyFill="1" applyBorder="1" applyAlignment="1">
      <alignment horizontal="center" vertical="center"/>
    </xf>
    <xf numFmtId="164" fontId="15" fillId="0" borderId="0" xfId="0" applyNumberFormat="1" applyFont="1" applyFill="1" applyBorder="1" applyAlignment="1">
      <alignment horizontal="center"/>
    </xf>
    <xf numFmtId="164" fontId="0" fillId="0" borderId="5" xfId="0" applyNumberFormat="1" applyBorder="1" applyAlignment="1">
      <alignment horizontal="center"/>
    </xf>
    <xf numFmtId="167" fontId="16" fillId="0" borderId="0" xfId="0" applyNumberFormat="1" applyFont="1" applyFill="1" applyBorder="1" applyAlignment="1">
      <alignment horizontal="center" vertical="center"/>
    </xf>
    <xf numFmtId="164" fontId="10" fillId="0" borderId="0" xfId="0" applyNumberFormat="1" applyFont="1" applyFill="1" applyBorder="1" applyAlignment="1">
      <alignment horizontal="center" vertical="center"/>
    </xf>
    <xf numFmtId="165" fontId="0" fillId="0" borderId="0" xfId="0" applyNumberFormat="1" applyFill="1" applyBorder="1" applyAlignment="1"/>
    <xf numFmtId="0" fontId="5" fillId="0" borderId="0" xfId="0" applyFont="1" applyFill="1" applyBorder="1" applyAlignment="1">
      <alignment horizontal="center" vertical="center" wrapText="1"/>
    </xf>
    <xf numFmtId="0" fontId="16" fillId="0" borderId="0" xfId="0" applyFont="1" applyFill="1" applyBorder="1" applyAlignment="1">
      <alignment horizontal="left" vertical="center" wrapText="1"/>
    </xf>
    <xf numFmtId="0" fontId="1" fillId="0" borderId="0" xfId="0" applyFont="1"/>
    <xf numFmtId="166" fontId="1" fillId="0" borderId="0" xfId="0" applyNumberFormat="1" applyFont="1"/>
    <xf numFmtId="1" fontId="18" fillId="0" borderId="0" xfId="0" applyNumberFormat="1" applyFont="1" applyFill="1" applyBorder="1" applyAlignment="1">
      <alignment horizontal="center" vertical="center"/>
    </xf>
    <xf numFmtId="0" fontId="19" fillId="0" borderId="0" xfId="0" applyFont="1"/>
    <xf numFmtId="1" fontId="19" fillId="0" borderId="0" xfId="0" applyNumberFormat="1" applyFont="1" applyAlignment="1">
      <alignment horizontal="center" vertical="center" wrapText="1"/>
    </xf>
    <xf numFmtId="1" fontId="19" fillId="0" borderId="2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164" fontId="18" fillId="0" borderId="0" xfId="0" applyNumberFormat="1" applyFont="1" applyFill="1" applyBorder="1" applyAlignment="1">
      <alignment horizontal="left" vertical="center"/>
    </xf>
    <xf numFmtId="164" fontId="0" fillId="0" borderId="0" xfId="0" applyNumberFormat="1"/>
    <xf numFmtId="164" fontId="0" fillId="0" borderId="0" xfId="0" applyNumberFormat="1" applyFont="1" applyFill="1" applyBorder="1"/>
    <xf numFmtId="14" fontId="20" fillId="0" borderId="0" xfId="0" applyNumberFormat="1" applyFont="1" applyAlignment="1">
      <alignment horizontal="center"/>
    </xf>
    <xf numFmtId="1" fontId="16" fillId="0" borderId="0" xfId="0" applyNumberFormat="1" applyFont="1" applyAlignment="1">
      <alignment horizontal="center" vertical="center"/>
    </xf>
    <xf numFmtId="0" fontId="2" fillId="0" borderId="0" xfId="0" applyFont="1" applyFill="1" applyBorder="1"/>
    <xf numFmtId="165" fontId="2" fillId="0" borderId="0" xfId="0" applyNumberFormat="1" applyFont="1" applyFill="1" applyBorder="1" applyAlignment="1">
      <alignment horizontal="center"/>
    </xf>
    <xf numFmtId="0" fontId="15" fillId="0" borderId="0" xfId="0" applyFont="1"/>
    <xf numFmtId="0" fontId="2" fillId="0" borderId="0" xfId="0" applyFont="1" applyAlignment="1">
      <alignment horizontal="center"/>
    </xf>
    <xf numFmtId="0" fontId="12" fillId="0" borderId="0" xfId="0" applyFont="1" applyFill="1" applyBorder="1" applyAlignment="1">
      <alignment horizontal="center"/>
    </xf>
    <xf numFmtId="2" fontId="0" fillId="0" borderId="0" xfId="0" applyNumberFormat="1" applyFont="1" applyFill="1" applyBorder="1"/>
    <xf numFmtId="2" fontId="0" fillId="0" borderId="0" xfId="0" applyNumberFormat="1" applyFont="1" applyFill="1" applyBorder="1" applyAlignment="1">
      <alignment horizontal="center"/>
    </xf>
    <xf numFmtId="0" fontId="0" fillId="0" borderId="1" xfId="0" applyFill="1" applyBorder="1" applyAlignment="1"/>
    <xf numFmtId="0" fontId="0" fillId="0" borderId="5" xfId="0" applyFill="1" applyBorder="1" applyAlignment="1"/>
    <xf numFmtId="2" fontId="0" fillId="0" borderId="5" xfId="0" applyNumberFormat="1" applyFill="1" applyBorder="1" applyAlignment="1"/>
    <xf numFmtId="2" fontId="0" fillId="0" borderId="6" xfId="0" applyNumberFormat="1" applyFill="1" applyBorder="1" applyAlignment="1"/>
    <xf numFmtId="0" fontId="0" fillId="0" borderId="6" xfId="0" applyFill="1" applyBorder="1" applyAlignment="1"/>
    <xf numFmtId="165" fontId="0" fillId="0" borderId="11" xfId="0" applyNumberFormat="1" applyFill="1" applyBorder="1" applyAlignment="1"/>
    <xf numFmtId="0" fontId="0" fillId="0" borderId="12" xfId="0" applyFill="1" applyBorder="1" applyAlignment="1"/>
    <xf numFmtId="2" fontId="0" fillId="0" borderId="5" xfId="0" applyNumberFormat="1" applyFill="1" applyBorder="1" applyAlignment="1">
      <alignment horizontal="center"/>
    </xf>
    <xf numFmtId="0" fontId="1" fillId="0" borderId="0" xfId="0" applyFont="1" applyFill="1" applyBorder="1" applyAlignment="1"/>
    <xf numFmtId="2" fontId="1" fillId="0" borderId="5" xfId="0" applyNumberFormat="1" applyFont="1" applyFill="1" applyBorder="1" applyAlignment="1"/>
    <xf numFmtId="165" fontId="1" fillId="0" borderId="0" xfId="0" applyNumberFormat="1" applyFont="1" applyFill="1" applyBorder="1" applyAlignment="1"/>
    <xf numFmtId="165" fontId="1" fillId="0" borderId="0" xfId="0" applyNumberFormat="1" applyFont="1" applyFill="1" applyBorder="1" applyAlignment="1">
      <alignment horizontal="right"/>
    </xf>
    <xf numFmtId="164" fontId="0" fillId="0" borderId="6" xfId="0" applyNumberFormat="1" applyFill="1" applyBorder="1" applyAlignment="1">
      <alignment horizontal="center"/>
    </xf>
    <xf numFmtId="2" fontId="0" fillId="0" borderId="6" xfId="0" applyNumberFormat="1" applyFill="1" applyBorder="1" applyAlignment="1">
      <alignment horizontal="center"/>
    </xf>
    <xf numFmtId="0" fontId="0" fillId="0" borderId="0" xfId="0" applyFont="1" applyFill="1" applyBorder="1" applyAlignment="1"/>
    <xf numFmtId="0" fontId="12" fillId="0" borderId="14" xfId="0" applyFont="1" applyFill="1" applyBorder="1" applyAlignment="1">
      <alignment horizontal="center" wrapText="1"/>
    </xf>
    <xf numFmtId="165" fontId="1" fillId="0" borderId="11" xfId="0" applyNumberFormat="1" applyFont="1" applyFill="1" applyBorder="1" applyAlignment="1"/>
    <xf numFmtId="164" fontId="1" fillId="0" borderId="5" xfId="0" applyNumberFormat="1" applyFont="1" applyFill="1" applyBorder="1" applyAlignment="1">
      <alignment horizontal="center"/>
    </xf>
    <xf numFmtId="165" fontId="0" fillId="0" borderId="11" xfId="0" applyNumberFormat="1" applyFont="1" applyFill="1" applyBorder="1" applyAlignment="1"/>
    <xf numFmtId="164" fontId="0" fillId="0" borderId="5" xfId="0" applyNumberFormat="1" applyFont="1" applyFill="1" applyBorder="1" applyAlignment="1">
      <alignment horizontal="center"/>
    </xf>
    <xf numFmtId="164" fontId="0" fillId="0" borderId="5" xfId="0" applyNumberFormat="1" applyFill="1" applyBorder="1" applyAlignment="1">
      <alignment horizontal="center"/>
    </xf>
    <xf numFmtId="2" fontId="1" fillId="0" borderId="5" xfId="0" applyNumberFormat="1" applyFont="1" applyFill="1" applyBorder="1" applyAlignment="1">
      <alignment horizontal="center"/>
    </xf>
    <xf numFmtId="0" fontId="1" fillId="0" borderId="12" xfId="0" applyFont="1" applyFill="1" applyBorder="1" applyAlignment="1"/>
    <xf numFmtId="0" fontId="1" fillId="0" borderId="1" xfId="0" applyFont="1" applyFill="1" applyBorder="1" applyAlignment="1"/>
    <xf numFmtId="2" fontId="1" fillId="0" borderId="6" xfId="0" applyNumberFormat="1" applyFont="1" applyFill="1" applyBorder="1" applyAlignment="1">
      <alignment horizontal="center"/>
    </xf>
    <xf numFmtId="0" fontId="1" fillId="0" borderId="5" xfId="0" applyFont="1" applyFill="1" applyBorder="1" applyAlignment="1"/>
    <xf numFmtId="2" fontId="1" fillId="0" borderId="6" xfId="0" applyNumberFormat="1" applyFont="1" applyFill="1" applyBorder="1" applyAlignment="1"/>
    <xf numFmtId="0" fontId="21" fillId="0" borderId="0" xfId="0" applyFont="1" applyFill="1" applyBorder="1"/>
    <xf numFmtId="0" fontId="22" fillId="0" borderId="0" xfId="0" applyFont="1" applyFill="1" applyBorder="1"/>
    <xf numFmtId="0" fontId="23" fillId="0" borderId="0" xfId="0" applyFont="1" applyFill="1" applyBorder="1" applyAlignment="1">
      <alignment horizontal="left" vertical="center" wrapText="1"/>
    </xf>
    <xf numFmtId="165" fontId="23" fillId="0" borderId="0" xfId="0" applyNumberFormat="1" applyFont="1" applyFill="1" applyBorder="1" applyAlignment="1">
      <alignment horizontal="left" vertical="center"/>
    </xf>
    <xf numFmtId="0" fontId="24" fillId="0" borderId="0" xfId="0" applyFont="1" applyFill="1" applyBorder="1"/>
    <xf numFmtId="0" fontId="25" fillId="0" borderId="0" xfId="0" applyFont="1" applyFill="1" applyBorder="1" applyAlignment="1">
      <alignment horizontal="left" vertical="center" wrapText="1"/>
    </xf>
    <xf numFmtId="165" fontId="25" fillId="0" borderId="0" xfId="0" applyNumberFormat="1" applyFont="1" applyFill="1" applyBorder="1" applyAlignment="1">
      <alignment horizontal="left" vertical="center"/>
    </xf>
    <xf numFmtId="165" fontId="26" fillId="0" borderId="0" xfId="0" applyNumberFormat="1" applyFont="1" applyFill="1" applyBorder="1" applyAlignment="1">
      <alignment horizontal="left" vertical="center"/>
    </xf>
    <xf numFmtId="0" fontId="26" fillId="0" borderId="0" xfId="0" applyFont="1" applyFill="1" applyBorder="1" applyAlignment="1">
      <alignment horizontal="left" vertical="center" wrapText="1"/>
    </xf>
    <xf numFmtId="0" fontId="27" fillId="0" borderId="0" xfId="0" applyFont="1" applyFill="1" applyBorder="1" applyAlignment="1">
      <alignment horizontal="center" vertical="center" wrapText="1"/>
    </xf>
    <xf numFmtId="0" fontId="28" fillId="0" borderId="0" xfId="0" applyFont="1" applyFill="1" applyBorder="1" applyAlignment="1">
      <alignment horizontal="left" vertical="center" wrapText="1"/>
    </xf>
    <xf numFmtId="1" fontId="28" fillId="0" borderId="0" xfId="0" applyNumberFormat="1" applyFont="1" applyFill="1" applyBorder="1" applyAlignment="1">
      <alignment horizontal="left" vertical="center"/>
    </xf>
    <xf numFmtId="0" fontId="29" fillId="0" borderId="0" xfId="0" applyFont="1" applyFill="1" applyBorder="1"/>
    <xf numFmtId="1" fontId="27" fillId="0" borderId="0" xfId="0" applyNumberFormat="1" applyFont="1" applyFill="1" applyBorder="1" applyAlignment="1">
      <alignment horizontal="center" vertical="center" wrapText="1"/>
    </xf>
    <xf numFmtId="1" fontId="27" fillId="0" borderId="2" xfId="0" applyNumberFormat="1" applyFont="1" applyFill="1" applyBorder="1" applyAlignment="1">
      <alignment horizontal="center" vertical="center" wrapText="1"/>
    </xf>
    <xf numFmtId="14" fontId="22" fillId="0" borderId="0" xfId="0" applyNumberFormat="1" applyFont="1" applyFill="1" applyBorder="1" applyAlignment="1">
      <alignment horizontal="center"/>
    </xf>
    <xf numFmtId="1" fontId="30" fillId="0" borderId="0" xfId="0" applyNumberFormat="1" applyFont="1" applyFill="1" applyBorder="1" applyAlignment="1">
      <alignment horizontal="center" vertical="center"/>
    </xf>
    <xf numFmtId="1" fontId="31" fillId="0" borderId="0" xfId="0" applyNumberFormat="1" applyFont="1" applyFill="1" applyBorder="1" applyAlignment="1">
      <alignment horizontal="center" vertical="center"/>
    </xf>
    <xf numFmtId="0" fontId="29" fillId="0" borderId="0" xfId="0" applyFont="1" applyFill="1" applyBorder="1" applyAlignment="1">
      <alignment horizontal="center"/>
    </xf>
    <xf numFmtId="2" fontId="31" fillId="0" borderId="0" xfId="0" applyNumberFormat="1" applyFont="1" applyFill="1" applyBorder="1" applyAlignment="1">
      <alignment horizontal="center" vertical="center"/>
    </xf>
    <xf numFmtId="164" fontId="31" fillId="0" borderId="0" xfId="0" applyNumberFormat="1" applyFont="1" applyFill="1" applyBorder="1" applyAlignment="1">
      <alignment horizontal="center" vertical="center"/>
    </xf>
    <xf numFmtId="0" fontId="22" fillId="0" borderId="0" xfId="0" applyFont="1" applyFill="1" applyBorder="1" applyAlignment="1">
      <alignment horizontal="center"/>
    </xf>
    <xf numFmtId="1" fontId="22" fillId="0" borderId="0" xfId="0" applyNumberFormat="1" applyFont="1" applyFill="1" applyBorder="1" applyAlignment="1">
      <alignment horizontal="center"/>
    </xf>
    <xf numFmtId="165" fontId="22" fillId="0" borderId="0" xfId="0" applyNumberFormat="1" applyFont="1" applyFill="1" applyAlignment="1">
      <alignment horizontal="center"/>
    </xf>
    <xf numFmtId="1" fontId="22" fillId="0" borderId="0" xfId="0" applyNumberFormat="1" applyFont="1" applyFill="1" applyAlignment="1">
      <alignment horizontal="center"/>
    </xf>
    <xf numFmtId="0" fontId="27" fillId="0" borderId="1" xfId="0" applyFont="1" applyFill="1" applyBorder="1" applyAlignment="1">
      <alignment horizontal="center" vertical="center" wrapText="1"/>
    </xf>
    <xf numFmtId="1" fontId="27" fillId="0" borderId="1" xfId="0" applyNumberFormat="1" applyFont="1" applyFill="1" applyBorder="1" applyAlignment="1">
      <alignment horizontal="center" vertical="center" wrapText="1"/>
    </xf>
    <xf numFmtId="1" fontId="27" fillId="0" borderId="15" xfId="0" applyNumberFormat="1" applyFont="1" applyFill="1" applyBorder="1" applyAlignment="1">
      <alignment horizontal="center" vertical="center" wrapText="1"/>
    </xf>
    <xf numFmtId="0" fontId="1" fillId="0" borderId="0" xfId="0" applyFont="1" applyBorder="1"/>
    <xf numFmtId="14" fontId="22" fillId="0" borderId="1" xfId="0" applyNumberFormat="1" applyFont="1" applyFill="1" applyBorder="1" applyAlignment="1">
      <alignment horizontal="center"/>
    </xf>
    <xf numFmtId="1" fontId="30" fillId="0" borderId="1" xfId="0" applyNumberFormat="1" applyFont="1" applyFill="1" applyBorder="1" applyAlignment="1">
      <alignment horizontal="center" vertical="center"/>
    </xf>
    <xf numFmtId="0" fontId="29" fillId="0" borderId="1" xfId="0" applyFont="1" applyFill="1" applyBorder="1" applyAlignment="1">
      <alignment horizontal="center"/>
    </xf>
    <xf numFmtId="1" fontId="22" fillId="0" borderId="1" xfId="0" applyNumberFormat="1" applyFont="1" applyFill="1" applyBorder="1" applyAlignment="1">
      <alignment horizontal="center"/>
    </xf>
    <xf numFmtId="0" fontId="12" fillId="0" borderId="1" xfId="0" applyFont="1" applyFill="1" applyBorder="1" applyAlignment="1">
      <alignment horizontal="center"/>
    </xf>
    <xf numFmtId="0" fontId="0" fillId="0" borderId="1" xfId="0" applyBorder="1"/>
    <xf numFmtId="1" fontId="31" fillId="0" borderId="1" xfId="0" applyNumberFormat="1" applyFont="1" applyFill="1" applyBorder="1" applyAlignment="1">
      <alignment horizontal="center" vertical="center"/>
    </xf>
    <xf numFmtId="0" fontId="0" fillId="0" borderId="12" xfId="0" applyBorder="1"/>
    <xf numFmtId="0" fontId="12" fillId="0" borderId="12" xfId="0" applyFont="1" applyFill="1" applyBorder="1" applyAlignment="1">
      <alignment horizontal="centerContinuous"/>
    </xf>
    <xf numFmtId="1" fontId="3" fillId="0" borderId="6" xfId="0" applyNumberFormat="1" applyFont="1" applyFill="1" applyBorder="1" applyAlignment="1">
      <alignment horizontal="center" vertical="center" wrapText="1"/>
    </xf>
    <xf numFmtId="0" fontId="22" fillId="0" borderId="0" xfId="0" applyFont="1" applyFill="1" applyBorder="1" applyAlignment="1"/>
    <xf numFmtId="2" fontId="22" fillId="0" borderId="0" xfId="0" applyNumberFormat="1" applyFont="1" applyFill="1" applyBorder="1" applyAlignment="1"/>
    <xf numFmtId="0" fontId="22" fillId="0" borderId="0" xfId="0" applyFont="1"/>
    <xf numFmtId="0" fontId="32" fillId="0" borderId="0" xfId="0" applyFont="1"/>
    <xf numFmtId="0" fontId="22" fillId="0" borderId="0" xfId="0" applyFont="1" applyBorder="1"/>
    <xf numFmtId="2" fontId="22" fillId="0" borderId="0" xfId="0" applyNumberFormat="1" applyFont="1" applyBorder="1"/>
    <xf numFmtId="2" fontId="22" fillId="0" borderId="0" xfId="0" applyNumberFormat="1" applyFont="1"/>
    <xf numFmtId="166" fontId="32" fillId="0" borderId="0" xfId="0" applyNumberFormat="1" applyFont="1"/>
    <xf numFmtId="0" fontId="22" fillId="0" borderId="1" xfId="0" applyFont="1" applyBorder="1"/>
    <xf numFmtId="2" fontId="22" fillId="0" borderId="1" xfId="0" applyNumberFormat="1" applyFont="1" applyBorder="1"/>
    <xf numFmtId="0" fontId="32" fillId="0" borderId="1" xfId="0" applyFont="1" applyBorder="1"/>
    <xf numFmtId="0" fontId="32" fillId="0" borderId="0" xfId="0" applyFont="1" applyBorder="1"/>
    <xf numFmtId="0" fontId="33" fillId="0" borderId="0" xfId="0" applyFont="1" applyFill="1" applyBorder="1" applyAlignment="1">
      <alignment horizontal="center"/>
    </xf>
    <xf numFmtId="0" fontId="33" fillId="0" borderId="1" xfId="0" applyFont="1" applyFill="1" applyBorder="1" applyAlignment="1">
      <alignment horizontal="center"/>
    </xf>
    <xf numFmtId="164" fontId="22" fillId="0" borderId="0" xfId="0" applyNumberFormat="1" applyFont="1" applyFill="1" applyBorder="1" applyAlignment="1"/>
    <xf numFmtId="0" fontId="22" fillId="0" borderId="1" xfId="0" applyFont="1" applyFill="1" applyBorder="1" applyAlignment="1"/>
    <xf numFmtId="0" fontId="29" fillId="0" borderId="0" xfId="0" applyFont="1" applyFill="1" applyBorder="1" applyAlignment="1"/>
    <xf numFmtId="0" fontId="22" fillId="0" borderId="0" xfId="0" applyFont="1" applyAlignment="1">
      <alignment horizontal="center"/>
    </xf>
    <xf numFmtId="0" fontId="22" fillId="0" borderId="0" xfId="0" applyFont="1" applyBorder="1" applyAlignment="1">
      <alignment horizontal="center"/>
    </xf>
    <xf numFmtId="0" fontId="22" fillId="0" borderId="1" xfId="0" applyFont="1" applyBorder="1" applyAlignment="1">
      <alignment horizontal="center"/>
    </xf>
    <xf numFmtId="0" fontId="32" fillId="0" borderId="1" xfId="0" applyFont="1" applyBorder="1" applyAlignment="1">
      <alignment horizontal="center"/>
    </xf>
    <xf numFmtId="0" fontId="32" fillId="0" borderId="0" xfId="0" applyFont="1" applyBorder="1" applyAlignment="1">
      <alignment horizontal="center"/>
    </xf>
    <xf numFmtId="166" fontId="32" fillId="0" borderId="1" xfId="0" applyNumberFormat="1" applyFont="1" applyBorder="1" applyAlignment="1">
      <alignment horizontal="center"/>
    </xf>
    <xf numFmtId="0" fontId="22" fillId="0" borderId="1" xfId="0" applyFont="1" applyFill="1" applyBorder="1" applyAlignment="1">
      <alignment horizontal="center"/>
    </xf>
    <xf numFmtId="14" fontId="29" fillId="0" borderId="0" xfId="0" applyNumberFormat="1" applyFont="1" applyFill="1" applyBorder="1" applyAlignment="1">
      <alignment horizontal="center"/>
    </xf>
    <xf numFmtId="1" fontId="29" fillId="0" borderId="0" xfId="0" applyNumberFormat="1" applyFont="1" applyFill="1" applyBorder="1" applyAlignment="1">
      <alignment horizontal="center"/>
    </xf>
    <xf numFmtId="1" fontId="29" fillId="0" borderId="0" xfId="0" applyNumberFormat="1" applyFont="1" applyFill="1" applyAlignment="1">
      <alignment horizontal="center"/>
    </xf>
    <xf numFmtId="0" fontId="29" fillId="0" borderId="11" xfId="0" applyFont="1" applyFill="1" applyBorder="1" applyAlignment="1">
      <alignment horizontal="center"/>
    </xf>
    <xf numFmtId="2" fontId="29" fillId="0" borderId="0" xfId="0" applyNumberFormat="1" applyFont="1" applyFill="1" applyBorder="1" applyAlignment="1">
      <alignment horizontal="center"/>
    </xf>
    <xf numFmtId="2" fontId="35" fillId="0" borderId="0" xfId="0" applyNumberFormat="1" applyFont="1" applyFill="1" applyBorder="1" applyAlignment="1">
      <alignment horizontal="center"/>
    </xf>
    <xf numFmtId="0" fontId="29" fillId="0" borderId="0" xfId="0" applyFont="1" applyAlignment="1">
      <alignment horizontal="center"/>
    </xf>
    <xf numFmtId="0" fontId="35" fillId="0" borderId="0" xfId="0" applyFont="1" applyAlignment="1">
      <alignment horizontal="center"/>
    </xf>
    <xf numFmtId="0" fontId="29" fillId="0" borderId="0" xfId="0" applyFont="1" applyBorder="1" applyAlignment="1">
      <alignment horizontal="center"/>
    </xf>
    <xf numFmtId="2" fontId="29" fillId="0" borderId="0" xfId="0" applyNumberFormat="1" applyFont="1" applyBorder="1" applyAlignment="1">
      <alignment horizontal="center"/>
    </xf>
    <xf numFmtId="2" fontId="29" fillId="0" borderId="0" xfId="0" applyNumberFormat="1" applyFont="1" applyAlignment="1">
      <alignment horizontal="center"/>
    </xf>
    <xf numFmtId="166" fontId="35" fillId="0" borderId="0" xfId="0" applyNumberFormat="1" applyFont="1" applyAlignment="1">
      <alignment horizontal="center"/>
    </xf>
    <xf numFmtId="14" fontId="29" fillId="0" borderId="1" xfId="0" applyNumberFormat="1" applyFont="1" applyFill="1" applyBorder="1" applyAlignment="1">
      <alignment horizontal="center"/>
    </xf>
    <xf numFmtId="1" fontId="29" fillId="0" borderId="1" xfId="0" applyNumberFormat="1" applyFont="1" applyFill="1" applyBorder="1" applyAlignment="1">
      <alignment horizontal="center"/>
    </xf>
    <xf numFmtId="0" fontId="29" fillId="0" borderId="12" xfId="0" applyFont="1" applyFill="1" applyBorder="1" applyAlignment="1">
      <alignment horizontal="center"/>
    </xf>
    <xf numFmtId="0" fontId="29" fillId="0" borderId="1" xfId="0" applyFont="1" applyBorder="1" applyAlignment="1">
      <alignment horizontal="center"/>
    </xf>
    <xf numFmtId="2" fontId="29" fillId="0" borderId="1" xfId="0" applyNumberFormat="1" applyFont="1" applyBorder="1" applyAlignment="1">
      <alignment horizontal="center"/>
    </xf>
    <xf numFmtId="0" fontId="35" fillId="0" borderId="1" xfId="0" applyFont="1" applyBorder="1" applyAlignment="1">
      <alignment horizontal="center"/>
    </xf>
    <xf numFmtId="0" fontId="36" fillId="0" borderId="12" xfId="0" applyFont="1" applyFill="1" applyBorder="1" applyAlignment="1">
      <alignment horizontal="center"/>
    </xf>
    <xf numFmtId="164" fontId="29" fillId="0" borderId="0" xfId="0" applyNumberFormat="1" applyFont="1" applyFill="1" applyBorder="1" applyAlignment="1">
      <alignment horizontal="center" vertical="center"/>
    </xf>
    <xf numFmtId="0" fontId="35" fillId="0" borderId="0" xfId="0" applyFont="1" applyBorder="1" applyAlignment="1">
      <alignment horizontal="center"/>
    </xf>
    <xf numFmtId="0" fontId="37" fillId="0" borderId="0" xfId="0" applyFont="1" applyFill="1" applyBorder="1" applyAlignment="1">
      <alignment horizontal="center"/>
    </xf>
    <xf numFmtId="0" fontId="36" fillId="0" borderId="0" xfId="0" applyFont="1" applyFill="1" applyBorder="1" applyAlignment="1">
      <alignment horizontal="center"/>
    </xf>
    <xf numFmtId="0" fontId="35" fillId="0" borderId="0" xfId="0" applyFont="1" applyFill="1" applyBorder="1" applyAlignment="1">
      <alignment horizontal="center"/>
    </xf>
    <xf numFmtId="164" fontId="29" fillId="0" borderId="1" xfId="0" applyNumberFormat="1" applyFont="1" applyFill="1" applyBorder="1" applyAlignment="1">
      <alignment horizontal="center" vertical="center"/>
    </xf>
    <xf numFmtId="0" fontId="35" fillId="0" borderId="1" xfId="0" applyFont="1" applyFill="1" applyBorder="1" applyAlignment="1">
      <alignment horizontal="center"/>
    </xf>
    <xf numFmtId="0" fontId="36" fillId="0" borderId="1" xfId="0" applyFont="1" applyFill="1" applyBorder="1" applyAlignment="1">
      <alignment horizontal="center"/>
    </xf>
    <xf numFmtId="164" fontId="29" fillId="0" borderId="0" xfId="0" applyNumberFormat="1" applyFont="1" applyFill="1" applyBorder="1" applyAlignment="1">
      <alignment horizontal="center"/>
    </xf>
    <xf numFmtId="166" fontId="35" fillId="0" borderId="1" xfId="0" applyNumberFormat="1" applyFont="1" applyBorder="1" applyAlignment="1">
      <alignment horizontal="center"/>
    </xf>
    <xf numFmtId="164" fontId="22" fillId="0" borderId="1" xfId="0" applyNumberFormat="1" applyFont="1" applyBorder="1"/>
    <xf numFmtId="0" fontId="36" fillId="0" borderId="12" xfId="0" applyFont="1" applyFill="1" applyBorder="1" applyAlignment="1">
      <alignment horizontal="centerContinuous"/>
    </xf>
    <xf numFmtId="0" fontId="36" fillId="0" borderId="6" xfId="0" applyFont="1" applyFill="1" applyBorder="1" applyAlignment="1">
      <alignment horizontal="centerContinuous"/>
    </xf>
    <xf numFmtId="0" fontId="29" fillId="0" borderId="0" xfId="0" applyFont="1"/>
    <xf numFmtId="0" fontId="29" fillId="0" borderId="11" xfId="0" applyFont="1" applyFill="1" applyBorder="1" applyAlignment="1"/>
    <xf numFmtId="2" fontId="29" fillId="0" borderId="0" xfId="0" applyNumberFormat="1" applyFont="1" applyFill="1" applyBorder="1" applyAlignment="1"/>
    <xf numFmtId="164" fontId="29" fillId="0" borderId="0" xfId="0" applyNumberFormat="1" applyFont="1" applyFill="1" applyBorder="1" applyAlignment="1"/>
    <xf numFmtId="0" fontId="35" fillId="0" borderId="0" xfId="0" applyFont="1" applyFill="1" applyBorder="1"/>
    <xf numFmtId="1" fontId="31" fillId="0" borderId="0" xfId="0" applyNumberFormat="1" applyFont="1" applyFill="1" applyBorder="1" applyAlignment="1">
      <alignment horizontal="left" vertical="center"/>
    </xf>
    <xf numFmtId="164" fontId="31" fillId="0" borderId="0" xfId="0" applyNumberFormat="1" applyFont="1" applyFill="1" applyBorder="1" applyAlignment="1">
      <alignment horizontal="left" vertical="center"/>
    </xf>
    <xf numFmtId="0" fontId="29" fillId="0" borderId="12" xfId="0" applyFont="1" applyFill="1" applyBorder="1" applyAlignment="1"/>
    <xf numFmtId="0" fontId="29" fillId="0" borderId="1" xfId="0" applyFont="1" applyBorder="1"/>
    <xf numFmtId="164" fontId="29" fillId="0" borderId="1" xfId="0" applyNumberFormat="1" applyFont="1" applyBorder="1"/>
    <xf numFmtId="0" fontId="35" fillId="0" borderId="1" xfId="0" applyFont="1" applyBorder="1"/>
    <xf numFmtId="0" fontId="35" fillId="0" borderId="0" xfId="0" applyFont="1" applyBorder="1"/>
    <xf numFmtId="0" fontId="29" fillId="0" borderId="0" xfId="0" applyFont="1" applyBorder="1"/>
    <xf numFmtId="0" fontId="35" fillId="0" borderId="0" xfId="0" applyFont="1"/>
    <xf numFmtId="0" fontId="38" fillId="0" borderId="1" xfId="0" applyFont="1" applyBorder="1" applyAlignment="1">
      <alignment horizontal="center"/>
    </xf>
    <xf numFmtId="2" fontId="38" fillId="0" borderId="1" xfId="0" applyNumberFormat="1" applyFont="1" applyBorder="1" applyAlignment="1">
      <alignment horizontal="center"/>
    </xf>
    <xf numFmtId="165" fontId="29" fillId="0" borderId="5" xfId="0" applyNumberFormat="1" applyFont="1" applyFill="1" applyBorder="1" applyAlignment="1">
      <alignment horizontal="center"/>
    </xf>
    <xf numFmtId="165" fontId="29" fillId="0" borderId="6" xfId="0" applyNumberFormat="1" applyFont="1" applyFill="1" applyBorder="1" applyAlignment="1">
      <alignment horizontal="center"/>
    </xf>
    <xf numFmtId="165" fontId="36" fillId="0" borderId="6" xfId="0" applyNumberFormat="1" applyFont="1" applyFill="1" applyBorder="1" applyAlignment="1">
      <alignment horizontal="center"/>
    </xf>
    <xf numFmtId="165" fontId="12" fillId="0" borderId="6" xfId="0" applyNumberFormat="1" applyFont="1" applyFill="1" applyBorder="1" applyAlignment="1">
      <alignment horizontal="center"/>
    </xf>
    <xf numFmtId="166" fontId="1" fillId="0" borderId="0" xfId="0" applyNumberFormat="1" applyFont="1" applyBorder="1"/>
    <xf numFmtId="0" fontId="33" fillId="0" borderId="4" xfId="0" applyFont="1" applyFill="1" applyBorder="1" applyAlignment="1">
      <alignment horizontal="centerContinuous"/>
    </xf>
    <xf numFmtId="0" fontId="33" fillId="0" borderId="4" xfId="0" applyFont="1" applyFill="1" applyBorder="1" applyAlignment="1">
      <alignment horizontal="center"/>
    </xf>
    <xf numFmtId="164" fontId="22" fillId="0" borderId="0" xfId="0" applyNumberFormat="1" applyFont="1" applyBorder="1"/>
    <xf numFmtId="0" fontId="33" fillId="0" borderId="1" xfId="0" applyFont="1" applyFill="1" applyBorder="1" applyAlignment="1">
      <alignment horizontal="centerContinuous"/>
    </xf>
    <xf numFmtId="164" fontId="33" fillId="0" borderId="1" xfId="0" applyNumberFormat="1" applyFont="1" applyFill="1" applyBorder="1" applyAlignment="1">
      <alignment horizontal="center"/>
    </xf>
    <xf numFmtId="2" fontId="33" fillId="0" borderId="1" xfId="0" applyNumberFormat="1" applyFont="1" applyFill="1" applyBorder="1" applyAlignment="1">
      <alignment horizontal="center"/>
    </xf>
    <xf numFmtId="2" fontId="33" fillId="0" borderId="10" xfId="0" applyNumberFormat="1" applyFont="1" applyFill="1" applyBorder="1" applyAlignment="1">
      <alignment horizontal="center"/>
    </xf>
    <xf numFmtId="164" fontId="22" fillId="0" borderId="0" xfId="0" applyNumberFormat="1" applyFont="1"/>
    <xf numFmtId="164" fontId="32" fillId="0" borderId="0" xfId="0" applyNumberFormat="1" applyFont="1" applyBorder="1"/>
    <xf numFmtId="2" fontId="32" fillId="0" borderId="0" xfId="0" applyNumberFormat="1" applyFont="1" applyBorder="1"/>
    <xf numFmtId="166" fontId="32" fillId="0" borderId="0" xfId="0" applyNumberFormat="1" applyFont="1" applyBorder="1"/>
    <xf numFmtId="164" fontId="32" fillId="0" borderId="1" xfId="0" applyNumberFormat="1" applyFont="1" applyBorder="1"/>
    <xf numFmtId="2" fontId="32" fillId="0" borderId="1" xfId="0" applyNumberFormat="1" applyFont="1" applyBorder="1"/>
    <xf numFmtId="2" fontId="34" fillId="0" borderId="1" xfId="0" applyNumberFormat="1" applyFont="1" applyBorder="1"/>
    <xf numFmtId="164" fontId="29" fillId="0" borderId="0" xfId="0" applyNumberFormat="1" applyFont="1" applyFill="1" applyBorder="1" applyAlignment="1">
      <alignment horizontal="left" vertical="center"/>
    </xf>
    <xf numFmtId="164" fontId="29" fillId="0" borderId="1" xfId="0" applyNumberFormat="1" applyFont="1" applyFill="1" applyBorder="1" applyAlignment="1">
      <alignment horizontal="left" vertical="center"/>
    </xf>
    <xf numFmtId="1" fontId="22" fillId="0" borderId="0" xfId="0" applyNumberFormat="1" applyFont="1" applyAlignment="1">
      <alignment horizontal="center"/>
    </xf>
    <xf numFmtId="1" fontId="22" fillId="0" borderId="1" xfId="0" applyNumberFormat="1" applyFont="1" applyBorder="1" applyAlignment="1">
      <alignment horizontal="center"/>
    </xf>
    <xf numFmtId="1" fontId="22" fillId="0" borderId="10" xfId="0" applyNumberFormat="1" applyFont="1" applyFill="1" applyBorder="1" applyAlignment="1">
      <alignment horizontal="center"/>
    </xf>
    <xf numFmtId="0" fontId="33" fillId="0" borderId="10" xfId="0" applyFont="1" applyFill="1" applyBorder="1" applyAlignment="1">
      <alignment horizontal="centerContinuous"/>
    </xf>
    <xf numFmtId="0" fontId="33" fillId="0" borderId="10" xfId="0" applyFont="1" applyFill="1" applyBorder="1" applyAlignment="1">
      <alignment horizontal="center"/>
    </xf>
    <xf numFmtId="164" fontId="33" fillId="0" borderId="10" xfId="0" applyNumberFormat="1" applyFont="1" applyFill="1" applyBorder="1" applyAlignment="1">
      <alignment horizontal="center"/>
    </xf>
    <xf numFmtId="1" fontId="29" fillId="0" borderId="0" xfId="0" applyNumberFormat="1" applyFont="1" applyFill="1" applyBorder="1" applyAlignment="1">
      <alignment horizontal="center" vertical="center"/>
    </xf>
    <xf numFmtId="169" fontId="22" fillId="0" borderId="0" xfId="0" applyNumberFormat="1" applyFont="1" applyFill="1" applyBorder="1" applyAlignment="1"/>
    <xf numFmtId="169" fontId="22" fillId="0" borderId="0" xfId="0" applyNumberFormat="1" applyFont="1" applyBorder="1"/>
    <xf numFmtId="1" fontId="29" fillId="0" borderId="1" xfId="0" applyNumberFormat="1" applyFont="1" applyFill="1" applyBorder="1" applyAlignment="1">
      <alignment horizontal="center" vertical="center"/>
    </xf>
    <xf numFmtId="169" fontId="22" fillId="0" borderId="1" xfId="0" applyNumberFormat="1" applyFont="1" applyBorder="1"/>
    <xf numFmtId="169" fontId="33" fillId="0" borderId="1" xfId="0" applyNumberFormat="1" applyFont="1" applyFill="1" applyBorder="1" applyAlignment="1">
      <alignment horizontal="center"/>
    </xf>
    <xf numFmtId="169" fontId="32" fillId="0" borderId="0" xfId="0" applyNumberFormat="1" applyFont="1" applyBorder="1"/>
    <xf numFmtId="169" fontId="32" fillId="0" borderId="1" xfId="0" applyNumberFormat="1" applyFont="1" applyBorder="1"/>
    <xf numFmtId="0" fontId="21" fillId="0" borderId="0" xfId="0" applyFont="1"/>
    <xf numFmtId="0" fontId="33" fillId="0" borderId="9" xfId="0" applyFont="1" applyFill="1" applyBorder="1" applyAlignment="1">
      <alignment horizontal="center"/>
    </xf>
    <xf numFmtId="166" fontId="32" fillId="0" borderId="0" xfId="0" applyNumberFormat="1" applyFont="1" applyBorder="1" applyAlignment="1">
      <alignment horizontal="center"/>
    </xf>
    <xf numFmtId="0" fontId="21" fillId="0" borderId="1" xfId="0" applyFont="1" applyBorder="1"/>
    <xf numFmtId="14" fontId="0" fillId="0" borderId="1" xfId="0" applyNumberFormat="1" applyFont="1" applyFill="1" applyBorder="1" applyAlignment="1">
      <alignment horizontal="center"/>
    </xf>
    <xf numFmtId="1" fontId="4" fillId="0" borderId="1" xfId="0" applyNumberFormat="1" applyFont="1" applyFill="1" applyBorder="1" applyAlignment="1">
      <alignment horizontal="center" vertical="center"/>
    </xf>
    <xf numFmtId="164" fontId="18" fillId="0" borderId="1" xfId="0" applyNumberFormat="1" applyFont="1" applyFill="1" applyBorder="1" applyAlignment="1">
      <alignment horizontal="left" vertical="center"/>
    </xf>
    <xf numFmtId="0" fontId="12" fillId="0" borderId="1" xfId="0" applyFont="1" applyFill="1" applyBorder="1" applyAlignment="1">
      <alignment horizontal="centerContinuous"/>
    </xf>
    <xf numFmtId="0" fontId="1" fillId="0" borderId="1" xfId="0" applyFont="1" applyBorder="1"/>
    <xf numFmtId="166" fontId="1" fillId="0" borderId="1" xfId="0" applyNumberFormat="1" applyFont="1" applyBorder="1"/>
    <xf numFmtId="0" fontId="2" fillId="0" borderId="1" xfId="0" applyFont="1" applyBorder="1"/>
    <xf numFmtId="1" fontId="3" fillId="0" borderId="1" xfId="0" applyNumberFormat="1" applyFont="1" applyFill="1" applyBorder="1" applyAlignment="1">
      <alignment horizontal="center" vertical="center" wrapText="1"/>
    </xf>
    <xf numFmtId="1" fontId="3" fillId="0" borderId="15" xfId="0" applyNumberFormat="1" applyFont="1" applyFill="1" applyBorder="1" applyAlignment="1">
      <alignment horizontal="center" vertical="center" wrapText="1"/>
    </xf>
    <xf numFmtId="164" fontId="29" fillId="0" borderId="0" xfId="0" applyNumberFormat="1" applyFont="1" applyFill="1" applyBorder="1" applyAlignment="1">
      <alignment vertical="center"/>
    </xf>
    <xf numFmtId="164" fontId="29" fillId="0" borderId="1" xfId="0" applyNumberFormat="1" applyFont="1" applyFill="1" applyBorder="1" applyAlignment="1">
      <alignment vertical="center"/>
    </xf>
    <xf numFmtId="0" fontId="0" fillId="0" borderId="0" xfId="0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Fill="1" applyBorder="1" applyAlignment="1">
      <alignment horizontal="center"/>
    </xf>
    <xf numFmtId="164" fontId="0" fillId="0" borderId="1" xfId="0" applyNumberFormat="1" applyFont="1" applyFill="1" applyBorder="1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1" xfId="0" applyNumberFormat="1" applyBorder="1"/>
    <xf numFmtId="2" fontId="0" fillId="0" borderId="0" xfId="0" applyNumberFormat="1" applyFill="1" applyBorder="1" applyAlignment="1">
      <alignment horizontal="center"/>
    </xf>
    <xf numFmtId="2" fontId="0" fillId="0" borderId="0" xfId="0" applyNumberFormat="1" applyFill="1" applyBorder="1" applyAlignment="1"/>
    <xf numFmtId="2" fontId="0" fillId="0" borderId="0" xfId="0" applyNumberFormat="1" applyBorder="1" applyAlignment="1">
      <alignment horizontal="center"/>
    </xf>
    <xf numFmtId="2" fontId="0" fillId="0" borderId="0" xfId="0" applyNumberFormat="1" applyBorder="1"/>
    <xf numFmtId="2" fontId="0" fillId="0" borderId="1" xfId="0" applyNumberFormat="1" applyBorder="1" applyAlignment="1">
      <alignment horizontal="center"/>
    </xf>
    <xf numFmtId="2" fontId="0" fillId="0" borderId="1" xfId="0" applyNumberFormat="1" applyBorder="1"/>
    <xf numFmtId="2" fontId="12" fillId="0" borderId="1" xfId="0" applyNumberFormat="1" applyFont="1" applyFill="1" applyBorder="1" applyAlignment="1">
      <alignment horizontal="center"/>
    </xf>
    <xf numFmtId="2" fontId="1" fillId="0" borderId="0" xfId="0" applyNumberFormat="1" applyFont="1" applyBorder="1" applyAlignment="1">
      <alignment horizontal="center"/>
    </xf>
    <xf numFmtId="2" fontId="1" fillId="0" borderId="1" xfId="0" applyNumberFormat="1" applyFont="1" applyBorder="1" applyAlignment="1">
      <alignment horizontal="center"/>
    </xf>
    <xf numFmtId="2" fontId="0" fillId="0" borderId="0" xfId="0" applyNumberFormat="1"/>
    <xf numFmtId="0" fontId="0" fillId="0" borderId="1" xfId="0" applyFont="1" applyFill="1" applyBorder="1" applyAlignment="1">
      <alignment horizontal="center"/>
    </xf>
    <xf numFmtId="1" fontId="0" fillId="0" borderId="1" xfId="0" applyNumberFormat="1" applyFont="1" applyFill="1" applyBorder="1" applyAlignment="1">
      <alignment horizontal="center"/>
    </xf>
    <xf numFmtId="1" fontId="18" fillId="0" borderId="1" xfId="0" applyNumberFormat="1" applyFont="1" applyFill="1" applyBorder="1" applyAlignment="1">
      <alignment horizontal="center" vertical="center"/>
    </xf>
    <xf numFmtId="166" fontId="0" fillId="0" borderId="0" xfId="0" applyNumberFormat="1" applyFill="1" applyBorder="1" applyAlignment="1"/>
    <xf numFmtId="166" fontId="0" fillId="0" borderId="0" xfId="0" applyNumberFormat="1" applyBorder="1"/>
    <xf numFmtId="166" fontId="0" fillId="0" borderId="1" xfId="0" applyNumberFormat="1" applyBorder="1"/>
    <xf numFmtId="2" fontId="1" fillId="0" borderId="0" xfId="0" applyNumberFormat="1" applyFont="1" applyBorder="1"/>
    <xf numFmtId="2" fontId="1" fillId="0" borderId="1" xfId="0" applyNumberFormat="1" applyFont="1" applyBorder="1"/>
    <xf numFmtId="166" fontId="32" fillId="0" borderId="1" xfId="0" applyNumberFormat="1" applyFont="1" applyBorder="1"/>
    <xf numFmtId="164" fontId="22" fillId="0" borderId="0" xfId="0" applyNumberFormat="1" applyFont="1" applyFill="1" applyBorder="1"/>
    <xf numFmtId="164" fontId="22" fillId="0" borderId="1" xfId="0" applyNumberFormat="1" applyFont="1" applyFill="1" applyBorder="1"/>
    <xf numFmtId="165" fontId="22" fillId="0" borderId="0" xfId="0" applyNumberFormat="1" applyFont="1" applyFill="1" applyBorder="1" applyAlignment="1"/>
    <xf numFmtId="165" fontId="22" fillId="0" borderId="0" xfId="0" applyNumberFormat="1" applyFont="1" applyBorder="1"/>
    <xf numFmtId="165" fontId="22" fillId="0" borderId="1" xfId="0" applyNumberFormat="1" applyFont="1" applyBorder="1"/>
    <xf numFmtId="165" fontId="33" fillId="0" borderId="1" xfId="0" applyNumberFormat="1" applyFont="1" applyFill="1" applyBorder="1" applyAlignment="1">
      <alignment horizontal="center"/>
    </xf>
    <xf numFmtId="14" fontId="20" fillId="0" borderId="1" xfId="0" applyNumberFormat="1" applyFont="1" applyBorder="1" applyAlignment="1">
      <alignment horizontal="center"/>
    </xf>
    <xf numFmtId="1" fontId="16" fillId="0" borderId="1" xfId="0" applyNumberFormat="1" applyFont="1" applyBorder="1" applyAlignment="1">
      <alignment horizontal="center" vertical="center"/>
    </xf>
    <xf numFmtId="166" fontId="0" fillId="0" borderId="0" xfId="0" applyNumberFormat="1"/>
    <xf numFmtId="14" fontId="39" fillId="0" borderId="0" xfId="0" applyNumberFormat="1" applyFont="1" applyAlignment="1">
      <alignment horizontal="center"/>
    </xf>
    <xf numFmtId="1" fontId="40" fillId="0" borderId="0" xfId="0" applyNumberFormat="1" applyFont="1" applyAlignment="1">
      <alignment horizontal="center" vertical="center"/>
    </xf>
    <xf numFmtId="14" fontId="39" fillId="0" borderId="1" xfId="0" applyNumberFormat="1" applyFont="1" applyBorder="1" applyAlignment="1">
      <alignment horizontal="center"/>
    </xf>
    <xf numFmtId="1" fontId="40" fillId="0" borderId="1" xfId="0" applyNumberFormat="1" applyFont="1" applyBorder="1" applyAlignment="1">
      <alignment horizontal="center" vertical="center"/>
    </xf>
    <xf numFmtId="1" fontId="29" fillId="0" borderId="0" xfId="0" applyNumberFormat="1" applyFont="1" applyFill="1" applyBorder="1" applyAlignment="1">
      <alignment vertical="center"/>
    </xf>
    <xf numFmtId="1" fontId="29" fillId="0" borderId="1" xfId="0" applyNumberFormat="1" applyFont="1" applyFill="1" applyBorder="1" applyAlignment="1">
      <alignment vertical="center"/>
    </xf>
    <xf numFmtId="2" fontId="1" fillId="0" borderId="0" xfId="0" applyNumberFormat="1" applyFont="1"/>
    <xf numFmtId="0" fontId="21" fillId="0" borderId="0" xfId="0" applyFont="1" applyAlignment="1">
      <alignment horizontal="center"/>
    </xf>
    <xf numFmtId="1" fontId="29" fillId="0" borderId="0" xfId="0" applyNumberFormat="1" applyFont="1" applyFill="1" applyBorder="1" applyAlignment="1">
      <alignment horizontal="left" vertical="center"/>
    </xf>
    <xf numFmtId="1" fontId="22" fillId="0" borderId="0" xfId="0" applyNumberFormat="1" applyFont="1"/>
    <xf numFmtId="165" fontId="22" fillId="0" borderId="0" xfId="0" applyNumberFormat="1" applyFont="1" applyAlignment="1">
      <alignment horizontal="center"/>
    </xf>
    <xf numFmtId="2" fontId="22" fillId="0" borderId="0" xfId="0" applyNumberFormat="1" applyFont="1" applyFill="1" applyBorder="1" applyAlignment="1">
      <alignment horizontal="center"/>
    </xf>
    <xf numFmtId="2" fontId="22" fillId="0" borderId="0" xfId="0" applyNumberFormat="1" applyFont="1" applyBorder="1" applyAlignment="1">
      <alignment horizontal="center"/>
    </xf>
    <xf numFmtId="1" fontId="29" fillId="0" borderId="1" xfId="0" applyNumberFormat="1" applyFont="1" applyFill="1" applyBorder="1" applyAlignment="1">
      <alignment horizontal="left" vertical="center"/>
    </xf>
    <xf numFmtId="1" fontId="22" fillId="0" borderId="1" xfId="0" applyNumberFormat="1" applyFont="1" applyBorder="1"/>
    <xf numFmtId="2" fontId="22" fillId="0" borderId="1" xfId="0" applyNumberFormat="1" applyFont="1" applyBorder="1" applyAlignment="1">
      <alignment horizontal="center"/>
    </xf>
    <xf numFmtId="2" fontId="32" fillId="0" borderId="0" xfId="0" applyNumberFormat="1" applyFont="1" applyBorder="1" applyAlignment="1">
      <alignment horizontal="center"/>
    </xf>
    <xf numFmtId="2" fontId="32" fillId="0" borderId="1" xfId="0" applyNumberFormat="1" applyFont="1" applyBorder="1" applyAlignment="1">
      <alignment horizontal="center"/>
    </xf>
    <xf numFmtId="1" fontId="22" fillId="0" borderId="0" xfId="0" applyNumberFormat="1" applyFont="1" applyFill="1" applyBorder="1"/>
    <xf numFmtId="1" fontId="22" fillId="0" borderId="1" xfId="0" applyNumberFormat="1" applyFont="1" applyFill="1" applyBorder="1"/>
    <xf numFmtId="2" fontId="22" fillId="0" borderId="1" xfId="0" applyNumberFormat="1" applyFont="1" applyFill="1" applyBorder="1" applyAlignment="1">
      <alignment horizontal="center"/>
    </xf>
    <xf numFmtId="0" fontId="21" fillId="0" borderId="0" xfId="0" applyFont="1" applyBorder="1" applyAlignment="1">
      <alignment horizontal="center"/>
    </xf>
    <xf numFmtId="165" fontId="22" fillId="0" borderId="0" xfId="0" applyNumberFormat="1" applyFont="1" applyBorder="1" applyAlignment="1">
      <alignment horizontal="center"/>
    </xf>
    <xf numFmtId="0" fontId="33" fillId="0" borderId="0" xfId="0" applyFont="1" applyFill="1" applyBorder="1" applyAlignment="1">
      <alignment horizontal="centerContinuous"/>
    </xf>
    <xf numFmtId="2" fontId="22" fillId="0" borderId="1" xfId="0" applyNumberFormat="1" applyFont="1" applyFill="1" applyBorder="1" applyAlignment="1"/>
    <xf numFmtId="165" fontId="22" fillId="0" borderId="0" xfId="0" applyNumberFormat="1" applyFont="1"/>
    <xf numFmtId="165" fontId="32" fillId="0" borderId="0" xfId="0" applyNumberFormat="1" applyFont="1" applyBorder="1"/>
    <xf numFmtId="165" fontId="22" fillId="0" borderId="1" xfId="0" applyNumberFormat="1" applyFont="1" applyFill="1" applyBorder="1" applyAlignment="1"/>
    <xf numFmtId="165" fontId="32" fillId="0" borderId="1" xfId="0" applyNumberFormat="1" applyFont="1" applyBorder="1"/>
    <xf numFmtId="0" fontId="19" fillId="0" borderId="1" xfId="0" applyFont="1" applyBorder="1"/>
    <xf numFmtId="1" fontId="19" fillId="0" borderId="1" xfId="0" applyNumberFormat="1" applyFont="1" applyBorder="1" applyAlignment="1">
      <alignment horizontal="center" vertical="center" wrapText="1"/>
    </xf>
    <xf numFmtId="1" fontId="19" fillId="0" borderId="15" xfId="0" applyNumberFormat="1" applyFont="1" applyBorder="1" applyAlignment="1">
      <alignment horizontal="center" vertical="center" wrapText="1"/>
    </xf>
    <xf numFmtId="0" fontId="41" fillId="0" borderId="1" xfId="0" applyFont="1" applyBorder="1"/>
    <xf numFmtId="1" fontId="41" fillId="0" borderId="1" xfId="0" applyNumberFormat="1" applyFont="1" applyBorder="1" applyAlignment="1">
      <alignment horizontal="center" vertical="center" wrapText="1"/>
    </xf>
    <xf numFmtId="1" fontId="41" fillId="0" borderId="15" xfId="0" applyNumberFormat="1" applyFont="1" applyBorder="1" applyAlignment="1">
      <alignment horizontal="center" vertical="center" wrapText="1"/>
    </xf>
    <xf numFmtId="0" fontId="15" fillId="0" borderId="0" xfId="0" applyFont="1" applyBorder="1"/>
    <xf numFmtId="2" fontId="15" fillId="0" borderId="0" xfId="0" applyNumberFormat="1" applyFont="1" applyBorder="1"/>
    <xf numFmtId="2" fontId="15" fillId="0" borderId="0" xfId="0" applyNumberFormat="1" applyFont="1"/>
    <xf numFmtId="2" fontId="12" fillId="0" borderId="0" xfId="0" applyNumberFormat="1" applyFont="1" applyFill="1" applyBorder="1" applyAlignment="1">
      <alignment horizontal="center"/>
    </xf>
    <xf numFmtId="2" fontId="32" fillId="0" borderId="0" xfId="0" applyNumberFormat="1" applyFont="1"/>
    <xf numFmtId="0" fontId="0" fillId="0" borderId="1" xfId="0" applyFont="1" applyFill="1" applyBorder="1"/>
    <xf numFmtId="164" fontId="7" fillId="0" borderId="0" xfId="0" applyNumberFormat="1" applyFont="1" applyFill="1" applyBorder="1" applyAlignment="1">
      <alignment horizontal="center" vertical="center"/>
    </xf>
    <xf numFmtId="164" fontId="7" fillId="0" borderId="1" xfId="0" applyNumberFormat="1" applyFont="1" applyFill="1" applyBorder="1" applyAlignment="1">
      <alignment horizontal="center" vertical="center"/>
    </xf>
    <xf numFmtId="0" fontId="41" fillId="0" borderId="0" xfId="0" applyFont="1"/>
    <xf numFmtId="1" fontId="41" fillId="0" borderId="0" xfId="0" applyNumberFormat="1" applyFont="1" applyAlignment="1">
      <alignment horizontal="center" vertical="center" wrapText="1"/>
    </xf>
    <xf numFmtId="1" fontId="41" fillId="0" borderId="2" xfId="0" applyNumberFormat="1" applyFont="1" applyBorder="1" applyAlignment="1">
      <alignment horizontal="center" vertical="center" wrapText="1"/>
    </xf>
    <xf numFmtId="2" fontId="42" fillId="0" borderId="0" xfId="0" applyNumberFormat="1" applyFont="1"/>
    <xf numFmtId="165" fontId="35" fillId="0" borderId="0" xfId="0" applyNumberFormat="1" applyFont="1" applyFill="1" applyBorder="1" applyAlignment="1">
      <alignment horizontal="center"/>
    </xf>
    <xf numFmtId="165" fontId="38" fillId="0" borderId="1" xfId="0" applyNumberFormat="1" applyFont="1" applyBorder="1" applyAlignment="1">
      <alignment horizontal="center"/>
    </xf>
    <xf numFmtId="166" fontId="35" fillId="0" borderId="0" xfId="0" applyNumberFormat="1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7" fillId="0" borderId="1" xfId="0" applyFont="1" applyBorder="1" applyAlignment="1">
      <alignment horizontal="center"/>
    </xf>
    <xf numFmtId="165" fontId="0" fillId="3" borderId="11" xfId="0" applyNumberFormat="1" applyFill="1" applyBorder="1" applyAlignment="1"/>
    <xf numFmtId="0" fontId="0" fillId="3" borderId="0" xfId="0" applyFill="1" applyBorder="1" applyAlignment="1"/>
    <xf numFmtId="164" fontId="0" fillId="3" borderId="5" xfId="0" applyNumberFormat="1" applyFill="1" applyBorder="1" applyAlignment="1">
      <alignment horizontal="center"/>
    </xf>
    <xf numFmtId="165" fontId="0" fillId="3" borderId="0" xfId="0" applyNumberFormat="1" applyFill="1" applyBorder="1" applyAlignment="1"/>
    <xf numFmtId="2" fontId="0" fillId="3" borderId="5" xfId="0" applyNumberFormat="1" applyFill="1" applyBorder="1" applyAlignment="1"/>
    <xf numFmtId="2" fontId="0" fillId="3" borderId="5" xfId="0" applyNumberFormat="1" applyFill="1" applyBorder="1" applyAlignment="1">
      <alignment horizontal="center"/>
    </xf>
    <xf numFmtId="0" fontId="0" fillId="3" borderId="5" xfId="0" applyFill="1" applyBorder="1" applyAlignment="1"/>
    <xf numFmtId="0" fontId="30" fillId="0" borderId="0" xfId="0" applyFont="1" applyFill="1" applyBorder="1" applyAlignment="1">
      <alignment horizontal="left" vertical="center" wrapText="1"/>
    </xf>
    <xf numFmtId="1" fontId="30" fillId="2" borderId="0" xfId="0" applyNumberFormat="1" applyFont="1" applyFill="1" applyBorder="1" applyAlignment="1">
      <alignment horizontal="left" vertical="center"/>
    </xf>
    <xf numFmtId="167" fontId="43" fillId="0" borderId="0" xfId="0" applyNumberFormat="1" applyFont="1" applyFill="1" applyBorder="1" applyAlignment="1">
      <alignment horizontal="left" vertical="center"/>
    </xf>
    <xf numFmtId="165" fontId="22" fillId="0" borderId="0" xfId="0" applyNumberFormat="1" applyFont="1" applyFill="1" applyBorder="1" applyAlignment="1">
      <alignment horizontal="center"/>
    </xf>
    <xf numFmtId="165" fontId="22" fillId="0" borderId="5" xfId="0" applyNumberFormat="1" applyFont="1" applyBorder="1" applyAlignment="1">
      <alignment horizontal="center"/>
    </xf>
    <xf numFmtId="165" fontId="44" fillId="0" borderId="7" xfId="0" applyNumberFormat="1" applyFont="1" applyFill="1" applyBorder="1" applyAlignment="1">
      <alignment horizontal="center" vertical="center"/>
    </xf>
    <xf numFmtId="2" fontId="22" fillId="0" borderId="0" xfId="0" applyNumberFormat="1" applyFont="1" applyAlignment="1">
      <alignment horizontal="center"/>
    </xf>
    <xf numFmtId="0" fontId="45" fillId="0" borderId="0" xfId="0" applyFont="1" applyFill="1" applyBorder="1" applyAlignment="1">
      <alignment horizontal="left" vertical="center" wrapText="1"/>
    </xf>
    <xf numFmtId="1" fontId="45" fillId="0" borderId="0" xfId="0" applyNumberFormat="1" applyFont="1" applyFill="1" applyBorder="1" applyAlignment="1">
      <alignment horizontal="left" vertical="center"/>
    </xf>
    <xf numFmtId="0" fontId="22" fillId="0" borderId="7" xfId="0" applyFont="1" applyBorder="1"/>
    <xf numFmtId="1" fontId="30" fillId="0" borderId="0" xfId="0" applyNumberFormat="1" applyFont="1" applyFill="1" applyBorder="1" applyAlignment="1">
      <alignment horizontal="left" vertical="center"/>
    </xf>
    <xf numFmtId="0" fontId="22" fillId="0" borderId="5" xfId="0" applyFont="1" applyBorder="1"/>
    <xf numFmtId="0" fontId="30" fillId="0" borderId="0" xfId="0" applyFont="1" applyFill="1" applyBorder="1" applyAlignment="1">
      <alignment horizontal="center" vertical="center" wrapText="1"/>
    </xf>
    <xf numFmtId="167" fontId="43" fillId="0" borderId="0" xfId="0" applyNumberFormat="1" applyFont="1" applyFill="1" applyBorder="1" applyAlignment="1">
      <alignment horizontal="center" vertical="center"/>
    </xf>
    <xf numFmtId="165" fontId="44" fillId="0" borderId="0" xfId="0" applyNumberFormat="1" applyFont="1" applyFill="1" applyBorder="1" applyAlignment="1">
      <alignment horizontal="center" vertical="center"/>
    </xf>
    <xf numFmtId="166" fontId="22" fillId="0" borderId="0" xfId="0" applyNumberFormat="1" applyFont="1" applyFill="1" applyBorder="1" applyAlignment="1">
      <alignment horizontal="center"/>
    </xf>
    <xf numFmtId="0" fontId="46" fillId="2" borderId="0" xfId="0" applyFont="1" applyFill="1"/>
    <xf numFmtId="0" fontId="22" fillId="2" borderId="0" xfId="0" applyFont="1" applyFill="1"/>
    <xf numFmtId="1" fontId="27" fillId="0" borderId="6" xfId="0" applyNumberFormat="1" applyFont="1" applyFill="1" applyBorder="1" applyAlignment="1">
      <alignment horizontal="center" vertical="center" wrapText="1"/>
    </xf>
    <xf numFmtId="1" fontId="27" fillId="0" borderId="8" xfId="0" applyNumberFormat="1" applyFont="1" applyFill="1" applyBorder="1" applyAlignment="1">
      <alignment horizontal="center" vertical="center" wrapText="1"/>
    </xf>
    <xf numFmtId="0" fontId="11" fillId="0" borderId="0" xfId="0" applyFont="1" applyFill="1"/>
    <xf numFmtId="0" fontId="0" fillId="0" borderId="0" xfId="0" applyAlignment="1">
      <alignment horizontal="center"/>
    </xf>
    <xf numFmtId="0" fontId="0" fillId="0" borderId="0" xfId="0" applyFont="1" applyFill="1" applyBorder="1" applyAlignment="1">
      <alignment horizontal="center"/>
    </xf>
    <xf numFmtId="167" fontId="46" fillId="0" borderId="0" xfId="0" applyNumberFormat="1" applyFont="1" applyFill="1" applyBorder="1" applyAlignment="1">
      <alignment horizontal="right" vertical="center"/>
    </xf>
    <xf numFmtId="0" fontId="46" fillId="0" borderId="0" xfId="0" applyFont="1" applyBorder="1"/>
    <xf numFmtId="0" fontId="47" fillId="0" borderId="0" xfId="0" applyFont="1" applyAlignment="1">
      <alignment vertical="center"/>
    </xf>
    <xf numFmtId="0" fontId="48" fillId="0" borderId="0" xfId="0" applyFont="1" applyAlignment="1">
      <alignment vertical="center"/>
    </xf>
    <xf numFmtId="0" fontId="50" fillId="0" borderId="0" xfId="0" applyFont="1" applyAlignment="1">
      <alignment vertical="center"/>
    </xf>
    <xf numFmtId="0" fontId="51" fillId="0" borderId="0" xfId="0" applyFont="1" applyAlignment="1">
      <alignment vertical="center"/>
    </xf>
    <xf numFmtId="0" fontId="52" fillId="0" borderId="0" xfId="0" applyFont="1" applyAlignment="1">
      <alignment vertical="center"/>
    </xf>
    <xf numFmtId="0" fontId="53" fillId="0" borderId="0" xfId="0" applyFont="1" applyAlignment="1">
      <alignment vertical="center"/>
    </xf>
    <xf numFmtId="0" fontId="0" fillId="4" borderId="0" xfId="0" quotePrefix="1" applyFont="1" applyFill="1" applyBorder="1"/>
    <xf numFmtId="0" fontId="12" fillId="0" borderId="10" xfId="0" applyFont="1" applyFill="1" applyBorder="1" applyAlignment="1">
      <alignment horizontal="center" wrapText="1"/>
    </xf>
    <xf numFmtId="0" fontId="12" fillId="0" borderId="13" xfId="0" applyFont="1" applyFill="1" applyBorder="1" applyAlignment="1">
      <alignment horizontal="center" wrapText="1"/>
    </xf>
    <xf numFmtId="0" fontId="22" fillId="0" borderId="0" xfId="0" applyFont="1" applyAlignment="1">
      <alignment horizontal="center"/>
    </xf>
    <xf numFmtId="0" fontId="22" fillId="0" borderId="0" xfId="0" applyFont="1" applyAlignment="1"/>
    <xf numFmtId="0" fontId="0" fillId="0" borderId="0" xfId="0" applyAlignment="1">
      <alignment horizontal="center"/>
    </xf>
    <xf numFmtId="0" fontId="0" fillId="0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715169598068904"/>
          <c:y val="6.6226316704328173E-2"/>
          <c:w val="0.8055375472641999"/>
          <c:h val="0.87858508604206498"/>
        </c:manualLayout>
      </c:layout>
      <c:scatterChart>
        <c:scatterStyle val="lineMarker"/>
        <c:varyColors val="0"/>
        <c:ser>
          <c:idx val="0"/>
          <c:order val="0"/>
          <c:tx>
            <c:v>Cal_2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29367781047546276"/>
                  <c:y val="0.1254954827617780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50" b="0" i="0" u="none" strike="noStrike" kern="1200" baseline="0">
                      <a:solidFill>
                        <a:schemeClr val="accent1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cobalt_Co!$C$8:$C$13</c:f>
              <c:numCache>
                <c:formatCode>0.00</c:formatCode>
                <c:ptCount val="6"/>
                <c:pt idx="0" formatCode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0.05</c:v>
                </c:pt>
                <c:pt idx="4" formatCode="0.0">
                  <c:v>0.1</c:v>
                </c:pt>
                <c:pt idx="5" formatCode="General">
                  <c:v>0.2</c:v>
                </c:pt>
              </c:numCache>
            </c:numRef>
          </c:xVal>
          <c:yVal>
            <c:numRef>
              <c:f>cobalt_Co!$E$8:$E$13</c:f>
              <c:numCache>
                <c:formatCode>0</c:formatCode>
                <c:ptCount val="6"/>
                <c:pt idx="0">
                  <c:v>0</c:v>
                </c:pt>
                <c:pt idx="1">
                  <c:v>356</c:v>
                </c:pt>
                <c:pt idx="2">
                  <c:v>755</c:v>
                </c:pt>
                <c:pt idx="3">
                  <c:v>1932</c:v>
                </c:pt>
                <c:pt idx="4">
                  <c:v>3837</c:v>
                </c:pt>
                <c:pt idx="5">
                  <c:v>7651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EC4-2241-9D25-C2B561305737}"/>
            </c:ext>
          </c:extLst>
        </c:ser>
        <c:ser>
          <c:idx val="1"/>
          <c:order val="1"/>
          <c:tx>
            <c:v>Cal_3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20211649773278487"/>
                  <c:y val="0.1453730199579878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accent2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cobalt_Co!$C$14:$C$19</c:f>
              <c:numCache>
                <c:formatCode>0.00</c:formatCode>
                <c:ptCount val="6"/>
                <c:pt idx="0" formatCode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0.05</c:v>
                </c:pt>
                <c:pt idx="4" formatCode="0.0">
                  <c:v>0.1</c:v>
                </c:pt>
                <c:pt idx="5" formatCode="General">
                  <c:v>0.2</c:v>
                </c:pt>
              </c:numCache>
            </c:numRef>
          </c:xVal>
          <c:yVal>
            <c:numRef>
              <c:f>cobalt_Co!$E$14:$E$19</c:f>
              <c:numCache>
                <c:formatCode>0</c:formatCode>
                <c:ptCount val="6"/>
                <c:pt idx="0" formatCode="0.000">
                  <c:v>0</c:v>
                </c:pt>
                <c:pt idx="1">
                  <c:v>342</c:v>
                </c:pt>
                <c:pt idx="2">
                  <c:v>725</c:v>
                </c:pt>
                <c:pt idx="3">
                  <c:v>1822</c:v>
                </c:pt>
                <c:pt idx="4">
                  <c:v>3614</c:v>
                </c:pt>
                <c:pt idx="5">
                  <c:v>7309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EC4-2241-9D25-C2B561305737}"/>
            </c:ext>
          </c:extLst>
        </c:ser>
        <c:ser>
          <c:idx val="2"/>
          <c:order val="2"/>
          <c:tx>
            <c:v>Cal_1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7.5859034471379261E-2"/>
                  <c:y val="-8.3161097791562541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50000"/>
                          <a:lumOff val="5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cobalt_Co!$C$2:$C$7</c:f>
              <c:numCache>
                <c:formatCode>0.00</c:formatCode>
                <c:ptCount val="6"/>
                <c:pt idx="0" formatCode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0.05</c:v>
                </c:pt>
                <c:pt idx="4" formatCode="0.0">
                  <c:v>0.1</c:v>
                </c:pt>
                <c:pt idx="5" formatCode="General">
                  <c:v>0.2</c:v>
                </c:pt>
              </c:numCache>
            </c:numRef>
          </c:xVal>
          <c:yVal>
            <c:numRef>
              <c:f>cobalt_Co!$E$2:$E$7</c:f>
              <c:numCache>
                <c:formatCode>0</c:formatCode>
                <c:ptCount val="6"/>
                <c:pt idx="0">
                  <c:v>0</c:v>
                </c:pt>
                <c:pt idx="1">
                  <c:v>399</c:v>
                </c:pt>
                <c:pt idx="2">
                  <c:v>835</c:v>
                </c:pt>
                <c:pt idx="3">
                  <c:v>2238.3786675830302</c:v>
                </c:pt>
                <c:pt idx="4">
                  <c:v>4640.6079114773902</c:v>
                </c:pt>
                <c:pt idx="5">
                  <c:v>9376.5744300019305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EC4-2241-9D25-C2B5613057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6237136"/>
        <c:axId val="486908416"/>
      </c:scatterChart>
      <c:valAx>
        <c:axId val="466237136"/>
        <c:scaling>
          <c:orientation val="minMax"/>
        </c:scaling>
        <c:delete val="0"/>
        <c:axPos val="b"/>
        <c:numFmt formatCode="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6908416"/>
        <c:crosses val="autoZero"/>
        <c:crossBetween val="midCat"/>
      </c:valAx>
      <c:valAx>
        <c:axId val="486908416"/>
        <c:scaling>
          <c:orientation val="minMax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62371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3"/>
          <c:order val="0"/>
          <c:tx>
            <c:v>Cal_2</c:v>
          </c:tx>
          <c:spPr>
            <a:ln w="25400">
              <a:noFill/>
            </a:ln>
          </c:spPr>
          <c:xVal>
            <c:numRef>
              <c:f>cobalt_Co!$C$8:$C$13</c:f>
              <c:numCache>
                <c:formatCode>0.00</c:formatCode>
                <c:ptCount val="6"/>
                <c:pt idx="0" formatCode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0.05</c:v>
                </c:pt>
                <c:pt idx="4" formatCode="0.0">
                  <c:v>0.1</c:v>
                </c:pt>
                <c:pt idx="5" formatCode="General">
                  <c:v>0.2</c:v>
                </c:pt>
              </c:numCache>
            </c:numRef>
          </c:xVal>
          <c:yVal>
            <c:numRef>
              <c:f>cobalt_Co!$E$8:$E$13</c:f>
              <c:numCache>
                <c:formatCode>0</c:formatCode>
                <c:ptCount val="6"/>
                <c:pt idx="0">
                  <c:v>0</c:v>
                </c:pt>
                <c:pt idx="1">
                  <c:v>356</c:v>
                </c:pt>
                <c:pt idx="2">
                  <c:v>755</c:v>
                </c:pt>
                <c:pt idx="3">
                  <c:v>1932</c:v>
                </c:pt>
                <c:pt idx="4">
                  <c:v>3837</c:v>
                </c:pt>
                <c:pt idx="5">
                  <c:v>7651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A78A-DA49-B877-C610986241EF}"/>
            </c:ext>
          </c:extLst>
        </c:ser>
        <c:ser>
          <c:idx val="4"/>
          <c:order val="1"/>
          <c:tx>
            <c:v>Cal_3</c:v>
          </c:tx>
          <c:spPr>
            <a:ln w="25400">
              <a:noFill/>
            </a:ln>
          </c:spPr>
          <c:xVal>
            <c:numRef>
              <c:f>cobalt_Co!$C$14:$C$19</c:f>
              <c:numCache>
                <c:formatCode>0.00</c:formatCode>
                <c:ptCount val="6"/>
                <c:pt idx="0" formatCode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0.05</c:v>
                </c:pt>
                <c:pt idx="4" formatCode="0.0">
                  <c:v>0.1</c:v>
                </c:pt>
                <c:pt idx="5" formatCode="General">
                  <c:v>0.2</c:v>
                </c:pt>
              </c:numCache>
            </c:numRef>
          </c:xVal>
          <c:yVal>
            <c:numRef>
              <c:f>cobalt_Co!$E$14:$E$19</c:f>
              <c:numCache>
                <c:formatCode>0</c:formatCode>
                <c:ptCount val="6"/>
                <c:pt idx="0" formatCode="0.000">
                  <c:v>0</c:v>
                </c:pt>
                <c:pt idx="1">
                  <c:v>342</c:v>
                </c:pt>
                <c:pt idx="2">
                  <c:v>725</c:v>
                </c:pt>
                <c:pt idx="3">
                  <c:v>1822</c:v>
                </c:pt>
                <c:pt idx="4">
                  <c:v>3614</c:v>
                </c:pt>
                <c:pt idx="5">
                  <c:v>7309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A78A-DA49-B877-C610986241EF}"/>
            </c:ext>
          </c:extLst>
        </c:ser>
        <c:ser>
          <c:idx val="5"/>
          <c:order val="2"/>
          <c:tx>
            <c:v>Cal_1</c:v>
          </c:tx>
          <c:spPr>
            <a:ln w="25400">
              <a:noFill/>
            </a:ln>
          </c:spPr>
          <c:xVal>
            <c:numRef>
              <c:f>cobalt_Co!$C$2:$C$7</c:f>
              <c:numCache>
                <c:formatCode>0.00</c:formatCode>
                <c:ptCount val="6"/>
                <c:pt idx="0" formatCode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0.05</c:v>
                </c:pt>
                <c:pt idx="4" formatCode="0.0">
                  <c:v>0.1</c:v>
                </c:pt>
                <c:pt idx="5" formatCode="General">
                  <c:v>0.2</c:v>
                </c:pt>
              </c:numCache>
            </c:numRef>
          </c:xVal>
          <c:yVal>
            <c:numRef>
              <c:f>cobalt_Co!$E$2:$E$7</c:f>
              <c:numCache>
                <c:formatCode>0</c:formatCode>
                <c:ptCount val="6"/>
                <c:pt idx="0">
                  <c:v>0</c:v>
                </c:pt>
                <c:pt idx="1">
                  <c:v>399</c:v>
                </c:pt>
                <c:pt idx="2">
                  <c:v>835</c:v>
                </c:pt>
                <c:pt idx="3">
                  <c:v>2238.3786675830302</c:v>
                </c:pt>
                <c:pt idx="4">
                  <c:v>4640.6079114773902</c:v>
                </c:pt>
                <c:pt idx="5">
                  <c:v>9376.5744300019305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A78A-DA49-B877-C610986241EF}"/>
            </c:ext>
          </c:extLst>
        </c:ser>
        <c:ser>
          <c:idx val="0"/>
          <c:order val="3"/>
          <c:tx>
            <c:v>Cal_2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-0.46026612179806636"/>
                  <c:y val="-0.10255050615056684"/>
                </c:manualLayout>
              </c:layout>
              <c:numFmt formatCode="General" sourceLinked="0"/>
              <c:spPr>
                <a:solidFill>
                  <a:schemeClr val="accent1">
                    <a:lumMod val="60000"/>
                    <a:lumOff val="40000"/>
                  </a:schemeClr>
                </a:solidFill>
              </c:spPr>
            </c:trendlineLbl>
          </c:trendline>
          <c:xVal>
            <c:numRef>
              <c:f>cobalt_Co!$C$8:$C$13</c:f>
              <c:numCache>
                <c:formatCode>0.00</c:formatCode>
                <c:ptCount val="6"/>
                <c:pt idx="0" formatCode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0.05</c:v>
                </c:pt>
                <c:pt idx="4" formatCode="0.0">
                  <c:v>0.1</c:v>
                </c:pt>
                <c:pt idx="5" formatCode="General">
                  <c:v>0.2</c:v>
                </c:pt>
              </c:numCache>
            </c:numRef>
          </c:xVal>
          <c:yVal>
            <c:numRef>
              <c:f>cobalt_Co!$E$8:$E$13</c:f>
              <c:numCache>
                <c:formatCode>0</c:formatCode>
                <c:ptCount val="6"/>
                <c:pt idx="0">
                  <c:v>0</c:v>
                </c:pt>
                <c:pt idx="1">
                  <c:v>356</c:v>
                </c:pt>
                <c:pt idx="2">
                  <c:v>755</c:v>
                </c:pt>
                <c:pt idx="3">
                  <c:v>1932</c:v>
                </c:pt>
                <c:pt idx="4">
                  <c:v>3837</c:v>
                </c:pt>
                <c:pt idx="5">
                  <c:v>7651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A78A-DA49-B877-C610986241EF}"/>
            </c:ext>
          </c:extLst>
        </c:ser>
        <c:ser>
          <c:idx val="1"/>
          <c:order val="4"/>
          <c:tx>
            <c:v>Cal_3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-0.35843067876009171"/>
                  <c:y val="8.2520292839785833E-2"/>
                </c:manualLayout>
              </c:layout>
              <c:numFmt formatCode="General" sourceLinked="0"/>
              <c:spPr>
                <a:solidFill>
                  <a:schemeClr val="accent2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5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cobalt_Co!$C$14:$C$19</c:f>
              <c:numCache>
                <c:formatCode>0.00</c:formatCode>
                <c:ptCount val="6"/>
                <c:pt idx="0" formatCode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0.05</c:v>
                </c:pt>
                <c:pt idx="4" formatCode="0.0">
                  <c:v>0.1</c:v>
                </c:pt>
                <c:pt idx="5" formatCode="General">
                  <c:v>0.2</c:v>
                </c:pt>
              </c:numCache>
            </c:numRef>
          </c:xVal>
          <c:yVal>
            <c:numRef>
              <c:f>cobalt_Co!$E$14:$E$19</c:f>
              <c:numCache>
                <c:formatCode>0</c:formatCode>
                <c:ptCount val="6"/>
                <c:pt idx="0" formatCode="0.000">
                  <c:v>0</c:v>
                </c:pt>
                <c:pt idx="1">
                  <c:v>342</c:v>
                </c:pt>
                <c:pt idx="2">
                  <c:v>725</c:v>
                </c:pt>
                <c:pt idx="3">
                  <c:v>1822</c:v>
                </c:pt>
                <c:pt idx="4">
                  <c:v>3614</c:v>
                </c:pt>
                <c:pt idx="5">
                  <c:v>7309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A78A-DA49-B877-C610986241EF}"/>
            </c:ext>
          </c:extLst>
        </c:ser>
        <c:ser>
          <c:idx val="2"/>
          <c:order val="5"/>
          <c:tx>
            <c:v>Cal_1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-0.24994966610186384"/>
                  <c:y val="-5.087292633990826E-2"/>
                </c:manualLayout>
              </c:layout>
              <c:numFmt formatCode="General" sourceLinked="0"/>
              <c:spPr>
                <a:solidFill>
                  <a:schemeClr val="bg2">
                    <a:lumMod val="90000"/>
                  </a:schemeClr>
                </a:solidFill>
              </c:spPr>
            </c:trendlineLbl>
          </c:trendline>
          <c:xVal>
            <c:numRef>
              <c:f>cobalt_Co!$C$2:$C$7</c:f>
              <c:numCache>
                <c:formatCode>0.00</c:formatCode>
                <c:ptCount val="6"/>
                <c:pt idx="0" formatCode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0.05</c:v>
                </c:pt>
                <c:pt idx="4" formatCode="0.0">
                  <c:v>0.1</c:v>
                </c:pt>
                <c:pt idx="5" formatCode="General">
                  <c:v>0.2</c:v>
                </c:pt>
              </c:numCache>
            </c:numRef>
          </c:xVal>
          <c:yVal>
            <c:numRef>
              <c:f>cobalt_Co!$E$2:$E$7</c:f>
              <c:numCache>
                <c:formatCode>0</c:formatCode>
                <c:ptCount val="6"/>
                <c:pt idx="0">
                  <c:v>0</c:v>
                </c:pt>
                <c:pt idx="1">
                  <c:v>399</c:v>
                </c:pt>
                <c:pt idx="2">
                  <c:v>835</c:v>
                </c:pt>
                <c:pt idx="3">
                  <c:v>2238.3786675830302</c:v>
                </c:pt>
                <c:pt idx="4">
                  <c:v>4640.6079114773902</c:v>
                </c:pt>
                <c:pt idx="5">
                  <c:v>9376.5744300019305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A78A-DA49-B877-C610986241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6237136"/>
        <c:axId val="486908416"/>
      </c:scatterChart>
      <c:valAx>
        <c:axId val="466237136"/>
        <c:scaling>
          <c:orientation val="minMax"/>
        </c:scaling>
        <c:delete val="0"/>
        <c:axPos val="b"/>
        <c:numFmt formatCode="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6908416"/>
        <c:crosses val="autoZero"/>
        <c:crossBetween val="midCat"/>
      </c:valAx>
      <c:valAx>
        <c:axId val="486908416"/>
        <c:scaling>
          <c:orientation val="minMax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6237136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014737705181975"/>
          <c:y val="4.7327618332621731E-2"/>
          <c:w val="0.82720269565265447"/>
          <c:h val="0.70525842062070365"/>
        </c:manualLayout>
      </c:layout>
      <c:scatterChart>
        <c:scatterStyle val="lineMarker"/>
        <c:varyColors val="0"/>
        <c:ser>
          <c:idx val="0"/>
          <c:order val="0"/>
          <c:spPr>
            <a:ln w="25400">
              <a:noFill/>
            </a:ln>
          </c:spPr>
          <c:trendline>
            <c:spPr>
              <a:ln>
                <a:solidFill>
                  <a:schemeClr val="accent1">
                    <a:lumMod val="75000"/>
                  </a:schemeClr>
                </a:solidFill>
                <a:prstDash val="dash"/>
              </a:ln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-0.14618105060188155"/>
                  <c:y val="-0.16941913469007142"/>
                </c:manualLayout>
              </c:layout>
              <c:numFmt formatCode="General" sourceLinked="0"/>
              <c:spPr>
                <a:solidFill>
                  <a:schemeClr val="accent1">
                    <a:lumMod val="60000"/>
                    <a:lumOff val="40000"/>
                  </a:schemeClr>
                </a:solidFill>
              </c:spPr>
            </c:trendlineLbl>
          </c:trendline>
          <c:xVal>
            <c:numRef>
              <c:f>cobalt_Co!$C$8:$C$12</c:f>
              <c:numCache>
                <c:formatCode>0.00</c:formatCode>
                <c:ptCount val="5"/>
                <c:pt idx="0" formatCode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0.05</c:v>
                </c:pt>
                <c:pt idx="4" formatCode="0.0">
                  <c:v>0.1</c:v>
                </c:pt>
              </c:numCache>
            </c:numRef>
          </c:xVal>
          <c:yVal>
            <c:numRef>
              <c:f>cobalt_Co!$E$8:$E$12</c:f>
              <c:numCache>
                <c:formatCode>0</c:formatCode>
                <c:ptCount val="5"/>
                <c:pt idx="0">
                  <c:v>0</c:v>
                </c:pt>
                <c:pt idx="1">
                  <c:v>356</c:v>
                </c:pt>
                <c:pt idx="2">
                  <c:v>755</c:v>
                </c:pt>
                <c:pt idx="3">
                  <c:v>1932</c:v>
                </c:pt>
                <c:pt idx="4">
                  <c:v>3837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395-1241-99F4-3284E8D68E02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>
                <a:solidFill>
                  <a:schemeClr val="accent2"/>
                </a:solidFill>
                <a:prstDash val="dash"/>
              </a:ln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2.026858001228923E-2"/>
                  <c:y val="-0.25695483854995654"/>
                </c:manualLayout>
              </c:layout>
              <c:numFmt formatCode="General" sourceLinked="0"/>
              <c:spPr>
                <a:solidFill>
                  <a:schemeClr val="accent2"/>
                </a:solidFill>
              </c:spPr>
            </c:trendlineLbl>
          </c:trendline>
          <c:xVal>
            <c:numRef>
              <c:f>cobalt_Co!$C$14:$C$18</c:f>
              <c:numCache>
                <c:formatCode>0.00</c:formatCode>
                <c:ptCount val="5"/>
                <c:pt idx="0" formatCode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0.05</c:v>
                </c:pt>
                <c:pt idx="4" formatCode="0.0">
                  <c:v>0.1</c:v>
                </c:pt>
              </c:numCache>
            </c:numRef>
          </c:xVal>
          <c:yVal>
            <c:numRef>
              <c:f>cobalt_Co!$E$14:$E$18</c:f>
              <c:numCache>
                <c:formatCode>0</c:formatCode>
                <c:ptCount val="5"/>
                <c:pt idx="0" formatCode="0.000">
                  <c:v>0</c:v>
                </c:pt>
                <c:pt idx="1">
                  <c:v>342</c:v>
                </c:pt>
                <c:pt idx="2">
                  <c:v>725</c:v>
                </c:pt>
                <c:pt idx="3">
                  <c:v>1822</c:v>
                </c:pt>
                <c:pt idx="4">
                  <c:v>3614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A395-1241-99F4-3284E8D68E02}"/>
            </c:ext>
          </c:extLst>
        </c:ser>
        <c:ser>
          <c:idx val="2"/>
          <c:order val="2"/>
          <c:spPr>
            <a:ln w="19050">
              <a:noFill/>
            </a:ln>
          </c:spP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-0.47706198467955363"/>
                  <c:y val="-6.0344868547969416E-2"/>
                </c:manualLayout>
              </c:layout>
              <c:numFmt formatCode="General" sourceLinked="0"/>
              <c:spPr>
                <a:solidFill>
                  <a:schemeClr val="bg2">
                    <a:lumMod val="90000"/>
                  </a:schemeClr>
                </a:solidFill>
              </c:spPr>
            </c:trendlineLbl>
          </c:trendline>
          <c:xVal>
            <c:numRef>
              <c:f>cobalt_Co!$C$2:$C$7</c:f>
              <c:numCache>
                <c:formatCode>0.00</c:formatCode>
                <c:ptCount val="6"/>
                <c:pt idx="0" formatCode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0.05</c:v>
                </c:pt>
                <c:pt idx="4" formatCode="0.0">
                  <c:v>0.1</c:v>
                </c:pt>
                <c:pt idx="5" formatCode="General">
                  <c:v>0.2</c:v>
                </c:pt>
              </c:numCache>
            </c:numRef>
          </c:xVal>
          <c:yVal>
            <c:numRef>
              <c:f>cobalt_Co!$E$2:$E$7</c:f>
              <c:numCache>
                <c:formatCode>0</c:formatCode>
                <c:ptCount val="6"/>
                <c:pt idx="0">
                  <c:v>0</c:v>
                </c:pt>
                <c:pt idx="1">
                  <c:v>399</c:v>
                </c:pt>
                <c:pt idx="2">
                  <c:v>835</c:v>
                </c:pt>
                <c:pt idx="3">
                  <c:v>2238.3786675830302</c:v>
                </c:pt>
                <c:pt idx="4">
                  <c:v>4640.6079114773902</c:v>
                </c:pt>
                <c:pt idx="5">
                  <c:v>9376.5744300019305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A395-1241-99F4-3284E8D68E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6237136"/>
        <c:axId val="486908416"/>
      </c:scatterChart>
      <c:valAx>
        <c:axId val="466237136"/>
        <c:scaling>
          <c:orientation val="minMax"/>
        </c:scaling>
        <c:delete val="0"/>
        <c:axPos val="b"/>
        <c:numFmt formatCode="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6908416"/>
        <c:crosses val="autoZero"/>
        <c:crossBetween val="midCat"/>
      </c:valAx>
      <c:valAx>
        <c:axId val="486908416"/>
        <c:scaling>
          <c:orientation val="minMax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6237136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STD1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231198600174978"/>
                  <c:y val="0.12921296296296297"/>
                </c:manualLayout>
              </c:layout>
              <c:numFmt formatCode="General" sourceLinked="0"/>
              <c:spPr>
                <a:solidFill>
                  <a:schemeClr val="accent5">
                    <a:lumMod val="60000"/>
                    <a:lumOff val="4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nickel_Ni!$C$2:$C$7</c:f>
              <c:numCache>
                <c:formatCode>0.00</c:formatCode>
                <c:ptCount val="6"/>
                <c:pt idx="0" formatCode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0.25</c:v>
                </c:pt>
                <c:pt idx="4" formatCode="0.0">
                  <c:v>0.5</c:v>
                </c:pt>
                <c:pt idx="5" formatCode="General">
                  <c:v>1</c:v>
                </c:pt>
              </c:numCache>
            </c:numRef>
          </c:xVal>
          <c:yVal>
            <c:numRef>
              <c:f>nickel_Ni!$E$2:$E$7</c:f>
              <c:numCache>
                <c:formatCode>0</c:formatCode>
                <c:ptCount val="6"/>
                <c:pt idx="0">
                  <c:v>0</c:v>
                </c:pt>
                <c:pt idx="1">
                  <c:v>450.73414939193401</c:v>
                </c:pt>
                <c:pt idx="2">
                  <c:v>913.48535491570703</c:v>
                </c:pt>
                <c:pt idx="3">
                  <c:v>2353</c:v>
                </c:pt>
                <c:pt idx="4">
                  <c:v>4666</c:v>
                </c:pt>
                <c:pt idx="5">
                  <c:v>9402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98A-6C4C-948C-5F5243CF243E}"/>
            </c:ext>
          </c:extLst>
        </c:ser>
        <c:ser>
          <c:idx val="1"/>
          <c:order val="1"/>
          <c:tx>
            <c:v>STD2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0614785651793528"/>
                  <c:y val="-4.3029308836395448E-2"/>
                </c:manualLayout>
              </c:layout>
              <c:numFmt formatCode="General" sourceLinked="0"/>
              <c:spPr>
                <a:solidFill>
                  <a:schemeClr val="accent2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nickel_Ni!$C$8:$C$13</c:f>
              <c:numCache>
                <c:formatCode>0.00</c:formatCode>
                <c:ptCount val="6"/>
                <c:pt idx="0" formatCode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0.25</c:v>
                </c:pt>
                <c:pt idx="4" formatCode="0.0">
                  <c:v>0.5</c:v>
                </c:pt>
                <c:pt idx="5" formatCode="General">
                  <c:v>1</c:v>
                </c:pt>
              </c:numCache>
            </c:numRef>
          </c:xVal>
          <c:yVal>
            <c:numRef>
              <c:f>nickel_Ni!$E$8:$E$13</c:f>
              <c:numCache>
                <c:formatCode>0</c:formatCode>
                <c:ptCount val="6"/>
                <c:pt idx="0">
                  <c:v>0</c:v>
                </c:pt>
                <c:pt idx="1">
                  <c:v>381</c:v>
                </c:pt>
                <c:pt idx="2">
                  <c:v>833</c:v>
                </c:pt>
                <c:pt idx="3">
                  <c:v>2115</c:v>
                </c:pt>
                <c:pt idx="4">
                  <c:v>4082</c:v>
                </c:pt>
                <c:pt idx="5">
                  <c:v>8446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98A-6C4C-948C-5F5243CF243E}"/>
            </c:ext>
          </c:extLst>
        </c:ser>
        <c:ser>
          <c:idx val="2"/>
          <c:order val="2"/>
          <c:tx>
            <c:v>STD3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4107436570428697"/>
                  <c:y val="0.4324857830271216"/>
                </c:manualLayout>
              </c:layout>
              <c:numFmt formatCode="General" sourceLinked="0"/>
              <c:spPr>
                <a:solidFill>
                  <a:schemeClr val="bg2">
                    <a:lumMod val="9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nickel_Ni!$C$14:$C$19</c:f>
              <c:numCache>
                <c:formatCode>0.00</c:formatCode>
                <c:ptCount val="6"/>
                <c:pt idx="0" formatCode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0.25</c:v>
                </c:pt>
                <c:pt idx="4" formatCode="0.0">
                  <c:v>0.5</c:v>
                </c:pt>
                <c:pt idx="5" formatCode="General">
                  <c:v>1</c:v>
                </c:pt>
              </c:numCache>
            </c:numRef>
          </c:xVal>
          <c:yVal>
            <c:numRef>
              <c:f>nickel_Ni!$E$14:$E$19</c:f>
              <c:numCache>
                <c:formatCode>0</c:formatCode>
                <c:ptCount val="6"/>
                <c:pt idx="0">
                  <c:v>0</c:v>
                </c:pt>
                <c:pt idx="1">
                  <c:v>377</c:v>
                </c:pt>
                <c:pt idx="2">
                  <c:v>790</c:v>
                </c:pt>
                <c:pt idx="3">
                  <c:v>2006</c:v>
                </c:pt>
                <c:pt idx="4">
                  <c:v>4013</c:v>
                </c:pt>
                <c:pt idx="5">
                  <c:v>8021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98A-6C4C-948C-5F5243CF24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5385792"/>
        <c:axId val="535256656"/>
      </c:scatterChart>
      <c:valAx>
        <c:axId val="5253857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5256656"/>
        <c:crosses val="autoZero"/>
        <c:crossBetween val="midCat"/>
      </c:valAx>
      <c:valAx>
        <c:axId val="535256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53857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STD1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-0.58065277625585077"/>
                  <c:y val="0.13737304576058426"/>
                </c:manualLayout>
              </c:layout>
              <c:numFmt formatCode="General" sourceLinked="0"/>
              <c:spPr>
                <a:solidFill>
                  <a:schemeClr val="accent5">
                    <a:lumMod val="60000"/>
                    <a:lumOff val="4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nickel_Ni!$C$2:$C$7</c:f>
              <c:numCache>
                <c:formatCode>0.00</c:formatCode>
                <c:ptCount val="6"/>
                <c:pt idx="0" formatCode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0.25</c:v>
                </c:pt>
                <c:pt idx="4" formatCode="0.0">
                  <c:v>0.5</c:v>
                </c:pt>
                <c:pt idx="5" formatCode="General">
                  <c:v>1</c:v>
                </c:pt>
              </c:numCache>
            </c:numRef>
          </c:xVal>
          <c:yVal>
            <c:numRef>
              <c:f>nickel_Ni!$E$2:$E$7</c:f>
              <c:numCache>
                <c:formatCode>0</c:formatCode>
                <c:ptCount val="6"/>
                <c:pt idx="0">
                  <c:v>0</c:v>
                </c:pt>
                <c:pt idx="1">
                  <c:v>450.73414939193401</c:v>
                </c:pt>
                <c:pt idx="2">
                  <c:v>913.48535491570703</c:v>
                </c:pt>
                <c:pt idx="3">
                  <c:v>2353</c:v>
                </c:pt>
                <c:pt idx="4">
                  <c:v>4666</c:v>
                </c:pt>
                <c:pt idx="5">
                  <c:v>9402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42D-3D4E-97CC-83495823EBAC}"/>
            </c:ext>
          </c:extLst>
        </c:ser>
        <c:ser>
          <c:idx val="1"/>
          <c:order val="1"/>
          <c:tx>
            <c:v>STD2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-0.5827998935520734"/>
                  <c:y val="-4.9455951158279131E-2"/>
                </c:manualLayout>
              </c:layout>
              <c:numFmt formatCode="General" sourceLinked="0"/>
              <c:spPr>
                <a:solidFill>
                  <a:schemeClr val="accent2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nickel_Ni!$C$8:$C$13</c:f>
              <c:numCache>
                <c:formatCode>0.00</c:formatCode>
                <c:ptCount val="6"/>
                <c:pt idx="0" formatCode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0.25</c:v>
                </c:pt>
                <c:pt idx="4" formatCode="0.0">
                  <c:v>0.5</c:v>
                </c:pt>
                <c:pt idx="5" formatCode="General">
                  <c:v>1</c:v>
                </c:pt>
              </c:numCache>
            </c:numRef>
          </c:xVal>
          <c:yVal>
            <c:numRef>
              <c:f>nickel_Ni!$E$8:$E$13</c:f>
              <c:numCache>
                <c:formatCode>0</c:formatCode>
                <c:ptCount val="6"/>
                <c:pt idx="0">
                  <c:v>0</c:v>
                </c:pt>
                <c:pt idx="1">
                  <c:v>381</c:v>
                </c:pt>
                <c:pt idx="2">
                  <c:v>833</c:v>
                </c:pt>
                <c:pt idx="3">
                  <c:v>2115</c:v>
                </c:pt>
                <c:pt idx="4">
                  <c:v>4082</c:v>
                </c:pt>
                <c:pt idx="5">
                  <c:v>8446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42D-3D4E-97CC-83495823EBAC}"/>
            </c:ext>
          </c:extLst>
        </c:ser>
        <c:ser>
          <c:idx val="2"/>
          <c:order val="2"/>
          <c:tx>
            <c:v>STD3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-0.58065277625585077"/>
                  <c:y val="0.21866683784092206"/>
                </c:manualLayout>
              </c:layout>
              <c:numFmt formatCode="General" sourceLinked="0"/>
              <c:spPr>
                <a:solidFill>
                  <a:schemeClr val="bg2">
                    <a:lumMod val="9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nickel_Ni!$C$14:$C$19</c:f>
              <c:numCache>
                <c:formatCode>0.00</c:formatCode>
                <c:ptCount val="6"/>
                <c:pt idx="0" formatCode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0.25</c:v>
                </c:pt>
                <c:pt idx="4" formatCode="0.0">
                  <c:v>0.5</c:v>
                </c:pt>
                <c:pt idx="5" formatCode="General">
                  <c:v>1</c:v>
                </c:pt>
              </c:numCache>
            </c:numRef>
          </c:xVal>
          <c:yVal>
            <c:numRef>
              <c:f>nickel_Ni!$E$14:$E$19</c:f>
              <c:numCache>
                <c:formatCode>0</c:formatCode>
                <c:ptCount val="6"/>
                <c:pt idx="0">
                  <c:v>0</c:v>
                </c:pt>
                <c:pt idx="1">
                  <c:v>377</c:v>
                </c:pt>
                <c:pt idx="2">
                  <c:v>790</c:v>
                </c:pt>
                <c:pt idx="3">
                  <c:v>2006</c:v>
                </c:pt>
                <c:pt idx="4">
                  <c:v>4013</c:v>
                </c:pt>
                <c:pt idx="5">
                  <c:v>8021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42D-3D4E-97CC-83495823EB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5385792"/>
        <c:axId val="535256656"/>
      </c:scatterChart>
      <c:valAx>
        <c:axId val="5253857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5256656"/>
        <c:crosses val="autoZero"/>
        <c:crossBetween val="midCat"/>
      </c:valAx>
      <c:valAx>
        <c:axId val="535256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53857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STD1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36688582677165354"/>
                  <c:y val="-3.2407407407407406E-2"/>
                </c:manualLayout>
              </c:layout>
              <c:numFmt formatCode="General" sourceLinked="0"/>
              <c:spPr>
                <a:solidFill>
                  <a:schemeClr val="accent1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zinc_Zn!$C$2:$C$7</c:f>
              <c:numCache>
                <c:formatCode>0.00</c:formatCode>
                <c:ptCount val="6"/>
                <c:pt idx="0" formatCode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5</c:v>
                </c:pt>
                <c:pt idx="4" formatCode="0.0">
                  <c:v>10</c:v>
                </c:pt>
                <c:pt idx="5" formatCode="General">
                  <c:v>20</c:v>
                </c:pt>
              </c:numCache>
            </c:numRef>
          </c:xVal>
          <c:yVal>
            <c:numRef>
              <c:f>zinc_Zn!$E$2:$E$7</c:f>
              <c:numCache>
                <c:formatCode>0</c:formatCode>
                <c:ptCount val="6"/>
                <c:pt idx="0">
                  <c:v>0</c:v>
                </c:pt>
                <c:pt idx="1">
                  <c:v>5236</c:v>
                </c:pt>
                <c:pt idx="2">
                  <c:v>10620</c:v>
                </c:pt>
                <c:pt idx="3">
                  <c:v>26635</c:v>
                </c:pt>
                <c:pt idx="4">
                  <c:v>53489</c:v>
                </c:pt>
                <c:pt idx="5">
                  <c:v>108302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E69-0C4F-876C-564655092281}"/>
            </c:ext>
          </c:extLst>
        </c:ser>
        <c:ser>
          <c:idx val="1"/>
          <c:order val="1"/>
          <c:tx>
            <c:v>STD2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35277471566054242"/>
                  <c:y val="0.1175229658792651"/>
                </c:manualLayout>
              </c:layout>
              <c:numFmt formatCode="General" sourceLinked="0"/>
              <c:spPr>
                <a:solidFill>
                  <a:srgbClr val="FFC000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zinc_Zn!$C$8:$C$13</c:f>
              <c:numCache>
                <c:formatCode>0.00</c:formatCode>
                <c:ptCount val="6"/>
                <c:pt idx="0" formatCode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5</c:v>
                </c:pt>
                <c:pt idx="4" formatCode="0.0">
                  <c:v>10</c:v>
                </c:pt>
                <c:pt idx="5" formatCode="General">
                  <c:v>20</c:v>
                </c:pt>
              </c:numCache>
            </c:numRef>
          </c:xVal>
          <c:yVal>
            <c:numRef>
              <c:f>zinc_Zn!$E$8:$E$13</c:f>
              <c:numCache>
                <c:formatCode>0</c:formatCode>
                <c:ptCount val="6"/>
                <c:pt idx="0">
                  <c:v>0</c:v>
                </c:pt>
                <c:pt idx="1">
                  <c:v>4551</c:v>
                </c:pt>
                <c:pt idx="2">
                  <c:v>9406</c:v>
                </c:pt>
                <c:pt idx="3">
                  <c:v>23871</c:v>
                </c:pt>
                <c:pt idx="4">
                  <c:v>47176</c:v>
                </c:pt>
                <c:pt idx="5">
                  <c:v>96254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E69-0C4F-876C-564655092281}"/>
            </c:ext>
          </c:extLst>
        </c:ser>
        <c:ser>
          <c:idx val="2"/>
          <c:order val="2"/>
          <c:tx>
            <c:v>STD3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8611417322834645"/>
                  <c:y val="0.36578083989501314"/>
                </c:manualLayout>
              </c:layout>
              <c:numFmt formatCode="General" sourceLinked="0"/>
              <c:spPr>
                <a:solidFill>
                  <a:schemeClr val="bg2">
                    <a:lumMod val="9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zinc_Zn!$C$14:$C$19</c:f>
              <c:numCache>
                <c:formatCode>0.00</c:formatCode>
                <c:ptCount val="6"/>
                <c:pt idx="0" formatCode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5</c:v>
                </c:pt>
                <c:pt idx="4" formatCode="0.0">
                  <c:v>10</c:v>
                </c:pt>
                <c:pt idx="5" formatCode="General">
                  <c:v>20</c:v>
                </c:pt>
              </c:numCache>
            </c:numRef>
          </c:xVal>
          <c:yVal>
            <c:numRef>
              <c:f>zinc_Zn!$E$14:$E$19</c:f>
              <c:numCache>
                <c:formatCode>0</c:formatCode>
                <c:ptCount val="6"/>
                <c:pt idx="0">
                  <c:v>0</c:v>
                </c:pt>
                <c:pt idx="1">
                  <c:v>4340</c:v>
                </c:pt>
                <c:pt idx="2">
                  <c:v>8886</c:v>
                </c:pt>
                <c:pt idx="3">
                  <c:v>22833</c:v>
                </c:pt>
                <c:pt idx="4">
                  <c:v>44732</c:v>
                </c:pt>
                <c:pt idx="5">
                  <c:v>90306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E69-0C4F-876C-5646550922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1514128"/>
        <c:axId val="490064496"/>
      </c:scatterChart>
      <c:valAx>
        <c:axId val="561514128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0064496"/>
        <c:crosses val="autoZero"/>
        <c:crossBetween val="midCat"/>
      </c:valAx>
      <c:valAx>
        <c:axId val="490064496"/>
        <c:scaling>
          <c:orientation val="minMax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151412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STD1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-0.47092738407699036"/>
                  <c:y val="-3.2407407407407406E-2"/>
                </c:manualLayout>
              </c:layout>
              <c:numFmt formatCode="General" sourceLinked="0"/>
              <c:spPr>
                <a:solidFill>
                  <a:schemeClr val="accent1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zinc_Zn!$C$2:$C$7</c:f>
              <c:numCache>
                <c:formatCode>0.00</c:formatCode>
                <c:ptCount val="6"/>
                <c:pt idx="0" formatCode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5</c:v>
                </c:pt>
                <c:pt idx="4" formatCode="0.0">
                  <c:v>10</c:v>
                </c:pt>
                <c:pt idx="5" formatCode="General">
                  <c:v>20</c:v>
                </c:pt>
              </c:numCache>
            </c:numRef>
          </c:xVal>
          <c:yVal>
            <c:numRef>
              <c:f>zinc_Zn!$E$2:$E$7</c:f>
              <c:numCache>
                <c:formatCode>0</c:formatCode>
                <c:ptCount val="6"/>
                <c:pt idx="0">
                  <c:v>0</c:v>
                </c:pt>
                <c:pt idx="1">
                  <c:v>5236</c:v>
                </c:pt>
                <c:pt idx="2">
                  <c:v>10620</c:v>
                </c:pt>
                <c:pt idx="3">
                  <c:v>26635</c:v>
                </c:pt>
                <c:pt idx="4">
                  <c:v>53489</c:v>
                </c:pt>
                <c:pt idx="5">
                  <c:v>108302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92E-8D47-8B25-CA61876888FA}"/>
            </c:ext>
          </c:extLst>
        </c:ser>
        <c:ser>
          <c:idx val="1"/>
          <c:order val="1"/>
          <c:tx>
            <c:v>STD2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-0.4681496062992126"/>
                  <c:y val="0.12159047827354914"/>
                </c:manualLayout>
              </c:layout>
              <c:numFmt formatCode="General" sourceLinked="0"/>
              <c:spPr>
                <a:solidFill>
                  <a:srgbClr val="FFC000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zinc_Zn!$C$8:$C$13</c:f>
              <c:numCache>
                <c:formatCode>0.00</c:formatCode>
                <c:ptCount val="6"/>
                <c:pt idx="0" formatCode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5</c:v>
                </c:pt>
                <c:pt idx="4" formatCode="0.0">
                  <c:v>10</c:v>
                </c:pt>
                <c:pt idx="5" formatCode="General">
                  <c:v>20</c:v>
                </c:pt>
              </c:numCache>
            </c:numRef>
          </c:xVal>
          <c:yVal>
            <c:numRef>
              <c:f>zinc_Zn!$E$8:$E$13</c:f>
              <c:numCache>
                <c:formatCode>0</c:formatCode>
                <c:ptCount val="6"/>
                <c:pt idx="0">
                  <c:v>0</c:v>
                </c:pt>
                <c:pt idx="1">
                  <c:v>4551</c:v>
                </c:pt>
                <c:pt idx="2">
                  <c:v>9406</c:v>
                </c:pt>
                <c:pt idx="3">
                  <c:v>23871</c:v>
                </c:pt>
                <c:pt idx="4">
                  <c:v>47176</c:v>
                </c:pt>
                <c:pt idx="5">
                  <c:v>96254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92E-8D47-8B25-CA61876888FA}"/>
            </c:ext>
          </c:extLst>
        </c:ser>
        <c:ser>
          <c:idx val="2"/>
          <c:order val="2"/>
          <c:tx>
            <c:v>STD3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0.18611417322834645"/>
                  <c:y val="0.36578083989501314"/>
                </c:manualLayout>
              </c:layout>
              <c:numFmt formatCode="General" sourceLinked="0"/>
              <c:spPr>
                <a:solidFill>
                  <a:schemeClr val="bg2">
                    <a:lumMod val="9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zinc_Zn!$C$14:$C$19</c:f>
              <c:numCache>
                <c:formatCode>0.00</c:formatCode>
                <c:ptCount val="6"/>
                <c:pt idx="0" formatCode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5</c:v>
                </c:pt>
                <c:pt idx="4" formatCode="0.0">
                  <c:v>10</c:v>
                </c:pt>
                <c:pt idx="5" formatCode="General">
                  <c:v>20</c:v>
                </c:pt>
              </c:numCache>
            </c:numRef>
          </c:xVal>
          <c:yVal>
            <c:numRef>
              <c:f>zinc_Zn!$E$14:$E$19</c:f>
              <c:numCache>
                <c:formatCode>0</c:formatCode>
                <c:ptCount val="6"/>
                <c:pt idx="0">
                  <c:v>0</c:v>
                </c:pt>
                <c:pt idx="1">
                  <c:v>4340</c:v>
                </c:pt>
                <c:pt idx="2">
                  <c:v>8886</c:v>
                </c:pt>
                <c:pt idx="3">
                  <c:v>22833</c:v>
                </c:pt>
                <c:pt idx="4">
                  <c:v>44732</c:v>
                </c:pt>
                <c:pt idx="5">
                  <c:v>90306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92E-8D47-8B25-CA61876888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1514128"/>
        <c:axId val="490064496"/>
      </c:scatterChart>
      <c:valAx>
        <c:axId val="561514128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0064496"/>
        <c:crosses val="autoZero"/>
        <c:crossBetween val="midCat"/>
      </c:valAx>
      <c:valAx>
        <c:axId val="490064496"/>
        <c:scaling>
          <c:orientation val="minMax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151412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X Variable 1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molybdenum_Mo!$C$21:$C$25</c:f>
              <c:numCache>
                <c:formatCode>General</c:formatCode>
                <c:ptCount val="5"/>
                <c:pt idx="0">
                  <c:v>0.5</c:v>
                </c:pt>
                <c:pt idx="1">
                  <c:v>1</c:v>
                </c:pt>
                <c:pt idx="2">
                  <c:v>2.5</c:v>
                </c:pt>
                <c:pt idx="3">
                  <c:v>5</c:v>
                </c:pt>
                <c:pt idx="4">
                  <c:v>10</c:v>
                </c:pt>
              </c:numCache>
            </c:numRef>
          </c:xVal>
          <c:yVal>
            <c:numRef>
              <c:f>molybdenum_Mo!$AA$22:$AA$25</c:f>
              <c:numCache>
                <c:formatCode>General</c:formatCode>
                <c:ptCount val="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F1D-374B-A5CD-29C04B7E4C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436128"/>
        <c:axId val="96437776"/>
      </c:scatterChart>
      <c:valAx>
        <c:axId val="964361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 Variable 1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96437776"/>
        <c:crosses val="autoZero"/>
        <c:crossBetween val="midCat"/>
      </c:valAx>
      <c:valAx>
        <c:axId val="964377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96436128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X Variable 1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Y</c:v>
          </c:tx>
          <c:spPr>
            <a:ln w="19050">
              <a:noFill/>
            </a:ln>
          </c:spPr>
          <c:xVal>
            <c:numRef>
              <c:f>molybdenum_Mo!$C$21:$C$25</c:f>
              <c:numCache>
                <c:formatCode>General</c:formatCode>
                <c:ptCount val="5"/>
                <c:pt idx="0">
                  <c:v>0.5</c:v>
                </c:pt>
                <c:pt idx="1">
                  <c:v>1</c:v>
                </c:pt>
                <c:pt idx="2">
                  <c:v>2.5</c:v>
                </c:pt>
                <c:pt idx="3">
                  <c:v>5</c:v>
                </c:pt>
                <c:pt idx="4">
                  <c:v>10</c:v>
                </c:pt>
              </c:numCache>
            </c:numRef>
          </c:xVal>
          <c:yVal>
            <c:numRef>
              <c:f>molybdenum_Mo!$E$21:$E$25</c:f>
              <c:numCache>
                <c:formatCode>0</c:formatCode>
                <c:ptCount val="5"/>
                <c:pt idx="0">
                  <c:v>6159.1653919296405</c:v>
                </c:pt>
                <c:pt idx="1">
                  <c:v>12055.348530807159</c:v>
                </c:pt>
                <c:pt idx="2">
                  <c:v>29810.05400247706</c:v>
                </c:pt>
                <c:pt idx="3">
                  <c:v>57468.312284167558</c:v>
                </c:pt>
                <c:pt idx="4">
                  <c:v>112144.51076961355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E8A-7444-9190-74B752D6E15B}"/>
            </c:ext>
          </c:extLst>
        </c:ser>
        <c:ser>
          <c:idx val="1"/>
          <c:order val="1"/>
          <c:tx>
            <c:v>Predicted Y</c:v>
          </c:tx>
          <c:spPr>
            <a:ln w="19050">
              <a:noFill/>
            </a:ln>
          </c:spPr>
          <c:xVal>
            <c:numRef>
              <c:f>molybdenum_Mo!$C$21:$C$25</c:f>
              <c:numCache>
                <c:formatCode>General</c:formatCode>
                <c:ptCount val="5"/>
                <c:pt idx="0">
                  <c:v>0.5</c:v>
                </c:pt>
                <c:pt idx="1">
                  <c:v>1</c:v>
                </c:pt>
                <c:pt idx="2">
                  <c:v>2.5</c:v>
                </c:pt>
                <c:pt idx="3">
                  <c:v>5</c:v>
                </c:pt>
                <c:pt idx="4">
                  <c:v>10</c:v>
                </c:pt>
              </c:numCache>
            </c:numRef>
          </c:xVal>
          <c:yVal>
            <c:numRef>
              <c:f>molybdenum_Mo!$Z$22:$Z$25</c:f>
              <c:numCache>
                <c:formatCode>General</c:formatCode>
                <c:ptCount val="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E8A-7444-9190-74B752D6E1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3169360"/>
        <c:axId val="573170176"/>
      </c:scatterChart>
      <c:valAx>
        <c:axId val="5731693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 Variable 1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73170176"/>
        <c:crosses val="autoZero"/>
        <c:crossBetween val="midCat"/>
      </c:valAx>
      <c:valAx>
        <c:axId val="5731701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</a:t>
                </a:r>
              </a:p>
            </c:rich>
          </c:tx>
          <c:overlay val="0"/>
        </c:title>
        <c:numFmt formatCode="0" sourceLinked="1"/>
        <c:majorTickMark val="out"/>
        <c:minorTickMark val="none"/>
        <c:tickLblPos val="nextTo"/>
        <c:crossAx val="573169360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tif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828644</xdr:colOff>
      <xdr:row>9</xdr:row>
      <xdr:rowOff>183214</xdr:rowOff>
    </xdr:from>
    <xdr:to>
      <xdr:col>31</xdr:col>
      <xdr:colOff>813343</xdr:colOff>
      <xdr:row>19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D653493-82DD-BA42-A344-B68A778706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27</xdr:col>
      <xdr:colOff>84667</xdr:colOff>
      <xdr:row>0</xdr:row>
      <xdr:rowOff>68734</xdr:rowOff>
    </xdr:from>
    <xdr:to>
      <xdr:col>31</xdr:col>
      <xdr:colOff>778934</xdr:colOff>
      <xdr:row>9</xdr:row>
      <xdr:rowOff>33867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7DBFA82-13FE-3D48-B116-CF71786A65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26</xdr:col>
      <xdr:colOff>825498</xdr:colOff>
      <xdr:row>19</xdr:row>
      <xdr:rowOff>194734</xdr:rowOff>
    </xdr:from>
    <xdr:to>
      <xdr:col>32</xdr:col>
      <xdr:colOff>8465</xdr:colOff>
      <xdr:row>29</xdr:row>
      <xdr:rowOff>101600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898EEC17-EB86-AC44-9D16-D21DB1530A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44</xdr:col>
      <xdr:colOff>0</xdr:colOff>
      <xdr:row>6</xdr:row>
      <xdr:rowOff>0</xdr:rowOff>
    </xdr:from>
    <xdr:to>
      <xdr:col>52</xdr:col>
      <xdr:colOff>780247</xdr:colOff>
      <xdr:row>39</xdr:row>
      <xdr:rowOff>18626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7C68DA53-BF90-9B45-A022-28C0AB8732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4577867" y="1566333"/>
          <a:ext cx="7418114" cy="596222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812800</xdr:colOff>
      <xdr:row>0</xdr:row>
      <xdr:rowOff>0</xdr:rowOff>
    </xdr:from>
    <xdr:to>
      <xdr:col>35</xdr:col>
      <xdr:colOff>812800</xdr:colOff>
      <xdr:row>17</xdr:row>
      <xdr:rowOff>88900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89912D-DEB4-D74A-92D1-C728906FC6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28</xdr:col>
      <xdr:colOff>0</xdr:colOff>
      <xdr:row>17</xdr:row>
      <xdr:rowOff>88900</xdr:rowOff>
    </xdr:from>
    <xdr:to>
      <xdr:col>35</xdr:col>
      <xdr:colOff>609600</xdr:colOff>
      <xdr:row>37</xdr:row>
      <xdr:rowOff>38100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C31DC6C6-6965-CE4B-A78A-8AE8C7CDE2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768205</xdr:colOff>
      <xdr:row>0</xdr:row>
      <xdr:rowOff>426564</xdr:rowOff>
    </xdr:from>
    <xdr:to>
      <xdr:col>36</xdr:col>
      <xdr:colOff>475040</xdr:colOff>
      <xdr:row>10</xdr:row>
      <xdr:rowOff>52158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2826A0E5-1A1B-E34B-AED3-17BF3AC047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30</xdr:col>
      <xdr:colOff>698014</xdr:colOff>
      <xdr:row>10</xdr:row>
      <xdr:rowOff>184198</xdr:rowOff>
    </xdr:from>
    <xdr:to>
      <xdr:col>36</xdr:col>
      <xdr:colOff>531751</xdr:colOff>
      <xdr:row>22</xdr:row>
      <xdr:rowOff>18709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8AF6EFC0-F748-334A-9F90-9B92ED71BF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228600</xdr:colOff>
      <xdr:row>8</xdr:row>
      <xdr:rowOff>203200</xdr:rowOff>
    </xdr:from>
    <xdr:to>
      <xdr:col>39</xdr:col>
      <xdr:colOff>228600</xdr:colOff>
      <xdr:row>19</xdr:row>
      <xdr:rowOff>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2FB6D68C-C0B1-A745-A997-7E5D3DCF77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33</xdr:col>
      <xdr:colOff>25400</xdr:colOff>
      <xdr:row>0</xdr:row>
      <xdr:rowOff>25400</xdr:rowOff>
    </xdr:from>
    <xdr:to>
      <xdr:col>39</xdr:col>
      <xdr:colOff>25400</xdr:colOff>
      <xdr:row>8</xdr:row>
      <xdr:rowOff>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83E29E41-7876-EE4F-B3A2-629027CAEE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kathrin/Downloads/CalibrationLinearWeighted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</sheetNames>
    <sheetDataSet>
      <sheetData sheetId="0"/>
      <sheetData sheetId="1">
        <row r="9">
          <cell r="N9">
            <v>35735.252138920077</v>
          </cell>
        </row>
        <row r="10">
          <cell r="N10">
            <v>-0.59455423252526174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677BD1-F457-EC47-B96B-4961B01729B6}">
  <dimension ref="A1:B22"/>
  <sheetViews>
    <sheetView workbookViewId="0">
      <selection activeCell="F35" sqref="F35"/>
    </sheetView>
  </sheetViews>
  <sheetFormatPr baseColWidth="10" defaultRowHeight="16" x14ac:dyDescent="0.2"/>
  <cols>
    <col min="2" max="2" width="20.1640625" customWidth="1"/>
  </cols>
  <sheetData>
    <row r="1" spans="1:2" x14ac:dyDescent="0.2">
      <c r="A1" t="s">
        <v>278</v>
      </c>
    </row>
    <row r="3" spans="1:2" x14ac:dyDescent="0.2">
      <c r="A3" t="s">
        <v>279</v>
      </c>
      <c r="B3" t="s">
        <v>280</v>
      </c>
    </row>
    <row r="4" spans="1:2" x14ac:dyDescent="0.2">
      <c r="A4" t="s">
        <v>281</v>
      </c>
      <c r="B4" t="s">
        <v>282</v>
      </c>
    </row>
    <row r="6" spans="1:2" x14ac:dyDescent="0.2">
      <c r="A6" s="374" t="s">
        <v>283</v>
      </c>
    </row>
    <row r="7" spans="1:2" x14ac:dyDescent="0.2">
      <c r="A7" s="375" t="s">
        <v>284</v>
      </c>
    </row>
    <row r="8" spans="1:2" x14ac:dyDescent="0.2">
      <c r="A8" s="375" t="s">
        <v>285</v>
      </c>
    </row>
    <row r="9" spans="1:2" x14ac:dyDescent="0.2">
      <c r="A9" s="375" t="s">
        <v>286</v>
      </c>
    </row>
    <row r="12" spans="1:2" x14ac:dyDescent="0.2">
      <c r="A12" s="375" t="s">
        <v>287</v>
      </c>
    </row>
    <row r="13" spans="1:2" x14ac:dyDescent="0.2">
      <c r="A13" s="376" t="s">
        <v>288</v>
      </c>
    </row>
    <row r="16" spans="1:2" x14ac:dyDescent="0.2">
      <c r="A16" t="s">
        <v>289</v>
      </c>
    </row>
    <row r="17" spans="1:1" x14ac:dyDescent="0.2">
      <c r="A17" s="377"/>
    </row>
    <row r="18" spans="1:1" x14ac:dyDescent="0.2">
      <c r="A18" s="378" t="s">
        <v>290</v>
      </c>
    </row>
    <row r="19" spans="1:1" x14ac:dyDescent="0.2">
      <c r="A19" s="379"/>
    </row>
    <row r="20" spans="1:1" x14ac:dyDescent="0.2">
      <c r="A20" s="378" t="s">
        <v>291</v>
      </c>
    </row>
    <row r="21" spans="1:1" x14ac:dyDescent="0.2">
      <c r="A21" s="379"/>
    </row>
    <row r="22" spans="1:1" x14ac:dyDescent="0.2">
      <c r="A22" s="378" t="s">
        <v>292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951840-F480-BD46-B894-BC12FCE1FDC4}">
  <dimension ref="A1:AF64"/>
  <sheetViews>
    <sheetView zoomScale="150" zoomScaleNormal="85" workbookViewId="0">
      <selection activeCell="E35" sqref="E35"/>
    </sheetView>
  </sheetViews>
  <sheetFormatPr baseColWidth="10" defaultRowHeight="16" x14ac:dyDescent="0.2"/>
  <cols>
    <col min="2" max="2" width="8.5" customWidth="1"/>
    <col min="3" max="3" width="9.33203125" customWidth="1"/>
    <col min="4" max="4" width="7.5" customWidth="1"/>
    <col min="5" max="5" width="9.1640625" customWidth="1"/>
    <col min="6" max="6" width="20.33203125" customWidth="1"/>
    <col min="7" max="7" width="11.5" customWidth="1"/>
    <col min="8" max="8" width="9.1640625" customWidth="1"/>
    <col min="9" max="9" width="9" customWidth="1"/>
    <col min="10" max="10" width="9.6640625" customWidth="1"/>
    <col min="11" max="11" width="8.5" customWidth="1"/>
    <col min="12" max="12" width="8.83203125" customWidth="1"/>
    <col min="13" max="13" width="12.83203125" customWidth="1"/>
    <col min="14" max="14" width="8.83203125" customWidth="1"/>
    <col min="15" max="15" width="9.33203125" customWidth="1"/>
    <col min="16" max="16" width="6.6640625" customWidth="1"/>
    <col min="17" max="17" width="6.5" customWidth="1"/>
    <col min="18" max="18" width="7.33203125" customWidth="1"/>
    <col min="19" max="19" width="7" customWidth="1"/>
    <col min="20" max="20" width="10.1640625" customWidth="1"/>
    <col min="21" max="21" width="10.5" customWidth="1"/>
    <col min="22" max="22" width="11.6640625" customWidth="1"/>
    <col min="23" max="23" width="11" customWidth="1"/>
  </cols>
  <sheetData>
    <row r="1" spans="1:32" s="2" customFormat="1" ht="32" customHeight="1" x14ac:dyDescent="0.2">
      <c r="A1" s="119" t="s">
        <v>2</v>
      </c>
      <c r="B1" s="120" t="s">
        <v>3</v>
      </c>
      <c r="C1" s="120" t="s">
        <v>4</v>
      </c>
      <c r="D1" s="120" t="s">
        <v>0</v>
      </c>
      <c r="E1" s="120" t="s">
        <v>5</v>
      </c>
      <c r="F1" s="130" t="s">
        <v>50</v>
      </c>
      <c r="G1" s="132"/>
      <c r="H1" s="128" t="s">
        <v>57</v>
      </c>
      <c r="I1" s="128"/>
      <c r="J1" s="128"/>
      <c r="K1" s="128"/>
      <c r="L1" s="128"/>
      <c r="M1" s="128"/>
      <c r="N1" s="128"/>
      <c r="O1" s="128"/>
      <c r="P1" s="128"/>
      <c r="Q1" s="128"/>
      <c r="R1" s="128"/>
      <c r="S1" s="128"/>
      <c r="T1" s="128"/>
      <c r="U1" s="128"/>
      <c r="V1" s="128"/>
      <c r="W1" s="128"/>
      <c r="X1" s="128"/>
      <c r="Y1" s="128"/>
      <c r="Z1"/>
      <c r="AA1"/>
      <c r="AB1"/>
      <c r="AC1"/>
      <c r="AD1"/>
      <c r="AE1"/>
      <c r="AF1"/>
    </row>
    <row r="2" spans="1:32" s="106" customFormat="1" ht="14" x14ac:dyDescent="0.2">
      <c r="A2" s="157">
        <v>43838</v>
      </c>
      <c r="B2" s="111">
        <v>1</v>
      </c>
      <c r="C2" s="111">
        <v>0</v>
      </c>
      <c r="D2" s="112">
        <v>66</v>
      </c>
      <c r="E2" s="111">
        <f>D2-$D$2</f>
        <v>0</v>
      </c>
      <c r="F2" s="187" t="s">
        <v>51</v>
      </c>
      <c r="G2" s="188"/>
      <c r="H2" s="183"/>
      <c r="I2" s="183" t="s">
        <v>62</v>
      </c>
      <c r="J2" s="183" t="s">
        <v>63</v>
      </c>
      <c r="K2" s="183" t="s">
        <v>64</v>
      </c>
      <c r="L2" s="183" t="s">
        <v>65</v>
      </c>
      <c r="M2" s="183" t="s">
        <v>66</v>
      </c>
      <c r="N2" s="183"/>
      <c r="O2" s="183" t="s">
        <v>67</v>
      </c>
      <c r="P2" s="183" t="s">
        <v>270</v>
      </c>
      <c r="Q2" s="183" t="s">
        <v>271</v>
      </c>
      <c r="R2" s="183" t="s">
        <v>68</v>
      </c>
      <c r="S2" s="183" t="s">
        <v>69</v>
      </c>
      <c r="T2" s="183" t="s">
        <v>70</v>
      </c>
      <c r="U2" s="183" t="s">
        <v>71</v>
      </c>
      <c r="V2" s="183" t="s">
        <v>72</v>
      </c>
      <c r="W2" s="183" t="s">
        <v>73</v>
      </c>
      <c r="X2" s="178" t="s">
        <v>272</v>
      </c>
      <c r="Y2" s="178" t="s">
        <v>273</v>
      </c>
      <c r="Z2" s="189"/>
      <c r="AA2" s="189"/>
      <c r="AB2" s="189"/>
      <c r="AC2" s="189"/>
      <c r="AD2" s="189"/>
      <c r="AE2" s="189"/>
      <c r="AF2" s="189"/>
    </row>
    <row r="3" spans="1:32" s="106" customFormat="1" ht="14" x14ac:dyDescent="0.2">
      <c r="A3" s="157">
        <v>43838</v>
      </c>
      <c r="B3" s="111">
        <v>1</v>
      </c>
      <c r="C3" s="113">
        <v>0.01</v>
      </c>
      <c r="D3" s="111">
        <v>465</v>
      </c>
      <c r="E3" s="111">
        <f>D3-$D$2</f>
        <v>399</v>
      </c>
      <c r="F3" s="190" t="s">
        <v>52</v>
      </c>
      <c r="G3" s="205">
        <v>0.99998419217446355</v>
      </c>
      <c r="H3" s="149" t="s">
        <v>58</v>
      </c>
      <c r="I3" s="149">
        <v>1</v>
      </c>
      <c r="J3" s="149">
        <v>35458641.725373134</v>
      </c>
      <c r="K3" s="149">
        <v>35458641.725373134</v>
      </c>
      <c r="L3" s="191">
        <v>94887.461215252406</v>
      </c>
      <c r="M3" s="149">
        <v>7.5446835531226134E-8</v>
      </c>
      <c r="N3" s="149" t="s">
        <v>61</v>
      </c>
      <c r="O3" s="192">
        <v>-71.83966216255476</v>
      </c>
      <c r="P3" s="192">
        <v>22.670617299294364</v>
      </c>
      <c r="Q3" s="192">
        <f>P3*SQRT(G7)</f>
        <v>50.693041373104897</v>
      </c>
      <c r="R3" s="192">
        <v>-3.1688445539059411</v>
      </c>
      <c r="S3" s="192">
        <v>5.0525607334026883E-2</v>
      </c>
      <c r="T3" s="192">
        <v>-143.98768442519503</v>
      </c>
      <c r="U3" s="192">
        <v>0.3083601000855225</v>
      </c>
      <c r="V3" s="192">
        <v>-143.98768442519503</v>
      </c>
      <c r="W3" s="192">
        <v>0.3083601000855225</v>
      </c>
      <c r="X3" s="337">
        <f>3.3*Q3/O4</f>
        <v>3.5456048280971247E-3</v>
      </c>
      <c r="Y3" s="162">
        <f>10*Q3/O4</f>
        <v>1.0744257054839773E-2</v>
      </c>
      <c r="Z3" s="189"/>
      <c r="AA3" s="189"/>
      <c r="AB3" s="189"/>
      <c r="AC3" s="189"/>
      <c r="AD3" s="189"/>
      <c r="AE3" s="189"/>
      <c r="AF3" s="189"/>
    </row>
    <row r="4" spans="1:32" s="106" customFormat="1" ht="14" x14ac:dyDescent="0.2">
      <c r="A4" s="157">
        <v>43838</v>
      </c>
      <c r="B4" s="111">
        <v>1</v>
      </c>
      <c r="C4" s="113">
        <v>0.02</v>
      </c>
      <c r="D4" s="111">
        <v>901</v>
      </c>
      <c r="E4" s="111">
        <f t="shared" ref="E4:E7" si="0">D4-$D$2</f>
        <v>835</v>
      </c>
      <c r="F4" s="190" t="s">
        <v>53</v>
      </c>
      <c r="G4" s="205">
        <v>0.99996838459881454</v>
      </c>
      <c r="H4" s="149" t="s">
        <v>59</v>
      </c>
      <c r="I4" s="149">
        <v>3</v>
      </c>
      <c r="J4" s="149">
        <v>1121.0746268656656</v>
      </c>
      <c r="K4" s="149">
        <v>373.69154228855518</v>
      </c>
      <c r="L4" s="149"/>
      <c r="M4" s="149"/>
      <c r="N4" s="149" t="s">
        <v>74</v>
      </c>
      <c r="O4" s="192">
        <v>47181.5232215336</v>
      </c>
      <c r="P4" s="192">
        <v>220.19650073716636</v>
      </c>
      <c r="Q4" s="192"/>
      <c r="R4" s="192">
        <v>214.27008632553606</v>
      </c>
      <c r="S4" s="192">
        <v>2.2415687304742659E-7</v>
      </c>
      <c r="T4" s="192">
        <v>46480.759681326206</v>
      </c>
      <c r="U4" s="192">
        <v>47882.286761740994</v>
      </c>
      <c r="V4" s="192">
        <v>46480.759681326206</v>
      </c>
      <c r="W4" s="192">
        <v>47882.286761740994</v>
      </c>
      <c r="X4" s="193"/>
      <c r="Y4" s="193"/>
      <c r="Z4" s="189"/>
      <c r="AA4" s="189"/>
      <c r="AB4" s="189"/>
      <c r="AC4" s="189"/>
      <c r="AD4" s="189"/>
      <c r="AE4" s="189"/>
      <c r="AF4" s="189"/>
    </row>
    <row r="5" spans="1:32" s="106" customFormat="1" ht="14" x14ac:dyDescent="0.2">
      <c r="A5" s="157">
        <v>43838</v>
      </c>
      <c r="B5" s="111">
        <v>1</v>
      </c>
      <c r="C5" s="113">
        <v>0.05</v>
      </c>
      <c r="D5" s="111">
        <v>2304.3786675830302</v>
      </c>
      <c r="E5" s="111">
        <f t="shared" si="0"/>
        <v>2238.3786675830302</v>
      </c>
      <c r="F5" s="190" t="s">
        <v>54</v>
      </c>
      <c r="G5" s="205">
        <v>0.99995784613175276</v>
      </c>
      <c r="H5" s="149" t="s">
        <v>60</v>
      </c>
      <c r="I5" s="149">
        <v>4</v>
      </c>
      <c r="J5" s="149">
        <v>35459762.799999997</v>
      </c>
      <c r="K5" s="149"/>
      <c r="L5" s="149"/>
      <c r="M5" s="149"/>
      <c r="N5" s="194"/>
      <c r="O5" s="195"/>
      <c r="P5" s="195"/>
      <c r="Q5" s="195"/>
      <c r="R5" s="195"/>
      <c r="S5" s="195"/>
      <c r="T5" s="195"/>
      <c r="U5" s="195"/>
      <c r="V5" s="195"/>
      <c r="W5" s="195"/>
      <c r="X5" s="193"/>
      <c r="Y5" s="193"/>
      <c r="Z5" s="189"/>
      <c r="AA5" s="189"/>
      <c r="AB5" s="189"/>
      <c r="AC5" s="189"/>
      <c r="AD5" s="189"/>
      <c r="AE5" s="189"/>
      <c r="AF5" s="189"/>
    </row>
    <row r="6" spans="1:32" s="106" customFormat="1" ht="14" x14ac:dyDescent="0.2">
      <c r="A6" s="157">
        <v>43838</v>
      </c>
      <c r="B6" s="111">
        <v>1</v>
      </c>
      <c r="C6" s="114">
        <v>0.1</v>
      </c>
      <c r="D6" s="111">
        <v>4706.6079114773902</v>
      </c>
      <c r="E6" s="111">
        <f t="shared" si="0"/>
        <v>4640.6079114773902</v>
      </c>
      <c r="F6" s="190" t="s">
        <v>55</v>
      </c>
      <c r="G6" s="205">
        <v>19.33110297651314</v>
      </c>
      <c r="I6" s="194"/>
      <c r="J6" s="194"/>
      <c r="K6" s="194"/>
      <c r="L6" s="194"/>
      <c r="M6" s="194"/>
      <c r="N6" s="194"/>
      <c r="O6" s="195"/>
      <c r="P6" s="195"/>
      <c r="Q6" s="195"/>
      <c r="R6" s="195"/>
      <c r="S6" s="195"/>
      <c r="T6" s="195"/>
      <c r="U6" s="195"/>
      <c r="V6" s="195"/>
      <c r="W6" s="195"/>
      <c r="X6" s="193"/>
      <c r="Y6" s="193"/>
      <c r="Z6" s="189"/>
      <c r="AA6" s="189"/>
      <c r="AB6" s="189"/>
      <c r="AC6" s="189"/>
      <c r="AD6" s="189"/>
      <c r="AE6" s="189"/>
      <c r="AF6" s="189"/>
    </row>
    <row r="7" spans="1:32" s="189" customFormat="1" ht="14" x14ac:dyDescent="0.2">
      <c r="A7" s="169">
        <v>43838</v>
      </c>
      <c r="B7" s="129">
        <v>1</v>
      </c>
      <c r="C7" s="125">
        <v>0.2</v>
      </c>
      <c r="D7" s="129">
        <v>9442.5744300019305</v>
      </c>
      <c r="E7" s="129">
        <f t="shared" si="0"/>
        <v>9376.5744300019305</v>
      </c>
      <c r="F7" s="196" t="s">
        <v>56</v>
      </c>
      <c r="G7" s="206">
        <v>5</v>
      </c>
      <c r="H7" s="197"/>
      <c r="I7" s="197"/>
      <c r="J7" s="197"/>
      <c r="K7" s="197"/>
      <c r="L7" s="197"/>
      <c r="M7" s="197"/>
      <c r="N7" s="197"/>
      <c r="O7" s="198"/>
      <c r="P7" s="198"/>
      <c r="Q7" s="198"/>
      <c r="R7" s="198"/>
      <c r="S7" s="198"/>
      <c r="T7" s="198"/>
      <c r="U7" s="198"/>
      <c r="V7" s="198"/>
      <c r="W7" s="198"/>
      <c r="X7" s="199"/>
      <c r="Y7" s="199"/>
    </row>
    <row r="8" spans="1:32" s="189" customFormat="1" ht="14" x14ac:dyDescent="0.2">
      <c r="A8" s="157">
        <v>43838</v>
      </c>
      <c r="B8" s="111">
        <v>2</v>
      </c>
      <c r="C8" s="111">
        <v>0</v>
      </c>
      <c r="D8" s="112">
        <v>56</v>
      </c>
      <c r="E8" s="158">
        <f t="shared" ref="E8:E13" si="1">D8-$D$8</f>
        <v>0</v>
      </c>
      <c r="F8" s="187" t="s">
        <v>51</v>
      </c>
      <c r="G8" s="207"/>
      <c r="H8" s="149" t="s">
        <v>58</v>
      </c>
      <c r="I8" s="149">
        <v>1</v>
      </c>
      <c r="J8" s="149">
        <v>53693438.740119264</v>
      </c>
      <c r="K8" s="149">
        <v>53693438.740119264</v>
      </c>
      <c r="L8" s="192">
        <v>45911.669893952683</v>
      </c>
      <c r="M8" s="149">
        <v>2.2415687304742659E-7</v>
      </c>
      <c r="N8" s="149" t="s">
        <v>61</v>
      </c>
      <c r="O8" s="192">
        <v>-7.7761194029844773</v>
      </c>
      <c r="P8" s="192">
        <v>12.815068006221871</v>
      </c>
      <c r="Q8" s="192">
        <f>P8*SQRT(G13)</f>
        <v>28.655363198194802</v>
      </c>
      <c r="R8" s="192">
        <v>-0.60679501655465873</v>
      </c>
      <c r="S8" s="192">
        <v>0.58682885964289422</v>
      </c>
      <c r="T8" s="192">
        <v>-48.559385231344741</v>
      </c>
      <c r="U8" s="192">
        <v>33.007146425375787</v>
      </c>
      <c r="V8" s="192">
        <v>-48.559385231344741</v>
      </c>
      <c r="W8" s="192">
        <v>33.007146425375787</v>
      </c>
      <c r="X8" s="337">
        <f>3.3*Q8/O9</f>
        <v>2.4663088493599877E-3</v>
      </c>
      <c r="Y8" s="162">
        <f>10*Q8/O9</f>
        <v>7.4736631798787501E-3</v>
      </c>
    </row>
    <row r="9" spans="1:32" s="189" customFormat="1" ht="14" x14ac:dyDescent="0.2">
      <c r="A9" s="157">
        <v>43838</v>
      </c>
      <c r="B9" s="111">
        <v>2</v>
      </c>
      <c r="C9" s="113">
        <v>0.01</v>
      </c>
      <c r="D9" s="111">
        <v>412</v>
      </c>
      <c r="E9" s="158">
        <f t="shared" si="1"/>
        <v>356</v>
      </c>
      <c r="F9" s="190" t="s">
        <v>52</v>
      </c>
      <c r="G9" s="205">
        <v>0.99996733016906714</v>
      </c>
      <c r="H9" s="149" t="s">
        <v>59</v>
      </c>
      <c r="I9" s="149">
        <v>3</v>
      </c>
      <c r="J9" s="149">
        <v>3508.4830630735719</v>
      </c>
      <c r="K9" s="149">
        <v>1169.4943543578572</v>
      </c>
      <c r="L9" s="149"/>
      <c r="M9" s="149"/>
      <c r="N9" s="149" t="s">
        <v>74</v>
      </c>
      <c r="O9" s="192">
        <v>38341.79104477611</v>
      </c>
      <c r="P9" s="192">
        <v>124.47094379590196</v>
      </c>
      <c r="Q9" s="192"/>
      <c r="R9" s="192">
        <v>308.03808403386159</v>
      </c>
      <c r="S9" s="192">
        <v>7.5446835531226134E-8</v>
      </c>
      <c r="T9" s="192">
        <v>37945.668949577666</v>
      </c>
      <c r="U9" s="192">
        <v>38737.913139974553</v>
      </c>
      <c r="V9" s="192">
        <v>37945.668949577666</v>
      </c>
      <c r="W9" s="192">
        <v>38737.913139974553</v>
      </c>
      <c r="X9" s="200"/>
      <c r="Y9" s="200"/>
    </row>
    <row r="10" spans="1:32" s="189" customFormat="1" ht="14" x14ac:dyDescent="0.2">
      <c r="A10" s="157">
        <v>43838</v>
      </c>
      <c r="B10" s="111">
        <v>2</v>
      </c>
      <c r="C10" s="113">
        <v>0.02</v>
      </c>
      <c r="D10" s="111">
        <v>811</v>
      </c>
      <c r="E10" s="158">
        <f t="shared" si="1"/>
        <v>755</v>
      </c>
      <c r="F10" s="190" t="s">
        <v>53</v>
      </c>
      <c r="G10" s="205">
        <v>0.99993466140545217</v>
      </c>
      <c r="H10" s="149" t="s">
        <v>60</v>
      </c>
      <c r="I10" s="149">
        <v>4</v>
      </c>
      <c r="J10" s="149">
        <v>53696947.223182335</v>
      </c>
      <c r="K10" s="149"/>
      <c r="L10" s="149"/>
      <c r="M10" s="149"/>
      <c r="N10" s="201"/>
      <c r="O10" s="201"/>
      <c r="P10" s="201"/>
      <c r="Q10" s="201"/>
      <c r="R10" s="201"/>
      <c r="S10" s="201"/>
      <c r="T10" s="201"/>
      <c r="U10" s="201"/>
      <c r="V10" s="201"/>
      <c r="W10" s="201"/>
      <c r="X10" s="200"/>
      <c r="Y10" s="200"/>
    </row>
    <row r="11" spans="1:32" s="189" customFormat="1" ht="14" x14ac:dyDescent="0.2">
      <c r="A11" s="157">
        <v>43838</v>
      </c>
      <c r="B11" s="111">
        <v>2</v>
      </c>
      <c r="C11" s="113">
        <v>0.05</v>
      </c>
      <c r="D11" s="111">
        <v>1988</v>
      </c>
      <c r="E11" s="158">
        <f t="shared" si="1"/>
        <v>1932</v>
      </c>
      <c r="F11" s="190" t="s">
        <v>54</v>
      </c>
      <c r="G11" s="205">
        <v>0.99991288187393623</v>
      </c>
      <c r="T11" s="201"/>
      <c r="U11" s="201"/>
      <c r="V11" s="201"/>
      <c r="W11" s="201"/>
      <c r="X11" s="200"/>
      <c r="Y11" s="200"/>
    </row>
    <row r="12" spans="1:32" s="189" customFormat="1" ht="14" x14ac:dyDescent="0.2">
      <c r="A12" s="157">
        <v>43838</v>
      </c>
      <c r="B12" s="111">
        <v>2</v>
      </c>
      <c r="C12" s="114">
        <v>0.1</v>
      </c>
      <c r="D12" s="111">
        <v>3893</v>
      </c>
      <c r="E12" s="158">
        <f t="shared" si="1"/>
        <v>3837</v>
      </c>
      <c r="F12" s="190" t="s">
        <v>55</v>
      </c>
      <c r="G12" s="205">
        <v>34.197870611455578</v>
      </c>
      <c r="X12" s="202"/>
      <c r="Y12" s="202"/>
    </row>
    <row r="13" spans="1:32" s="189" customFormat="1" ht="14" x14ac:dyDescent="0.2">
      <c r="A13" s="169">
        <v>43838</v>
      </c>
      <c r="B13" s="129">
        <v>2</v>
      </c>
      <c r="C13" s="125">
        <v>0.2</v>
      </c>
      <c r="D13" s="129">
        <v>7707</v>
      </c>
      <c r="E13" s="170">
        <f t="shared" si="1"/>
        <v>7651</v>
      </c>
      <c r="F13" s="196" t="s">
        <v>56</v>
      </c>
      <c r="G13" s="206">
        <v>5</v>
      </c>
      <c r="H13" s="197"/>
      <c r="I13" s="197"/>
      <c r="J13" s="197"/>
      <c r="K13" s="197"/>
      <c r="L13" s="197"/>
      <c r="M13" s="197"/>
      <c r="N13" s="197"/>
      <c r="O13" s="197"/>
      <c r="P13" s="197"/>
      <c r="Q13" s="197"/>
      <c r="R13" s="197"/>
      <c r="S13" s="197"/>
      <c r="T13" s="197"/>
      <c r="U13" s="197"/>
      <c r="V13" s="197"/>
      <c r="W13" s="197"/>
      <c r="X13" s="199"/>
      <c r="Y13" s="199"/>
    </row>
    <row r="14" spans="1:32" x14ac:dyDescent="0.2">
      <c r="A14" s="109">
        <v>43838</v>
      </c>
      <c r="B14" s="110">
        <v>3</v>
      </c>
      <c r="C14" s="111">
        <v>0</v>
      </c>
      <c r="D14" s="116">
        <v>58</v>
      </c>
      <c r="E14" s="117">
        <f t="shared" ref="E14:E19" si="2">D14-$D$14</f>
        <v>0</v>
      </c>
      <c r="F14" s="131" t="s">
        <v>51</v>
      </c>
      <c r="G14" s="208"/>
      <c r="H14" s="127"/>
      <c r="I14" s="127" t="s">
        <v>62</v>
      </c>
      <c r="J14" s="127" t="s">
        <v>63</v>
      </c>
      <c r="K14" s="127" t="s">
        <v>64</v>
      </c>
      <c r="L14" s="127" t="s">
        <v>65</v>
      </c>
      <c r="M14" s="127" t="s">
        <v>66</v>
      </c>
      <c r="N14" s="127"/>
      <c r="O14" s="127" t="s">
        <v>67</v>
      </c>
      <c r="P14" s="127" t="s">
        <v>270</v>
      </c>
      <c r="Q14" s="127" t="s">
        <v>271</v>
      </c>
      <c r="R14" s="127" t="s">
        <v>68</v>
      </c>
      <c r="S14" s="127" t="s">
        <v>69</v>
      </c>
      <c r="T14" s="127" t="s">
        <v>70</v>
      </c>
      <c r="U14" s="127" t="s">
        <v>71</v>
      </c>
      <c r="V14" s="127" t="s">
        <v>72</v>
      </c>
      <c r="W14" s="127" t="s">
        <v>73</v>
      </c>
      <c r="X14" s="48"/>
      <c r="Y14" s="48"/>
    </row>
    <row r="15" spans="1:32" s="163" customFormat="1" ht="14" x14ac:dyDescent="0.2">
      <c r="A15" s="157">
        <v>43838</v>
      </c>
      <c r="B15" s="111">
        <v>3</v>
      </c>
      <c r="C15" s="113">
        <v>0.01</v>
      </c>
      <c r="D15" s="158">
        <v>400</v>
      </c>
      <c r="E15" s="159">
        <f t="shared" si="2"/>
        <v>342</v>
      </c>
      <c r="F15" s="160" t="s">
        <v>52</v>
      </c>
      <c r="G15" s="205">
        <v>0.99998328508844503</v>
      </c>
      <c r="H15" s="112" t="s">
        <v>58</v>
      </c>
      <c r="I15" s="112">
        <v>1</v>
      </c>
      <c r="J15" s="112">
        <v>32289401.743946936</v>
      </c>
      <c r="K15" s="112">
        <v>32289401.743946936</v>
      </c>
      <c r="L15" s="112">
        <v>89737.979565288842</v>
      </c>
      <c r="M15" s="112">
        <v>8.2033056407301519E-8</v>
      </c>
      <c r="N15" s="112" t="s">
        <v>61</v>
      </c>
      <c r="O15" s="161">
        <v>-18.305140961856978</v>
      </c>
      <c r="P15" s="161">
        <v>12.574946224978063</v>
      </c>
      <c r="Q15" s="161">
        <f>P15*SQRT(G19)</f>
        <v>28.118434572455314</v>
      </c>
      <c r="R15" s="161">
        <v>-1.4556834386692505</v>
      </c>
      <c r="S15" s="161">
        <v>0.24149493305285463</v>
      </c>
      <c r="T15" s="161">
        <v>-58.324232114679738</v>
      </c>
      <c r="U15" s="161">
        <v>21.713950190965782</v>
      </c>
      <c r="V15" s="161">
        <v>-58.324232114679738</v>
      </c>
      <c r="W15" s="161">
        <v>21.713950190965782</v>
      </c>
      <c r="X15" s="337">
        <f>3.3*Q15/O16</f>
        <v>2.5360845660652971E-3</v>
      </c>
      <c r="Y15" s="162">
        <f>10*Q15/O16</f>
        <v>7.6851047456524164E-3</v>
      </c>
    </row>
    <row r="16" spans="1:32" s="163" customFormat="1" ht="14" x14ac:dyDescent="0.2">
      <c r="A16" s="157">
        <v>43838</v>
      </c>
      <c r="B16" s="111">
        <v>3</v>
      </c>
      <c r="C16" s="113">
        <v>0.02</v>
      </c>
      <c r="D16" s="158">
        <v>783</v>
      </c>
      <c r="E16" s="159">
        <f t="shared" si="2"/>
        <v>725</v>
      </c>
      <c r="F16" s="160" t="s">
        <v>53</v>
      </c>
      <c r="G16" s="205">
        <v>0.99996657045627835</v>
      </c>
      <c r="H16" s="112" t="s">
        <v>59</v>
      </c>
      <c r="I16" s="112">
        <v>3</v>
      </c>
      <c r="J16" s="112">
        <v>1079.4560530679696</v>
      </c>
      <c r="K16" s="112">
        <v>359.81868435598989</v>
      </c>
      <c r="L16" s="112"/>
      <c r="M16" s="112"/>
      <c r="N16" s="112" t="s">
        <v>74</v>
      </c>
      <c r="O16" s="161">
        <v>36588.225538971805</v>
      </c>
      <c r="P16" s="161">
        <v>122.13867488224041</v>
      </c>
      <c r="Q16" s="161"/>
      <c r="R16" s="161">
        <v>299.56298096608811</v>
      </c>
      <c r="S16" s="161">
        <v>8.2033056407301519E-8</v>
      </c>
      <c r="T16" s="161">
        <v>36199.525764360573</v>
      </c>
      <c r="U16" s="161">
        <v>36976.925313583037</v>
      </c>
      <c r="V16" s="161">
        <v>36199.525764360573</v>
      </c>
      <c r="W16" s="161">
        <v>36976.925313583037</v>
      </c>
      <c r="X16" s="164"/>
      <c r="Y16" s="164"/>
    </row>
    <row r="17" spans="1:29" s="163" customFormat="1" ht="14" x14ac:dyDescent="0.2">
      <c r="A17" s="157">
        <v>43838</v>
      </c>
      <c r="B17" s="111">
        <v>3</v>
      </c>
      <c r="C17" s="113">
        <v>0.05</v>
      </c>
      <c r="D17" s="158">
        <v>1880</v>
      </c>
      <c r="E17" s="159">
        <f t="shared" si="2"/>
        <v>1822</v>
      </c>
      <c r="F17" s="160" t="s">
        <v>54</v>
      </c>
      <c r="G17" s="205">
        <v>0.99995542727503783</v>
      </c>
      <c r="H17" s="112" t="s">
        <v>60</v>
      </c>
      <c r="I17" s="112">
        <v>4</v>
      </c>
      <c r="J17" s="112">
        <v>32290481.200000003</v>
      </c>
      <c r="K17" s="112"/>
      <c r="L17" s="112"/>
      <c r="M17" s="112"/>
      <c r="N17" s="165"/>
      <c r="O17" s="166"/>
      <c r="P17" s="166"/>
      <c r="Q17" s="166"/>
      <c r="R17" s="166"/>
      <c r="S17" s="166"/>
      <c r="T17" s="166"/>
      <c r="U17" s="166"/>
      <c r="V17" s="166"/>
      <c r="W17" s="166"/>
      <c r="X17" s="164"/>
      <c r="Y17" s="164"/>
    </row>
    <row r="18" spans="1:29" s="163" customFormat="1" ht="14" x14ac:dyDescent="0.2">
      <c r="A18" s="157">
        <v>43838</v>
      </c>
      <c r="B18" s="111">
        <v>3</v>
      </c>
      <c r="C18" s="114">
        <v>0.1</v>
      </c>
      <c r="D18" s="158">
        <v>3672</v>
      </c>
      <c r="E18" s="159">
        <f t="shared" si="2"/>
        <v>3614</v>
      </c>
      <c r="F18" s="160" t="s">
        <v>55</v>
      </c>
      <c r="G18" s="205">
        <v>18.968887272478316</v>
      </c>
      <c r="H18" s="165"/>
      <c r="I18" s="165"/>
      <c r="J18" s="165"/>
      <c r="K18" s="165"/>
      <c r="L18" s="165"/>
      <c r="O18" s="167"/>
      <c r="P18" s="167"/>
      <c r="Q18" s="167"/>
      <c r="R18" s="167"/>
      <c r="S18" s="167"/>
      <c r="T18" s="167"/>
      <c r="U18" s="167"/>
      <c r="V18" s="167"/>
      <c r="W18" s="167"/>
      <c r="X18" s="164"/>
      <c r="Y18" s="164"/>
      <c r="AA18" s="164"/>
      <c r="AB18" s="168"/>
      <c r="AC18" s="164"/>
    </row>
    <row r="19" spans="1:29" s="163" customFormat="1" ht="14" x14ac:dyDescent="0.2">
      <c r="A19" s="169">
        <v>43838</v>
      </c>
      <c r="B19" s="129">
        <v>3</v>
      </c>
      <c r="C19" s="125">
        <v>0.2</v>
      </c>
      <c r="D19" s="170">
        <v>7367</v>
      </c>
      <c r="E19" s="170">
        <f t="shared" si="2"/>
        <v>7309</v>
      </c>
      <c r="F19" s="171" t="s">
        <v>56</v>
      </c>
      <c r="G19" s="206">
        <v>5</v>
      </c>
      <c r="H19" s="172"/>
      <c r="I19" s="172"/>
      <c r="J19" s="172"/>
      <c r="K19" s="172"/>
      <c r="L19" s="172"/>
      <c r="M19" s="172"/>
      <c r="N19" s="172"/>
      <c r="O19" s="173"/>
      <c r="P19" s="173"/>
      <c r="Q19" s="173"/>
      <c r="R19" s="173"/>
      <c r="S19" s="173"/>
      <c r="T19" s="173"/>
      <c r="U19" s="173"/>
      <c r="V19" s="173"/>
      <c r="W19" s="173"/>
      <c r="X19" s="174"/>
      <c r="Y19" s="174"/>
      <c r="AA19" s="164"/>
      <c r="AB19" s="168"/>
      <c r="AC19" s="164"/>
    </row>
    <row r="20" spans="1:29" s="163" customFormat="1" ht="14" x14ac:dyDescent="0.2">
      <c r="A20" s="157">
        <v>43789</v>
      </c>
      <c r="B20" s="111">
        <v>4</v>
      </c>
      <c r="C20" s="111">
        <v>0</v>
      </c>
      <c r="D20" s="112">
        <v>84</v>
      </c>
      <c r="E20" s="158">
        <f>D20-$D$20</f>
        <v>0</v>
      </c>
      <c r="F20" s="175" t="s">
        <v>51</v>
      </c>
      <c r="G20" s="207"/>
      <c r="H20" s="112" t="s">
        <v>58</v>
      </c>
      <c r="I20" s="112">
        <v>1</v>
      </c>
      <c r="J20" s="112">
        <v>19014121.917095676</v>
      </c>
      <c r="K20" s="112">
        <v>19014121.917095676</v>
      </c>
      <c r="L20" s="112">
        <v>4154.1356827520876</v>
      </c>
      <c r="M20" s="112">
        <v>8.2295008732769957E-6</v>
      </c>
      <c r="N20" s="112" t="s">
        <v>61</v>
      </c>
      <c r="O20" s="161">
        <v>87.623546031680235</v>
      </c>
      <c r="P20" s="161">
        <v>44.849961990437151</v>
      </c>
      <c r="Q20" s="161">
        <f>P20*SQRT(G25)</f>
        <v>100.28756379889924</v>
      </c>
      <c r="R20" s="161">
        <v>1.9537039083859917</v>
      </c>
      <c r="S20" s="161">
        <v>0.14574534029975866</v>
      </c>
      <c r="T20" s="161">
        <v>-55.109049796901274</v>
      </c>
      <c r="U20" s="161">
        <v>230.35614186026174</v>
      </c>
      <c r="V20" s="161">
        <v>-55.109049796901274</v>
      </c>
      <c r="W20" s="161">
        <v>230.35614186026174</v>
      </c>
      <c r="X20" s="337">
        <f>3.3*Q20/O21</f>
        <v>1.1787223978296169E-2</v>
      </c>
      <c r="Y20" s="162">
        <f>10*Q20/O21</f>
        <v>3.5718860540291421E-2</v>
      </c>
    </row>
    <row r="21" spans="1:29" s="163" customFormat="1" ht="14" x14ac:dyDescent="0.2">
      <c r="A21" s="157">
        <v>43789</v>
      </c>
      <c r="B21" s="111">
        <v>4</v>
      </c>
      <c r="C21" s="113">
        <v>0.01</v>
      </c>
      <c r="D21" s="176">
        <v>403.75571187964402</v>
      </c>
      <c r="E21" s="158">
        <f t="shared" ref="E21:E25" si="3">D21-$D$20</f>
        <v>319.75571187964402</v>
      </c>
      <c r="F21" s="160" t="s">
        <v>52</v>
      </c>
      <c r="G21" s="205">
        <v>0.99963910951404866</v>
      </c>
      <c r="H21" s="112" t="s">
        <v>59</v>
      </c>
      <c r="I21" s="112">
        <v>3</v>
      </c>
      <c r="J21" s="112">
        <v>13731.464282239533</v>
      </c>
      <c r="K21" s="112">
        <v>4577.1547607465109</v>
      </c>
      <c r="L21" s="112"/>
      <c r="M21" s="112"/>
      <c r="N21" s="112" t="s">
        <v>74</v>
      </c>
      <c r="O21" s="161">
        <v>28076.921346853531</v>
      </c>
      <c r="P21" s="161">
        <v>435.62134008572264</v>
      </c>
      <c r="Q21" s="161"/>
      <c r="R21" s="161">
        <v>64.452584763933942</v>
      </c>
      <c r="S21" s="161">
        <v>8.2295008732769957E-6</v>
      </c>
      <c r="T21" s="161">
        <v>26690.579822594984</v>
      </c>
      <c r="U21" s="161">
        <v>29463.262871112078</v>
      </c>
      <c r="V21" s="161">
        <v>26690.579822594984</v>
      </c>
      <c r="W21" s="161">
        <v>29463.262871112078</v>
      </c>
      <c r="X21" s="177"/>
      <c r="Y21" s="178"/>
      <c r="Z21" s="179"/>
    </row>
    <row r="22" spans="1:29" s="163" customFormat="1" ht="14" x14ac:dyDescent="0.2">
      <c r="A22" s="157">
        <v>43789</v>
      </c>
      <c r="B22" s="111">
        <v>4</v>
      </c>
      <c r="C22" s="113">
        <v>0.02</v>
      </c>
      <c r="D22" s="176">
        <v>697.51705159490905</v>
      </c>
      <c r="E22" s="158">
        <f t="shared" si="3"/>
        <v>613.51705159490905</v>
      </c>
      <c r="F22" s="160" t="s">
        <v>53</v>
      </c>
      <c r="G22" s="205">
        <v>0.99927834927004011</v>
      </c>
      <c r="H22" s="112" t="s">
        <v>60</v>
      </c>
      <c r="I22" s="112">
        <v>4</v>
      </c>
      <c r="J22" s="112">
        <v>19027853.381377917</v>
      </c>
      <c r="K22" s="112"/>
      <c r="L22" s="112"/>
      <c r="M22" s="112"/>
      <c r="N22" s="165"/>
      <c r="O22" s="165"/>
      <c r="P22" s="165"/>
      <c r="Q22" s="165"/>
      <c r="R22" s="165"/>
      <c r="S22" s="165"/>
      <c r="T22" s="165"/>
      <c r="U22" s="165"/>
      <c r="V22" s="165"/>
      <c r="W22" s="165"/>
      <c r="X22" s="180"/>
      <c r="Y22" s="180"/>
      <c r="Z22" s="112"/>
    </row>
    <row r="23" spans="1:29" s="163" customFormat="1" ht="14" x14ac:dyDescent="0.2">
      <c r="A23" s="157">
        <v>43789</v>
      </c>
      <c r="B23" s="111">
        <v>4</v>
      </c>
      <c r="C23" s="113">
        <v>0.05</v>
      </c>
      <c r="D23" s="176">
        <v>1633.3434009791599</v>
      </c>
      <c r="E23" s="158">
        <f t="shared" si="3"/>
        <v>1549.3434009791599</v>
      </c>
      <c r="F23" s="160" t="s">
        <v>54</v>
      </c>
      <c r="G23" s="205">
        <v>0.99903779902672019</v>
      </c>
      <c r="H23" s="165"/>
      <c r="I23" s="165"/>
      <c r="J23" s="165"/>
      <c r="K23" s="165"/>
      <c r="L23" s="165"/>
      <c r="M23" s="165"/>
      <c r="N23" s="165"/>
      <c r="O23" s="165"/>
      <c r="P23" s="165"/>
      <c r="Q23" s="165"/>
      <c r="R23" s="165"/>
      <c r="S23" s="165"/>
      <c r="T23" s="165"/>
      <c r="X23" s="180"/>
      <c r="Y23" s="180"/>
      <c r="Z23" s="112"/>
    </row>
    <row r="24" spans="1:29" s="163" customFormat="1" ht="14" x14ac:dyDescent="0.2">
      <c r="A24" s="157">
        <v>43789</v>
      </c>
      <c r="B24" s="111">
        <v>4</v>
      </c>
      <c r="C24" s="114">
        <v>0.1</v>
      </c>
      <c r="D24" s="176">
        <v>3049.0762482618302</v>
      </c>
      <c r="E24" s="158">
        <f t="shared" si="3"/>
        <v>2965.0762482618302</v>
      </c>
      <c r="F24" s="160" t="s">
        <v>55</v>
      </c>
      <c r="G24" s="205">
        <v>67.654672867042308</v>
      </c>
      <c r="X24" s="180"/>
      <c r="Y24" s="180"/>
      <c r="Z24" s="112"/>
    </row>
    <row r="25" spans="1:29" s="163" customFormat="1" ht="14" x14ac:dyDescent="0.2">
      <c r="A25" s="169">
        <v>43789</v>
      </c>
      <c r="B25" s="129">
        <v>4</v>
      </c>
      <c r="C25" s="125">
        <v>0.2</v>
      </c>
      <c r="D25" s="181">
        <v>5743.6554292472001</v>
      </c>
      <c r="E25" s="170">
        <f t="shared" si="3"/>
        <v>5659.6554292472001</v>
      </c>
      <c r="F25" s="171" t="s">
        <v>56</v>
      </c>
      <c r="G25" s="206">
        <v>5</v>
      </c>
      <c r="H25" s="172"/>
      <c r="I25" s="172"/>
      <c r="J25" s="172"/>
      <c r="K25" s="172"/>
      <c r="L25" s="172"/>
      <c r="M25" s="172"/>
      <c r="N25" s="172"/>
      <c r="O25" s="172"/>
      <c r="P25" s="172"/>
      <c r="Q25" s="172"/>
      <c r="R25" s="172"/>
      <c r="S25" s="172"/>
      <c r="T25" s="172"/>
      <c r="U25" s="172"/>
      <c r="V25" s="172"/>
      <c r="W25" s="172"/>
      <c r="X25" s="182"/>
      <c r="Y25" s="182"/>
      <c r="Z25" s="112"/>
    </row>
    <row r="26" spans="1:29" s="163" customFormat="1" ht="14" x14ac:dyDescent="0.2">
      <c r="A26" s="157">
        <v>43888</v>
      </c>
      <c r="B26" s="111">
        <v>5</v>
      </c>
      <c r="C26" s="111">
        <v>0</v>
      </c>
      <c r="D26" s="176">
        <v>78.500216038095502</v>
      </c>
      <c r="E26" s="158">
        <f>D26-$D$26</f>
        <v>0</v>
      </c>
      <c r="F26" s="175" t="s">
        <v>51</v>
      </c>
      <c r="G26" s="207"/>
      <c r="H26" s="183"/>
      <c r="I26" s="183" t="s">
        <v>62</v>
      </c>
      <c r="J26" s="183" t="s">
        <v>63</v>
      </c>
      <c r="K26" s="183" t="s">
        <v>64</v>
      </c>
      <c r="L26" s="183" t="s">
        <v>65</v>
      </c>
      <c r="M26" s="183" t="s">
        <v>66</v>
      </c>
      <c r="N26" s="183"/>
      <c r="O26" s="183" t="s">
        <v>67</v>
      </c>
      <c r="P26" s="183" t="s">
        <v>270</v>
      </c>
      <c r="Q26" s="183" t="s">
        <v>271</v>
      </c>
      <c r="R26" s="183" t="s">
        <v>68</v>
      </c>
      <c r="S26" s="183" t="s">
        <v>69</v>
      </c>
      <c r="T26" s="183" t="s">
        <v>70</v>
      </c>
      <c r="U26" s="183" t="s">
        <v>71</v>
      </c>
      <c r="V26" s="183" t="s">
        <v>72</v>
      </c>
      <c r="W26" s="183" t="s">
        <v>73</v>
      </c>
      <c r="X26" s="164"/>
      <c r="Y26" s="164"/>
    </row>
    <row r="27" spans="1:29" s="163" customFormat="1" ht="14" x14ac:dyDescent="0.2">
      <c r="A27" s="157">
        <v>43888</v>
      </c>
      <c r="B27" s="111">
        <v>5</v>
      </c>
      <c r="C27" s="113">
        <v>0.01</v>
      </c>
      <c r="D27" s="176">
        <v>539.51020908109797</v>
      </c>
      <c r="E27" s="158">
        <f t="shared" ref="E27:E31" si="4">D27-$D$26</f>
        <v>461.00999304300245</v>
      </c>
      <c r="F27" s="160" t="s">
        <v>52</v>
      </c>
      <c r="G27" s="205">
        <v>0.99999735613787266</v>
      </c>
      <c r="H27" s="112" t="s">
        <v>58</v>
      </c>
      <c r="I27" s="112">
        <v>1</v>
      </c>
      <c r="J27" s="112">
        <v>56166781.038798288</v>
      </c>
      <c r="K27" s="112">
        <v>56166781.038798288</v>
      </c>
      <c r="L27" s="112">
        <v>567349.57387671131</v>
      </c>
      <c r="M27" s="112">
        <v>5.1605012877266619E-9</v>
      </c>
      <c r="N27" s="112" t="s">
        <v>61</v>
      </c>
      <c r="O27" s="184">
        <v>-16.524574472998211</v>
      </c>
      <c r="P27" s="184">
        <v>6.5959701535224893</v>
      </c>
      <c r="Q27" s="184">
        <f>P27*SQRT(G31)</f>
        <v>14.749037640836011</v>
      </c>
      <c r="R27" s="184">
        <v>-2.5052530694326269</v>
      </c>
      <c r="S27" s="184">
        <v>8.7301614962513333E-2</v>
      </c>
      <c r="T27" s="184">
        <v>-37.515895317837476</v>
      </c>
      <c r="U27" s="184">
        <v>4.4667463718410545</v>
      </c>
      <c r="V27" s="184">
        <v>-37.515895317837476</v>
      </c>
      <c r="W27" s="184">
        <v>4.4667463718410545</v>
      </c>
      <c r="X27" s="337">
        <f>3.3*Q27/O28</f>
        <v>1.008617521055083E-3</v>
      </c>
      <c r="Y27" s="162">
        <f>10*Q27/O28</f>
        <v>3.0564167304699486E-3</v>
      </c>
    </row>
    <row r="28" spans="1:29" s="163" customFormat="1" ht="14" x14ac:dyDescent="0.2">
      <c r="A28" s="157">
        <v>43888</v>
      </c>
      <c r="B28" s="111">
        <v>5</v>
      </c>
      <c r="C28" s="113">
        <v>0.02</v>
      </c>
      <c r="D28" s="176">
        <v>1021.53653945259</v>
      </c>
      <c r="E28" s="158">
        <f t="shared" si="4"/>
        <v>943.03632341449452</v>
      </c>
      <c r="F28" s="160" t="s">
        <v>53</v>
      </c>
      <c r="G28" s="205">
        <v>0.9999947122827354</v>
      </c>
      <c r="H28" s="112" t="s">
        <v>59</v>
      </c>
      <c r="I28" s="112">
        <v>3</v>
      </c>
      <c r="J28" s="112">
        <v>296.99562822446234</v>
      </c>
      <c r="K28" s="112">
        <v>98.998542741487441</v>
      </c>
      <c r="L28" s="112"/>
      <c r="M28" s="112"/>
      <c r="N28" s="112" t="s">
        <v>74</v>
      </c>
      <c r="O28" s="184">
        <v>48255.977314219934</v>
      </c>
      <c r="P28" s="184">
        <v>64.065725586468659</v>
      </c>
      <c r="Q28" s="184"/>
      <c r="R28" s="184">
        <v>753.22611072420432</v>
      </c>
      <c r="S28" s="184">
        <v>5.1605012877266619E-9</v>
      </c>
      <c r="T28" s="184">
        <v>48052.091582531953</v>
      </c>
      <c r="U28" s="184">
        <v>48459.863045907914</v>
      </c>
      <c r="V28" s="184">
        <v>48052.091582531953</v>
      </c>
      <c r="W28" s="184">
        <v>48459.863045907914</v>
      </c>
      <c r="X28" s="177"/>
      <c r="Y28" s="164"/>
    </row>
    <row r="29" spans="1:29" s="163" customFormat="1" ht="14" x14ac:dyDescent="0.2">
      <c r="A29" s="157">
        <v>43888</v>
      </c>
      <c r="B29" s="111">
        <v>5</v>
      </c>
      <c r="C29" s="113">
        <v>0.05</v>
      </c>
      <c r="D29" s="176">
        <v>2478.9651309415299</v>
      </c>
      <c r="E29" s="158">
        <f t="shared" si="4"/>
        <v>2400.4649149034344</v>
      </c>
      <c r="F29" s="160" t="s">
        <v>54</v>
      </c>
      <c r="G29" s="205">
        <v>0.99999294971031383</v>
      </c>
      <c r="H29" s="112" t="s">
        <v>60</v>
      </c>
      <c r="I29" s="112">
        <v>4</v>
      </c>
      <c r="J29" s="112">
        <v>56167078.03442651</v>
      </c>
      <c r="K29" s="112"/>
      <c r="L29" s="112"/>
      <c r="M29" s="112"/>
      <c r="N29" s="165"/>
      <c r="O29" s="165"/>
      <c r="P29" s="165"/>
      <c r="Q29" s="165"/>
      <c r="X29" s="164"/>
      <c r="Y29" s="164"/>
    </row>
    <row r="30" spans="1:29" s="163" customFormat="1" ht="14" x14ac:dyDescent="0.2">
      <c r="A30" s="157">
        <v>43888</v>
      </c>
      <c r="B30" s="111">
        <v>5</v>
      </c>
      <c r="C30" s="114">
        <v>0.1</v>
      </c>
      <c r="D30" s="176">
        <v>4900.8408952931404</v>
      </c>
      <c r="E30" s="158">
        <f t="shared" si="4"/>
        <v>4822.340679255045</v>
      </c>
      <c r="F30" s="160" t="s">
        <v>55</v>
      </c>
      <c r="G30" s="205">
        <v>9.949801140801128</v>
      </c>
      <c r="X30" s="164"/>
      <c r="Y30" s="164"/>
    </row>
    <row r="31" spans="1:29" s="163" customFormat="1" ht="14" x14ac:dyDescent="0.2">
      <c r="A31" s="169">
        <v>43888</v>
      </c>
      <c r="B31" s="129">
        <v>5</v>
      </c>
      <c r="C31" s="125">
        <v>0.2</v>
      </c>
      <c r="D31" s="181">
        <v>9706.2968124606996</v>
      </c>
      <c r="E31" s="170">
        <f t="shared" si="4"/>
        <v>9627.7965964226041</v>
      </c>
      <c r="F31" s="171" t="s">
        <v>56</v>
      </c>
      <c r="G31" s="206">
        <v>5</v>
      </c>
      <c r="H31" s="172"/>
      <c r="I31" s="174"/>
      <c r="J31" s="185"/>
      <c r="K31" s="174"/>
      <c r="L31" s="172"/>
      <c r="M31" s="172"/>
      <c r="N31" s="172"/>
      <c r="O31" s="172"/>
      <c r="P31" s="172"/>
      <c r="Q31" s="172"/>
      <c r="R31" s="172"/>
      <c r="S31" s="172"/>
      <c r="T31" s="172"/>
      <c r="U31" s="172"/>
      <c r="V31" s="172"/>
      <c r="W31" s="172"/>
      <c r="X31" s="174"/>
      <c r="Y31" s="174"/>
    </row>
    <row r="32" spans="1:29" s="163" customFormat="1" ht="14" x14ac:dyDescent="0.2">
      <c r="A32" s="157">
        <v>43888</v>
      </c>
      <c r="B32" s="111">
        <v>6</v>
      </c>
      <c r="C32" s="111">
        <v>0</v>
      </c>
      <c r="D32" s="176">
        <v>81.750235174429903</v>
      </c>
      <c r="E32" s="158">
        <f>D32-$D$32</f>
        <v>0</v>
      </c>
      <c r="F32" s="175" t="s">
        <v>51</v>
      </c>
      <c r="G32" s="207"/>
      <c r="H32" s="183"/>
      <c r="I32" s="183" t="s">
        <v>62</v>
      </c>
      <c r="J32" s="183" t="s">
        <v>63</v>
      </c>
      <c r="K32" s="183" t="s">
        <v>64</v>
      </c>
      <c r="L32" s="183" t="s">
        <v>65</v>
      </c>
      <c r="M32" s="183" t="s">
        <v>66</v>
      </c>
      <c r="N32" s="183"/>
      <c r="O32" s="183" t="s">
        <v>67</v>
      </c>
      <c r="P32" s="183" t="s">
        <v>270</v>
      </c>
      <c r="Q32" s="183" t="s">
        <v>271</v>
      </c>
      <c r="R32" s="183" t="s">
        <v>68</v>
      </c>
      <c r="S32" s="183" t="s">
        <v>69</v>
      </c>
      <c r="T32" s="183" t="s">
        <v>70</v>
      </c>
      <c r="U32" s="183" t="s">
        <v>71</v>
      </c>
      <c r="V32" s="183" t="s">
        <v>72</v>
      </c>
      <c r="W32" s="183" t="s">
        <v>73</v>
      </c>
      <c r="X32" s="164"/>
      <c r="Y32" s="164"/>
    </row>
    <row r="33" spans="1:26" s="163" customFormat="1" ht="14" x14ac:dyDescent="0.2">
      <c r="A33" s="157">
        <v>43888</v>
      </c>
      <c r="B33" s="111">
        <v>6</v>
      </c>
      <c r="C33" s="113">
        <v>0.01</v>
      </c>
      <c r="D33" s="176">
        <v>491.008446292933</v>
      </c>
      <c r="E33" s="158">
        <f t="shared" ref="E33:E37" si="5">D33-$D$32</f>
        <v>409.25821111850308</v>
      </c>
      <c r="F33" s="160" t="s">
        <v>52</v>
      </c>
      <c r="G33" s="205">
        <v>0.99994224458415348</v>
      </c>
      <c r="H33" s="112" t="s">
        <v>58</v>
      </c>
      <c r="I33" s="112">
        <v>1</v>
      </c>
      <c r="J33" s="112">
        <v>41443234.282991827</v>
      </c>
      <c r="K33" s="112">
        <v>41443234.282991827</v>
      </c>
      <c r="L33" s="112">
        <v>25969.340356761928</v>
      </c>
      <c r="M33" s="112">
        <v>5.2688904358589253E-7</v>
      </c>
      <c r="N33" s="112" t="s">
        <v>61</v>
      </c>
      <c r="O33" s="161">
        <v>3.3573856672837792</v>
      </c>
      <c r="P33" s="161">
        <v>26.482601300906563</v>
      </c>
      <c r="Q33" s="161">
        <f>P33*SQRT(G37)</f>
        <v>59.216896729851442</v>
      </c>
      <c r="R33" s="161">
        <v>0.1267770348213054</v>
      </c>
      <c r="S33" s="161">
        <v>0.90713680424061915</v>
      </c>
      <c r="T33" s="161">
        <v>-80.922070997087857</v>
      </c>
      <c r="U33" s="161">
        <v>87.636842331655416</v>
      </c>
      <c r="V33" s="161">
        <v>-80.922070997087857</v>
      </c>
      <c r="W33" s="161">
        <v>87.636842331655416</v>
      </c>
      <c r="X33" s="337">
        <f>3.3*Q33/O34</f>
        <v>4.7143455873303068E-3</v>
      </c>
      <c r="Y33" s="162">
        <f>10*Q33/O34</f>
        <v>1.428589571918275E-2</v>
      </c>
    </row>
    <row r="34" spans="1:26" s="163" customFormat="1" ht="14" x14ac:dyDescent="0.2">
      <c r="A34" s="157">
        <v>43888</v>
      </c>
      <c r="B34" s="111">
        <v>6</v>
      </c>
      <c r="C34" s="113">
        <v>0.02</v>
      </c>
      <c r="D34" s="176">
        <v>891.27783051616905</v>
      </c>
      <c r="E34" s="158">
        <f t="shared" si="5"/>
        <v>809.52759534173913</v>
      </c>
      <c r="F34" s="160" t="s">
        <v>53</v>
      </c>
      <c r="G34" s="205">
        <v>0.99988449250399503</v>
      </c>
      <c r="H34" s="112" t="s">
        <v>59</v>
      </c>
      <c r="I34" s="112">
        <v>3</v>
      </c>
      <c r="J34" s="112">
        <v>4787.5572171243984</v>
      </c>
      <c r="K34" s="112">
        <v>1595.8524057081329</v>
      </c>
      <c r="L34" s="112"/>
      <c r="M34" s="112"/>
      <c r="N34" s="112" t="s">
        <v>74</v>
      </c>
      <c r="O34" s="161">
        <v>41451.30126516075</v>
      </c>
      <c r="P34" s="161">
        <v>257.22176242014638</v>
      </c>
      <c r="Q34" s="161"/>
      <c r="R34" s="161">
        <v>161.1500554041541</v>
      </c>
      <c r="S34" s="161">
        <v>5.2688904358589253E-7</v>
      </c>
      <c r="T34" s="161">
        <v>40632.706817708189</v>
      </c>
      <c r="U34" s="161">
        <v>42269.89571261331</v>
      </c>
      <c r="V34" s="161">
        <v>40632.706817708189</v>
      </c>
      <c r="W34" s="161">
        <v>42269.89571261331</v>
      </c>
      <c r="X34" s="164"/>
      <c r="Y34" s="164"/>
    </row>
    <row r="35" spans="1:26" s="163" customFormat="1" ht="14" x14ac:dyDescent="0.2">
      <c r="A35" s="157">
        <v>43888</v>
      </c>
      <c r="B35" s="111">
        <v>6</v>
      </c>
      <c r="C35" s="113">
        <v>0.05</v>
      </c>
      <c r="D35" s="176">
        <v>2215.4218091207999</v>
      </c>
      <c r="E35" s="158">
        <f t="shared" si="5"/>
        <v>2133.6715739463702</v>
      </c>
      <c r="F35" s="160" t="s">
        <v>54</v>
      </c>
      <c r="G35" s="205">
        <v>0.9998459900053267</v>
      </c>
      <c r="H35" s="112" t="s">
        <v>60</v>
      </c>
      <c r="I35" s="112">
        <v>4</v>
      </c>
      <c r="J35" s="112">
        <v>41448021.840208948</v>
      </c>
      <c r="K35" s="112"/>
      <c r="L35" s="112"/>
      <c r="M35" s="112"/>
      <c r="N35" s="165"/>
      <c r="O35" s="165"/>
      <c r="P35" s="165"/>
      <c r="Q35" s="165"/>
      <c r="R35" s="165"/>
      <c r="S35" s="165"/>
      <c r="T35" s="165"/>
      <c r="U35" s="165"/>
      <c r="V35" s="165"/>
      <c r="Z35" s="165"/>
    </row>
    <row r="36" spans="1:26" s="163" customFormat="1" ht="14" x14ac:dyDescent="0.2">
      <c r="A36" s="157">
        <v>43888</v>
      </c>
      <c r="B36" s="111">
        <v>6</v>
      </c>
      <c r="C36" s="114">
        <v>0.1</v>
      </c>
      <c r="D36" s="176">
        <v>4201.1176836387203</v>
      </c>
      <c r="E36" s="158">
        <f t="shared" si="5"/>
        <v>4119.3674484642906</v>
      </c>
      <c r="F36" s="160" t="s">
        <v>55</v>
      </c>
      <c r="G36" s="205">
        <v>39.948121429025079</v>
      </c>
      <c r="H36" s="112"/>
      <c r="I36" s="112"/>
      <c r="J36" s="165"/>
      <c r="K36" s="165"/>
    </row>
    <row r="37" spans="1:26" s="163" customFormat="1" ht="14" x14ac:dyDescent="0.2">
      <c r="A37" s="169">
        <v>43888</v>
      </c>
      <c r="B37" s="129">
        <v>6</v>
      </c>
      <c r="C37" s="125">
        <v>0.2</v>
      </c>
      <c r="D37" s="181">
        <v>8378.2068154010303</v>
      </c>
      <c r="E37" s="170">
        <f t="shared" si="5"/>
        <v>8296.4565802266006</v>
      </c>
      <c r="F37" s="171" t="s">
        <v>56</v>
      </c>
      <c r="G37" s="206">
        <v>5</v>
      </c>
      <c r="H37" s="125"/>
      <c r="I37" s="125"/>
      <c r="J37" s="172"/>
      <c r="K37" s="172"/>
      <c r="L37" s="172"/>
      <c r="M37" s="172"/>
      <c r="N37" s="172"/>
      <c r="O37" s="172"/>
      <c r="P37" s="172"/>
      <c r="Q37" s="172"/>
      <c r="R37" s="172"/>
      <c r="S37" s="172"/>
      <c r="T37" s="172"/>
      <c r="U37" s="172"/>
      <c r="V37" s="172"/>
      <c r="W37" s="203" t="s">
        <v>274</v>
      </c>
      <c r="X37" s="338">
        <f>AVERAGE(X33,X27,X20,X15,X8,X3)</f>
        <v>4.3430308883673288E-3</v>
      </c>
      <c r="Y37" s="204">
        <f>AVERAGE(Y33,Y27,Y20,Y15,Y8,Y3)</f>
        <v>1.3160699661719177E-2</v>
      </c>
    </row>
    <row r="38" spans="1:26" x14ac:dyDescent="0.2">
      <c r="A38" s="8"/>
      <c r="B38" s="7"/>
      <c r="C38" s="11"/>
      <c r="D38" s="23"/>
      <c r="E38" s="29"/>
      <c r="F38" s="28"/>
      <c r="G38" s="31"/>
      <c r="H38" s="31"/>
      <c r="I38" s="31"/>
      <c r="J38" s="13"/>
      <c r="K38" s="13"/>
    </row>
    <row r="39" spans="1:26" x14ac:dyDescent="0.2">
      <c r="A39" s="8"/>
      <c r="B39" s="7"/>
      <c r="C39" s="11"/>
      <c r="D39" s="23"/>
      <c r="E39" s="29"/>
      <c r="F39" s="28"/>
      <c r="G39" s="10"/>
      <c r="H39" s="13"/>
      <c r="I39" s="13"/>
      <c r="J39" s="13"/>
      <c r="K39" s="13"/>
    </row>
    <row r="40" spans="1:26" x14ac:dyDescent="0.2">
      <c r="A40" s="8"/>
      <c r="B40" s="6"/>
      <c r="C40" s="11"/>
      <c r="D40" s="10"/>
      <c r="E40" s="10"/>
      <c r="F40" s="10"/>
      <c r="G40" s="10"/>
    </row>
    <row r="41" spans="1:26" s="135" customFormat="1" x14ac:dyDescent="0.2">
      <c r="E41" s="383" t="s">
        <v>77</v>
      </c>
      <c r="F41" s="383"/>
      <c r="G41" s="383"/>
      <c r="H41" s="384"/>
      <c r="K41" s="383" t="s">
        <v>277</v>
      </c>
      <c r="L41" s="385"/>
      <c r="M41" s="385"/>
      <c r="N41" s="385"/>
    </row>
    <row r="42" spans="1:26" s="135" customFormat="1" ht="64" customHeight="1" x14ac:dyDescent="0.2">
      <c r="A42" s="189" t="s">
        <v>13</v>
      </c>
      <c r="B42" s="189" t="s">
        <v>14</v>
      </c>
      <c r="C42" s="189" t="s">
        <v>12</v>
      </c>
      <c r="D42" s="189"/>
      <c r="E42" s="120" t="s">
        <v>10</v>
      </c>
      <c r="F42" s="120" t="s">
        <v>11</v>
      </c>
      <c r="G42" s="120" t="s">
        <v>276</v>
      </c>
      <c r="H42" s="367" t="s">
        <v>75</v>
      </c>
      <c r="I42" s="368" t="s">
        <v>78</v>
      </c>
      <c r="J42" s="120" t="s">
        <v>79</v>
      </c>
      <c r="K42" s="120" t="s">
        <v>10</v>
      </c>
      <c r="L42" s="120" t="s">
        <v>11</v>
      </c>
      <c r="M42" s="120" t="s">
        <v>276</v>
      </c>
      <c r="N42" s="367" t="s">
        <v>75</v>
      </c>
    </row>
    <row r="43" spans="1:26" s="135" customFormat="1" ht="39" customHeight="1" x14ac:dyDescent="0.2">
      <c r="A43" s="349" t="s">
        <v>6</v>
      </c>
      <c r="B43" s="350">
        <v>414.75603542679301</v>
      </c>
      <c r="C43" s="351">
        <v>0.89450954395267401</v>
      </c>
      <c r="D43" s="95"/>
      <c r="E43" s="352">
        <f>((B43-$D$2+71.471)/47154)/(C43*100%)*$B$62</f>
        <v>0.49813892131088755</v>
      </c>
      <c r="F43" s="312">
        <f>((B43-$D$2)/46641)/(C43*100%)*$B$62</f>
        <v>0.41796402664226334</v>
      </c>
      <c r="G43" s="312">
        <f>0.00933150542012172/(C43*100%)*50</f>
        <v>0.52159898590279463</v>
      </c>
      <c r="H43" s="353">
        <f>TREND($C$2:$C$7,$E$2:$E$7,B43)/(C43*100%)*$B$62</f>
        <v>0.57679693758898309</v>
      </c>
      <c r="I43" s="354">
        <v>0.46499121024712597</v>
      </c>
      <c r="J43" s="372">
        <v>5.3229486435366902E-2</v>
      </c>
      <c r="K43" s="355">
        <f>100-(I43/E43*100)</f>
        <v>6.6543106040642215</v>
      </c>
      <c r="L43" s="355">
        <f>(I43/F43*100)-100</f>
        <v>11.251490704273778</v>
      </c>
      <c r="M43" s="355">
        <f>100-(I43/G43*100)</f>
        <v>10.852738825343138</v>
      </c>
      <c r="N43" s="355">
        <f>100-(I43/H43*100)</f>
        <v>19.383897530594766</v>
      </c>
    </row>
    <row r="44" spans="1:26" s="135" customFormat="1" ht="14" x14ac:dyDescent="0.2">
      <c r="A44" s="349" t="s">
        <v>7</v>
      </c>
      <c r="B44" s="350">
        <v>323.00365804900002</v>
      </c>
      <c r="C44" s="351">
        <v>0.92222715865967198</v>
      </c>
      <c r="D44" s="95"/>
      <c r="E44" s="352">
        <f>((B44-$D$2+71.471)/47154)/(C44*100%)*$B$62</f>
        <v>0.37767255538265304</v>
      </c>
      <c r="F44" s="312">
        <f>((B44-$D$2)/46641)/(C44*100%)*$B$62</f>
        <v>0.29874699691401774</v>
      </c>
      <c r="G44" s="312">
        <f t="shared" ref="G44:G60" si="6">0.00933150542012172/(C44*100%)*50</f>
        <v>0.5059222845748631</v>
      </c>
      <c r="H44" s="353">
        <f>TREND($C$2:$C$7,$E$2:$E$7,B44)/(C44*100%)*$B$62</f>
        <v>0.45398056071854453</v>
      </c>
      <c r="I44" s="354">
        <v>0.332322354413911</v>
      </c>
      <c r="J44" s="372">
        <v>4.8616759126426601E-2</v>
      </c>
      <c r="K44" s="355">
        <f>100-(I44/E44*100)</f>
        <v>12.007809495925329</v>
      </c>
      <c r="L44" s="355">
        <f>(I44/F44*100)-100</f>
        <v>11.238726362680922</v>
      </c>
      <c r="M44" s="355">
        <f t="shared" ref="M44:M60" si="7">100-(I44/G44*100)</f>
        <v>34.313556736650114</v>
      </c>
      <c r="N44" s="355">
        <f>100-(I44/H44*100)</f>
        <v>26.798109177202917</v>
      </c>
    </row>
    <row r="45" spans="1:26" s="135" customFormat="1" ht="14" x14ac:dyDescent="0.2">
      <c r="A45" s="349" t="s">
        <v>7</v>
      </c>
      <c r="B45" s="350">
        <v>308.75335430538797</v>
      </c>
      <c r="C45" s="351">
        <v>0.91587105636331301</v>
      </c>
      <c r="D45" s="95"/>
      <c r="E45" s="352">
        <f>((B45-$D$2+71.471)/47154)/(C45*100%)*$B$62</f>
        <v>0.36379520716305846</v>
      </c>
      <c r="F45" s="312">
        <f>((B45-$D$2)/46641)/(C45*100%)*$B$62</f>
        <v>0.28414044489125517</v>
      </c>
      <c r="G45" s="312">
        <f t="shared" si="6"/>
        <v>0.50943336156809638</v>
      </c>
      <c r="H45" s="353">
        <f>TREND($C$2:$C$7,$E$2:$E$7,B45)/(C45*100%)*$B$62</f>
        <v>0.4406349857039738</v>
      </c>
      <c r="I45" s="354">
        <v>0.31724117017765202</v>
      </c>
      <c r="J45" s="372">
        <v>0.11198921519376399</v>
      </c>
      <c r="K45" s="355">
        <f>100-(I45/E45*100)</f>
        <v>12.796770289648222</v>
      </c>
      <c r="L45" s="355">
        <f>(I45/F45*100)-100</f>
        <v>11.64942403713944</v>
      </c>
      <c r="M45" s="355">
        <f t="shared" si="7"/>
        <v>37.726659832181774</v>
      </c>
      <c r="N45" s="355">
        <f>100-(I45/H45*100)</f>
        <v>28.00363555544358</v>
      </c>
    </row>
    <row r="46" spans="1:26" s="135" customFormat="1" ht="14" x14ac:dyDescent="0.2">
      <c r="A46" s="349" t="s">
        <v>8</v>
      </c>
      <c r="B46" s="350">
        <v>483.008180531307</v>
      </c>
      <c r="C46" s="351">
        <v>0.86969879565951802</v>
      </c>
      <c r="D46" s="95"/>
      <c r="E46" s="352">
        <f>((B46-$D$2+71.471)/47154)/(C46*100%)*$B$62</f>
        <v>0.59556429727220184</v>
      </c>
      <c r="F46" s="312">
        <f>((B46-$D$2)/46641)/(C46*100%)*$B$62</f>
        <v>0.51401744324012311</v>
      </c>
      <c r="G46" s="312">
        <f t="shared" si="6"/>
        <v>0.53647915040777816</v>
      </c>
      <c r="H46" s="353">
        <f>TREND($C$2:$C$7,$E$2:$E$7,B46)/(C46*100%)*$B$62</f>
        <v>0.67645517532005028</v>
      </c>
      <c r="I46" s="354">
        <v>0.57239778968880894</v>
      </c>
      <c r="J46" s="372">
        <v>4.8260931113941197E-2</v>
      </c>
      <c r="K46" s="355">
        <f>100-(I46/E46*100)</f>
        <v>3.8898415653019924</v>
      </c>
      <c r="L46" s="355">
        <f>(I46/F46*100)-100</f>
        <v>11.35765861965379</v>
      </c>
      <c r="M46" s="355">
        <f t="shared" si="7"/>
        <v>-6.6952535347793116</v>
      </c>
      <c r="N46" s="355">
        <f>100-(I46/H46*100)</f>
        <v>15.382746622052053</v>
      </c>
    </row>
    <row r="47" spans="1:26" s="135" customFormat="1" ht="14" x14ac:dyDescent="0.2">
      <c r="A47" s="349" t="s">
        <v>9</v>
      </c>
      <c r="B47" s="350">
        <v>450.757151970385</v>
      </c>
      <c r="C47" s="351">
        <v>0.87739604996162202</v>
      </c>
      <c r="D47" s="95"/>
      <c r="E47" s="352">
        <f>((B47-$D$2+71.471)/47154)/(C47*100%)*$B$62</f>
        <v>0.55136331968004604</v>
      </c>
      <c r="F47" s="312">
        <f>((B47-$D$2)/46641)/(C47*100%)*$B$62</f>
        <v>0.47010316762297671</v>
      </c>
      <c r="G47" s="312">
        <f t="shared" si="6"/>
        <v>0.53177270518427155</v>
      </c>
      <c r="H47" s="353">
        <f>TREND($C$2:$C$7,$E$2:$E$7,B47)/(C47*100%)*$B$62</f>
        <v>0.63154975056255469</v>
      </c>
      <c r="I47" s="354">
        <v>0.52383362395569599</v>
      </c>
      <c r="J47" s="372">
        <v>0.10057687925690099</v>
      </c>
      <c r="K47" s="355">
        <f>100-(I47/E47*100)</f>
        <v>4.993022702403465</v>
      </c>
      <c r="L47" s="355">
        <f>(I47/F47*100)-100</f>
        <v>11.429503145958634</v>
      </c>
      <c r="M47" s="355">
        <f t="shared" si="7"/>
        <v>1.4929463568131922</v>
      </c>
      <c r="N47" s="355">
        <f>100-(I47/H47*100)</f>
        <v>17.055841841582591</v>
      </c>
    </row>
    <row r="48" spans="1:26" s="135" customFormat="1" ht="14" x14ac:dyDescent="0.2">
      <c r="A48" s="356" t="s">
        <v>21</v>
      </c>
      <c r="B48" s="357">
        <v>50</v>
      </c>
      <c r="E48" s="352"/>
      <c r="F48" s="312"/>
      <c r="G48" s="312"/>
      <c r="H48" s="353"/>
      <c r="I48" s="358"/>
      <c r="J48" s="373"/>
      <c r="K48" s="355"/>
      <c r="L48" s="355"/>
      <c r="M48" s="355"/>
      <c r="N48" s="355"/>
    </row>
    <row r="49" spans="1:14" s="135" customFormat="1" ht="14" x14ac:dyDescent="0.2">
      <c r="A49" s="349" t="s">
        <v>15</v>
      </c>
      <c r="B49" s="359">
        <v>684.26640668760899</v>
      </c>
      <c r="C49" s="351">
        <v>0.89502254494107603</v>
      </c>
      <c r="D49" s="308"/>
      <c r="E49" s="352">
        <f t="shared" ref="E49:E60" si="8">((B49-$D$2+71.471)/47154)/(C49*100%)*$B$62</f>
        <v>0.81714903091087199</v>
      </c>
      <c r="F49" s="312">
        <f t="shared" ref="F49:F60" si="9">((B49-$D$2)/46641)/(C49*100%)*$B$62</f>
        <v>0.74053199294452487</v>
      </c>
      <c r="G49" s="312">
        <f t="shared" si="6"/>
        <v>0.52130002047803514</v>
      </c>
      <c r="H49" s="353">
        <f t="shared" ref="H49:H60" si="10">TREND($C$2:$C$7,$E$2:$E$7,B49)/(C49*100%)*$B$62</f>
        <v>0.8957194009134728</v>
      </c>
      <c r="I49" s="354">
        <v>0.81714069566127401</v>
      </c>
      <c r="J49" s="372">
        <v>2.95452250272768E-2</v>
      </c>
      <c r="K49" s="355">
        <f t="shared" ref="K49:K60" si="11">100-(I49/E49*100)</f>
        <v>1.0200403209950082E-3</v>
      </c>
      <c r="L49" s="355">
        <f t="shared" ref="L49:L60" si="12">(I49/F49*100)-100</f>
        <v>10.345090211718656</v>
      </c>
      <c r="M49" s="355">
        <f t="shared" si="7"/>
        <v>-56.750558903095992</v>
      </c>
      <c r="N49" s="355">
        <f t="shared" ref="N49:N60" si="13">100-(I49/H49*100)</f>
        <v>8.772692114524105</v>
      </c>
    </row>
    <row r="50" spans="1:14" s="135" customFormat="1" ht="14" x14ac:dyDescent="0.2">
      <c r="A50" s="349" t="s">
        <v>15</v>
      </c>
      <c r="B50" s="359">
        <v>672.51583806569499</v>
      </c>
      <c r="C50" s="351">
        <v>0.88707752770127501</v>
      </c>
      <c r="D50" s="308"/>
      <c r="E50" s="352">
        <f t="shared" si="8"/>
        <v>0.81042186678731876</v>
      </c>
      <c r="F50" s="312">
        <f t="shared" si="9"/>
        <v>0.73296412706515646</v>
      </c>
      <c r="G50" s="312">
        <f t="shared" si="6"/>
        <v>0.5259689896723504</v>
      </c>
      <c r="H50" s="353">
        <f t="shared" si="10"/>
        <v>0.88969781640439327</v>
      </c>
      <c r="I50" s="354">
        <v>0.81006519458854997</v>
      </c>
      <c r="J50" s="372">
        <v>3.5355034970479197E-2</v>
      </c>
      <c r="K50" s="355">
        <f t="shared" si="11"/>
        <v>4.4010683001772577E-2</v>
      </c>
      <c r="L50" s="355">
        <f t="shared" si="12"/>
        <v>10.519077902504165</v>
      </c>
      <c r="M50" s="355">
        <f t="shared" si="7"/>
        <v>-54.013869732733838</v>
      </c>
      <c r="N50" s="355">
        <f t="shared" si="13"/>
        <v>8.9505245879627893</v>
      </c>
    </row>
    <row r="51" spans="1:14" s="135" customFormat="1" ht="14" x14ac:dyDescent="0.2">
      <c r="A51" s="349" t="s">
        <v>16</v>
      </c>
      <c r="B51" s="350">
        <v>302.003201046519</v>
      </c>
      <c r="C51" s="351">
        <v>0.88540087067860596</v>
      </c>
      <c r="D51" s="308"/>
      <c r="E51" s="352">
        <f t="shared" si="8"/>
        <v>0.36823087689690703</v>
      </c>
      <c r="F51" s="312">
        <f t="shared" si="9"/>
        <v>0.28574596070054831</v>
      </c>
      <c r="G51" s="312">
        <f t="shared" si="6"/>
        <v>0.52696500134282054</v>
      </c>
      <c r="H51" s="353">
        <f t="shared" si="10"/>
        <v>0.44771609717309802</v>
      </c>
      <c r="I51" s="354">
        <v>0.32181880732072699</v>
      </c>
      <c r="J51" s="372">
        <v>8.1030343149157205E-2</v>
      </c>
      <c r="K51" s="355">
        <f t="shared" si="11"/>
        <v>12.604067852021544</v>
      </c>
      <c r="L51" s="355">
        <f t="shared" si="12"/>
        <v>12.624096778740395</v>
      </c>
      <c r="M51" s="355">
        <f t="shared" si="7"/>
        <v>38.929756909725846</v>
      </c>
      <c r="N51" s="355">
        <f t="shared" si="13"/>
        <v>28.119893532373055</v>
      </c>
    </row>
    <row r="52" spans="1:14" s="135" customFormat="1" ht="14" x14ac:dyDescent="0.2">
      <c r="A52" s="349" t="s">
        <v>16</v>
      </c>
      <c r="B52" s="350">
        <v>286.252868637505</v>
      </c>
      <c r="C52" s="351">
        <v>0.88308660477360401</v>
      </c>
      <c r="D52" s="308"/>
      <c r="E52" s="352">
        <f t="shared" si="8"/>
        <v>0.35028386438089432</v>
      </c>
      <c r="F52" s="312">
        <f t="shared" si="9"/>
        <v>0.26737477209462313</v>
      </c>
      <c r="G52" s="312">
        <f t="shared" si="6"/>
        <v>0.52834599515378389</v>
      </c>
      <c r="H52" s="353">
        <f t="shared" si="10"/>
        <v>0.42997990900183719</v>
      </c>
      <c r="I52" s="354">
        <v>0.30190128799549498</v>
      </c>
      <c r="J52" s="372">
        <v>2.2020282154089198E-2</v>
      </c>
      <c r="K52" s="355">
        <f t="shared" si="11"/>
        <v>13.812390836475615</v>
      </c>
      <c r="L52" s="355">
        <f t="shared" si="12"/>
        <v>12.913153933854701</v>
      </c>
      <c r="M52" s="355">
        <f t="shared" si="7"/>
        <v>42.859169793153896</v>
      </c>
      <c r="N52" s="355">
        <f t="shared" si="13"/>
        <v>29.787117566415162</v>
      </c>
    </row>
    <row r="53" spans="1:14" s="135" customFormat="1" ht="14" x14ac:dyDescent="0.2">
      <c r="A53" s="349" t="s">
        <v>17</v>
      </c>
      <c r="B53" s="350">
        <v>138.000668503247</v>
      </c>
      <c r="C53" s="351">
        <v>0.91833585375458804</v>
      </c>
      <c r="D53" s="308"/>
      <c r="E53" s="352">
        <f t="shared" si="8"/>
        <v>0.1656593960588898</v>
      </c>
      <c r="F53" s="312">
        <f t="shared" si="9"/>
        <v>8.4049888061000916E-2</v>
      </c>
      <c r="G53" s="312">
        <f t="shared" si="6"/>
        <v>0.50806605132371485</v>
      </c>
      <c r="H53" s="353">
        <f t="shared" si="10"/>
        <v>0.24231921912094809</v>
      </c>
      <c r="I53" s="354">
        <v>9.8513403323660403E-2</v>
      </c>
      <c r="J53" s="372">
        <v>0.13825337486332501</v>
      </c>
      <c r="K53" s="355">
        <f t="shared" si="11"/>
        <v>40.532559174222662</v>
      </c>
      <c r="L53" s="355">
        <f t="shared" si="12"/>
        <v>17.208250476386482</v>
      </c>
      <c r="M53" s="355">
        <f t="shared" si="7"/>
        <v>80.610118887693119</v>
      </c>
      <c r="N53" s="355">
        <f t="shared" si="13"/>
        <v>59.345608787848683</v>
      </c>
    </row>
    <row r="54" spans="1:14" s="135" customFormat="1" ht="14" x14ac:dyDescent="0.2">
      <c r="A54" s="349" t="s">
        <v>17</v>
      </c>
      <c r="B54" s="350">
        <v>135.00064381059801</v>
      </c>
      <c r="C54" s="351">
        <v>0.90916345566433598</v>
      </c>
      <c r="D54" s="308"/>
      <c r="E54" s="352">
        <f t="shared" si="8"/>
        <v>0.16383178350142177</v>
      </c>
      <c r="F54" s="312">
        <f t="shared" si="9"/>
        <v>8.136044650097865E-2</v>
      </c>
      <c r="G54" s="312">
        <f t="shared" si="6"/>
        <v>0.51319184476586144</v>
      </c>
      <c r="H54" s="353">
        <f t="shared" si="10"/>
        <v>0.241265481103459</v>
      </c>
      <c r="I54" s="354">
        <v>9.6263972527413796E-2</v>
      </c>
      <c r="J54" s="372">
        <v>0.19964276286562599</v>
      </c>
      <c r="K54" s="355">
        <f t="shared" si="11"/>
        <v>41.24218727889366</v>
      </c>
      <c r="L54" s="355">
        <f t="shared" si="12"/>
        <v>18.317900979385456</v>
      </c>
      <c r="M54" s="355">
        <f t="shared" si="7"/>
        <v>81.24210789605722</v>
      </c>
      <c r="N54" s="355">
        <f t="shared" si="13"/>
        <v>60.100395594455527</v>
      </c>
    </row>
    <row r="55" spans="1:14" s="135" customFormat="1" ht="14" x14ac:dyDescent="0.2">
      <c r="A55" s="349" t="s">
        <v>18</v>
      </c>
      <c r="B55" s="350">
        <v>274.25263859669798</v>
      </c>
      <c r="C55" s="351">
        <v>0.88602360257916501</v>
      </c>
      <c r="D55" s="308"/>
      <c r="E55" s="352">
        <f t="shared" si="8"/>
        <v>0.33476137491257724</v>
      </c>
      <c r="F55" s="312">
        <f t="shared" si="9"/>
        <v>0.25196915099803097</v>
      </c>
      <c r="G55" s="312">
        <f t="shared" si="6"/>
        <v>0.52659462981337246</v>
      </c>
      <c r="H55" s="353">
        <f t="shared" si="10"/>
        <v>0.41419515683140318</v>
      </c>
      <c r="I55" s="354">
        <v>0.28496088588669199</v>
      </c>
      <c r="J55" s="372">
        <v>8.3882102689514196E-2</v>
      </c>
      <c r="K55" s="355">
        <f t="shared" si="11"/>
        <v>14.876414293282963</v>
      </c>
      <c r="L55" s="355">
        <f t="shared" si="12"/>
        <v>13.093561159365436</v>
      </c>
      <c r="M55" s="355">
        <f t="shared" si="7"/>
        <v>45.886101043665519</v>
      </c>
      <c r="N55" s="355">
        <f t="shared" si="13"/>
        <v>31.201299390691716</v>
      </c>
    </row>
    <row r="56" spans="1:14" s="135" customFormat="1" ht="14" x14ac:dyDescent="0.2">
      <c r="A56" s="349" t="s">
        <v>18</v>
      </c>
      <c r="B56" s="350">
        <v>279.50274859466799</v>
      </c>
      <c r="C56" s="351">
        <v>0.88359366541138895</v>
      </c>
      <c r="D56" s="308"/>
      <c r="E56" s="352">
        <f t="shared" si="8"/>
        <v>0.34198237706258461</v>
      </c>
      <c r="F56" s="312">
        <f t="shared" si="9"/>
        <v>0.2590317667927699</v>
      </c>
      <c r="G56" s="312">
        <f t="shared" si="6"/>
        <v>0.52804279757806449</v>
      </c>
      <c r="H56" s="353">
        <f t="shared" si="10"/>
        <v>0.4216337669538428</v>
      </c>
      <c r="I56" s="354">
        <v>0.29252935601845398</v>
      </c>
      <c r="J56" s="372">
        <v>9.4454997614715305E-2</v>
      </c>
      <c r="K56" s="355">
        <f t="shared" si="11"/>
        <v>14.460692819583642</v>
      </c>
      <c r="L56" s="355">
        <f t="shared" si="12"/>
        <v>12.931846020446883</v>
      </c>
      <c r="M56" s="355">
        <f t="shared" si="7"/>
        <v>44.601203281215632</v>
      </c>
      <c r="N56" s="355">
        <f t="shared" si="13"/>
        <v>30.620035930263185</v>
      </c>
    </row>
    <row r="57" spans="1:14" s="135" customFormat="1" ht="14" x14ac:dyDescent="0.2">
      <c r="A57" s="349" t="s">
        <v>19</v>
      </c>
      <c r="B57" s="350">
        <v>330.75383705086102</v>
      </c>
      <c r="C57" s="351">
        <v>0.88510916556297003</v>
      </c>
      <c r="D57" s="308"/>
      <c r="E57" s="352">
        <f t="shared" si="8"/>
        <v>0.40279532279439734</v>
      </c>
      <c r="F57" s="312">
        <f t="shared" si="9"/>
        <v>0.32066205838114947</v>
      </c>
      <c r="G57" s="312">
        <f t="shared" si="6"/>
        <v>0.5271386730125236</v>
      </c>
      <c r="H57" s="353">
        <f t="shared" si="10"/>
        <v>0.48230214775828423</v>
      </c>
      <c r="I57" s="354">
        <v>0.35981656344842899</v>
      </c>
      <c r="J57" s="372">
        <v>5.75567101677288E-2</v>
      </c>
      <c r="K57" s="355">
        <f t="shared" si="11"/>
        <v>10.670123736244676</v>
      </c>
      <c r="L57" s="355">
        <f t="shared" si="12"/>
        <v>12.210520092383106</v>
      </c>
      <c r="M57" s="355">
        <f t="shared" si="7"/>
        <v>31.74157354228484</v>
      </c>
      <c r="N57" s="355">
        <f t="shared" si="13"/>
        <v>25.396027133439475</v>
      </c>
    </row>
    <row r="58" spans="1:14" s="135" customFormat="1" ht="14" x14ac:dyDescent="0.2">
      <c r="A58" s="349" t="s">
        <v>19</v>
      </c>
      <c r="B58" s="350">
        <v>321.75363212234498</v>
      </c>
      <c r="C58" s="351">
        <v>0.88973004696782498</v>
      </c>
      <c r="D58" s="308"/>
      <c r="E58" s="352">
        <f t="shared" si="8"/>
        <v>0.38997718134434783</v>
      </c>
      <c r="F58" s="312">
        <f t="shared" si="9"/>
        <v>0.30815250596050525</v>
      </c>
      <c r="G58" s="312">
        <f t="shared" si="6"/>
        <v>0.52440093778574914</v>
      </c>
      <c r="H58" s="353">
        <f t="shared" si="10"/>
        <v>0.46907251129051059</v>
      </c>
      <c r="I58" s="354">
        <v>0.34579196177818</v>
      </c>
      <c r="J58" s="372">
        <v>7.1542661959022605E-2</v>
      </c>
      <c r="K58" s="355">
        <f t="shared" si="11"/>
        <v>11.330206401782391</v>
      </c>
      <c r="L58" s="355">
        <f t="shared" si="12"/>
        <v>12.214554511037747</v>
      </c>
      <c r="M58" s="355">
        <f t="shared" si="7"/>
        <v>34.059621777515233</v>
      </c>
      <c r="N58" s="355">
        <f t="shared" si="13"/>
        <v>26.281768073162411</v>
      </c>
    </row>
    <row r="59" spans="1:14" s="135" customFormat="1" ht="14" x14ac:dyDescent="0.2">
      <c r="A59" s="349" t="s">
        <v>20</v>
      </c>
      <c r="B59" s="350">
        <v>352.00434059607198</v>
      </c>
      <c r="C59" s="351">
        <v>0.88479998728588505</v>
      </c>
      <c r="D59" s="308"/>
      <c r="E59" s="352">
        <f t="shared" si="8"/>
        <v>0.42840294342971946</v>
      </c>
      <c r="F59" s="312">
        <f t="shared" si="9"/>
        <v>0.34652108667735809</v>
      </c>
      <c r="G59" s="312">
        <f t="shared" si="6"/>
        <v>0.52732287263848288</v>
      </c>
      <c r="H59" s="353">
        <f t="shared" si="10"/>
        <v>0.50793415599092029</v>
      </c>
      <c r="I59" s="354">
        <v>0.38821215214493898</v>
      </c>
      <c r="J59" s="372">
        <v>4.7460459735478903E-2</v>
      </c>
      <c r="K59" s="355">
        <f t="shared" si="11"/>
        <v>9.3815394831370753</v>
      </c>
      <c r="L59" s="355">
        <f t="shared" si="12"/>
        <v>12.031321345358407</v>
      </c>
      <c r="M59" s="355">
        <f t="shared" si="7"/>
        <v>26.380558802142858</v>
      </c>
      <c r="N59" s="355">
        <f t="shared" si="13"/>
        <v>23.570378647290937</v>
      </c>
    </row>
    <row r="60" spans="1:14" s="135" customFormat="1" ht="14" x14ac:dyDescent="0.2">
      <c r="A60" s="349" t="s">
        <v>20</v>
      </c>
      <c r="B60" s="350">
        <v>352.75436932304802</v>
      </c>
      <c r="C60" s="351">
        <v>0.89302680500911102</v>
      </c>
      <c r="D60" s="308"/>
      <c r="E60" s="352">
        <f t="shared" si="8"/>
        <v>0.42534693673627932</v>
      </c>
      <c r="F60" s="312">
        <f t="shared" si="9"/>
        <v>0.34422919423476112</v>
      </c>
      <c r="G60" s="312">
        <f t="shared" si="6"/>
        <v>0.52246502388170291</v>
      </c>
      <c r="H60" s="353">
        <f t="shared" si="10"/>
        <v>0.50414536636458651</v>
      </c>
      <c r="I60" s="354">
        <v>0.38465814518358599</v>
      </c>
      <c r="J60" s="372">
        <v>6.5497142985248599E-2</v>
      </c>
      <c r="K60" s="355">
        <f t="shared" si="11"/>
        <v>9.5660243529438844</v>
      </c>
      <c r="L60" s="355">
        <f t="shared" si="12"/>
        <v>11.744776917803406</v>
      </c>
      <c r="M60" s="355">
        <f t="shared" si="7"/>
        <v>26.3762878659834</v>
      </c>
      <c r="N60" s="355">
        <f t="shared" si="13"/>
        <v>23.700946027259533</v>
      </c>
    </row>
    <row r="61" spans="1:14" s="135" customFormat="1" ht="14" x14ac:dyDescent="0.2">
      <c r="A61" s="95"/>
      <c r="B61" s="95"/>
      <c r="C61" s="95"/>
      <c r="D61" s="95"/>
      <c r="F61" s="300"/>
      <c r="I61" s="360"/>
      <c r="J61" s="137"/>
      <c r="K61" s="355"/>
      <c r="L61" s="355"/>
      <c r="M61" s="355"/>
      <c r="N61" s="355"/>
    </row>
    <row r="62" spans="1:14" s="135" customFormat="1" ht="30" customHeight="1" x14ac:dyDescent="0.2">
      <c r="A62" s="361" t="s">
        <v>76</v>
      </c>
      <c r="B62" s="110">
        <v>50</v>
      </c>
      <c r="C62" s="362"/>
      <c r="D62" s="364"/>
      <c r="E62" s="300"/>
      <c r="F62" s="300"/>
      <c r="G62" s="300"/>
      <c r="I62" s="363"/>
      <c r="J62" s="363"/>
      <c r="K62" s="355"/>
      <c r="L62" s="355"/>
      <c r="M62" s="355"/>
    </row>
    <row r="63" spans="1:14" s="135" customFormat="1" ht="14" x14ac:dyDescent="0.2"/>
    <row r="64" spans="1:14" s="135" customFormat="1" ht="14" x14ac:dyDescent="0.2">
      <c r="A64" s="365" t="s">
        <v>22</v>
      </c>
      <c r="B64" s="366"/>
    </row>
  </sheetData>
  <mergeCells count="2">
    <mergeCell ref="E41:H41"/>
    <mergeCell ref="K41:N4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D3CB7-C6D1-E242-873C-9971E6E7412A}">
  <dimension ref="A1:AF116"/>
  <sheetViews>
    <sheetView topLeftCell="B9" zoomScale="157" workbookViewId="0">
      <selection sqref="A1:XFD1"/>
    </sheetView>
  </sheetViews>
  <sheetFormatPr baseColWidth="10" defaultRowHeight="16" x14ac:dyDescent="0.2"/>
  <cols>
    <col min="2" max="2" width="10.6640625" customWidth="1"/>
    <col min="6" max="6" width="17.83203125" customWidth="1"/>
    <col min="10" max="10" width="11.6640625" bestFit="1" customWidth="1"/>
    <col min="11" max="11" width="14.1640625" customWidth="1"/>
    <col min="12" max="12" width="13.5" customWidth="1"/>
    <col min="13" max="13" width="12.5" customWidth="1"/>
    <col min="14" max="14" width="10.1640625" customWidth="1"/>
    <col min="15" max="15" width="11" bestFit="1" customWidth="1"/>
    <col min="16" max="16" width="7.33203125" customWidth="1"/>
    <col min="17" max="17" width="6.6640625" customWidth="1"/>
    <col min="18" max="18" width="8.1640625" customWidth="1"/>
    <col min="19" max="23" width="11" bestFit="1" customWidth="1"/>
  </cols>
  <sheetData>
    <row r="1" spans="1:26" s="135" customFormat="1" ht="31" thickBot="1" x14ac:dyDescent="0.25">
      <c r="A1" s="103" t="s">
        <v>2</v>
      </c>
      <c r="B1" s="107" t="s">
        <v>3</v>
      </c>
      <c r="C1" s="107" t="s">
        <v>4</v>
      </c>
      <c r="D1" s="108" t="s">
        <v>1</v>
      </c>
      <c r="E1" s="107" t="s">
        <v>80</v>
      </c>
      <c r="F1" s="135" t="s">
        <v>50</v>
      </c>
      <c r="H1" s="135" t="s">
        <v>57</v>
      </c>
    </row>
    <row r="2" spans="1:26" s="135" customFormat="1" ht="14" x14ac:dyDescent="0.2">
      <c r="A2" s="109">
        <v>43838</v>
      </c>
      <c r="B2" s="110">
        <v>1</v>
      </c>
      <c r="C2" s="111">
        <v>0</v>
      </c>
      <c r="D2" s="112">
        <v>41</v>
      </c>
      <c r="E2" s="111">
        <f>D2-$D$2</f>
        <v>0</v>
      </c>
      <c r="F2" s="210" t="s">
        <v>51</v>
      </c>
      <c r="G2" s="210"/>
      <c r="H2" s="211"/>
      <c r="I2" s="211" t="s">
        <v>62</v>
      </c>
      <c r="J2" s="211" t="s">
        <v>63</v>
      </c>
      <c r="K2" s="211" t="s">
        <v>64</v>
      </c>
      <c r="L2" s="211" t="s">
        <v>65</v>
      </c>
      <c r="M2" s="211" t="s">
        <v>66</v>
      </c>
      <c r="N2" s="211"/>
      <c r="O2" s="211" t="s">
        <v>67</v>
      </c>
      <c r="P2" s="211" t="s">
        <v>270</v>
      </c>
      <c r="Q2" s="211" t="s">
        <v>271</v>
      </c>
      <c r="R2" s="211" t="s">
        <v>68</v>
      </c>
      <c r="S2" s="211" t="s">
        <v>69</v>
      </c>
      <c r="T2" s="211" t="s">
        <v>70</v>
      </c>
      <c r="U2" s="211" t="s">
        <v>71</v>
      </c>
      <c r="V2" s="211" t="s">
        <v>72</v>
      </c>
      <c r="W2" s="211" t="s">
        <v>73</v>
      </c>
      <c r="X2" s="178" t="s">
        <v>272</v>
      </c>
      <c r="Y2" s="178" t="s">
        <v>273</v>
      </c>
    </row>
    <row r="3" spans="1:26" s="135" customFormat="1" ht="14" x14ac:dyDescent="0.2">
      <c r="A3" s="109">
        <v>43838</v>
      </c>
      <c r="B3" s="110">
        <v>1</v>
      </c>
      <c r="C3" s="113">
        <v>0.05</v>
      </c>
      <c r="D3" s="111">
        <v>491.73414939193401</v>
      </c>
      <c r="E3" s="111">
        <f t="shared" ref="E3:E7" si="0">D3-$D$2</f>
        <v>450.73414939193401</v>
      </c>
      <c r="F3" s="133" t="s">
        <v>52</v>
      </c>
      <c r="G3" s="133">
        <v>0.99999121051328399</v>
      </c>
      <c r="H3" s="133" t="s">
        <v>58</v>
      </c>
      <c r="I3" s="133">
        <v>1</v>
      </c>
      <c r="J3" s="134">
        <v>53479639.074243248</v>
      </c>
      <c r="K3" s="134">
        <v>53479639.074243248</v>
      </c>
      <c r="L3" s="134">
        <v>170656.17960919804</v>
      </c>
      <c r="M3" s="134">
        <v>3.1280850740223462E-8</v>
      </c>
      <c r="N3" s="134" t="s">
        <v>61</v>
      </c>
      <c r="O3" s="134">
        <v>-21.605677750777431</v>
      </c>
      <c r="P3" s="134">
        <v>11.735389409942023</v>
      </c>
      <c r="Q3" s="134">
        <f>P3*SQRT(G7)</f>
        <v>26.241128463061511</v>
      </c>
      <c r="R3" s="134">
        <v>-1.8410703723622044</v>
      </c>
      <c r="S3" s="134">
        <v>0.16286431277678406</v>
      </c>
      <c r="T3" s="134">
        <v>-58.952924419512989</v>
      </c>
      <c r="U3" s="134">
        <v>15.741568917958126</v>
      </c>
      <c r="V3" s="134">
        <v>-58.952924419512989</v>
      </c>
      <c r="W3" s="134">
        <v>15.741568917958126</v>
      </c>
      <c r="X3" s="162">
        <f>3.3*Q3/O4</f>
        <v>9.1951934297627574E-3</v>
      </c>
      <c r="Y3" s="162">
        <f>10*Q3/O4</f>
        <v>2.7864222514432598E-2</v>
      </c>
    </row>
    <row r="4" spans="1:26" s="135" customFormat="1" ht="14" x14ac:dyDescent="0.2">
      <c r="A4" s="109">
        <v>43838</v>
      </c>
      <c r="B4" s="110">
        <v>1</v>
      </c>
      <c r="C4" s="113">
        <v>0.1</v>
      </c>
      <c r="D4" s="111">
        <v>954.48535491570703</v>
      </c>
      <c r="E4" s="111">
        <f t="shared" si="0"/>
        <v>913.48535491570703</v>
      </c>
      <c r="F4" s="133" t="s">
        <v>53</v>
      </c>
      <c r="G4" s="133">
        <v>0.99998242110382296</v>
      </c>
      <c r="H4" s="133" t="s">
        <v>59</v>
      </c>
      <c r="I4" s="133">
        <v>3</v>
      </c>
      <c r="J4" s="147">
        <v>940.12954930864043</v>
      </c>
      <c r="K4" s="134">
        <v>313.37651643621348</v>
      </c>
      <c r="L4" s="134"/>
      <c r="M4" s="134"/>
      <c r="N4" s="134" t="s">
        <v>74</v>
      </c>
      <c r="O4" s="134">
        <v>9417.4988910850152</v>
      </c>
      <c r="P4" s="134">
        <v>22.796835646267684</v>
      </c>
      <c r="Q4" s="134"/>
      <c r="R4" s="134">
        <v>413.10553083830541</v>
      </c>
      <c r="S4" s="134">
        <v>3.1280850740223462E-8</v>
      </c>
      <c r="T4" s="134">
        <v>9344.9491857103912</v>
      </c>
      <c r="U4" s="134">
        <v>9490.0485964596392</v>
      </c>
      <c r="V4" s="134">
        <v>9344.9491857103912</v>
      </c>
      <c r="W4" s="134">
        <v>9490.0485964596392</v>
      </c>
      <c r="X4" s="137"/>
    </row>
    <row r="5" spans="1:26" s="135" customFormat="1" ht="14" x14ac:dyDescent="0.2">
      <c r="A5" s="109">
        <v>43838</v>
      </c>
      <c r="B5" s="110">
        <v>1</v>
      </c>
      <c r="C5" s="113">
        <v>0.25</v>
      </c>
      <c r="D5" s="111">
        <v>2394</v>
      </c>
      <c r="E5" s="111">
        <f t="shared" si="0"/>
        <v>2353</v>
      </c>
      <c r="F5" s="133" t="s">
        <v>54</v>
      </c>
      <c r="G5" s="133">
        <v>0.99997656147176395</v>
      </c>
      <c r="H5" s="133" t="s">
        <v>60</v>
      </c>
      <c r="I5" s="133">
        <v>4</v>
      </c>
      <c r="J5" s="147">
        <v>53480579.203792557</v>
      </c>
      <c r="K5" s="134"/>
      <c r="L5" s="134"/>
      <c r="M5" s="134"/>
      <c r="N5" s="138"/>
      <c r="O5" s="138"/>
      <c r="P5" s="138"/>
      <c r="Q5" s="138"/>
      <c r="R5" s="138"/>
      <c r="S5" s="138"/>
      <c r="T5" s="138"/>
      <c r="U5" s="138"/>
      <c r="V5" s="138"/>
      <c r="W5" s="138"/>
      <c r="X5" s="137"/>
    </row>
    <row r="6" spans="1:26" s="135" customFormat="1" ht="14" x14ac:dyDescent="0.2">
      <c r="A6" s="109">
        <v>43838</v>
      </c>
      <c r="B6" s="110">
        <v>1</v>
      </c>
      <c r="C6" s="114">
        <v>0.5</v>
      </c>
      <c r="D6" s="111">
        <v>4707</v>
      </c>
      <c r="E6" s="111">
        <f t="shared" si="0"/>
        <v>4666</v>
      </c>
      <c r="F6" s="133" t="s">
        <v>55</v>
      </c>
      <c r="G6" s="133">
        <v>17.702443798419853</v>
      </c>
      <c r="H6" s="137"/>
      <c r="I6" s="137"/>
      <c r="J6" s="212"/>
      <c r="K6" s="138"/>
      <c r="L6" s="138"/>
      <c r="M6" s="138"/>
      <c r="N6" s="138"/>
      <c r="O6" s="138"/>
      <c r="P6" s="138"/>
      <c r="Q6" s="138"/>
      <c r="R6" s="138"/>
      <c r="S6" s="138"/>
      <c r="T6" s="138"/>
      <c r="U6" s="138"/>
      <c r="V6" s="138"/>
      <c r="W6" s="138"/>
      <c r="X6" s="137"/>
    </row>
    <row r="7" spans="1:26" s="135" customFormat="1" ht="14" x14ac:dyDescent="0.2">
      <c r="A7" s="123">
        <v>43838</v>
      </c>
      <c r="B7" s="124">
        <v>1</v>
      </c>
      <c r="C7" s="125">
        <v>1</v>
      </c>
      <c r="D7" s="129">
        <v>9443</v>
      </c>
      <c r="E7" s="129">
        <f t="shared" si="0"/>
        <v>9402</v>
      </c>
      <c r="F7" s="148" t="s">
        <v>56</v>
      </c>
      <c r="G7" s="148">
        <v>5</v>
      </c>
      <c r="H7" s="141"/>
      <c r="I7" s="141"/>
      <c r="J7" s="186"/>
      <c r="K7" s="142"/>
      <c r="L7" s="142"/>
      <c r="M7" s="142"/>
      <c r="N7" s="142"/>
      <c r="O7" s="138"/>
      <c r="P7" s="138"/>
      <c r="Q7" s="138"/>
      <c r="R7" s="138"/>
      <c r="S7" s="138"/>
      <c r="T7" s="142"/>
      <c r="U7" s="142"/>
      <c r="V7" s="142"/>
      <c r="W7" s="142"/>
      <c r="X7" s="141"/>
      <c r="Y7" s="141"/>
    </row>
    <row r="8" spans="1:26" s="135" customFormat="1" ht="14" x14ac:dyDescent="0.2">
      <c r="A8" s="109">
        <v>43838</v>
      </c>
      <c r="B8" s="110">
        <v>2</v>
      </c>
      <c r="C8" s="111">
        <v>0</v>
      </c>
      <c r="D8" s="112">
        <v>51</v>
      </c>
      <c r="E8" s="116">
        <f>D8-$D$8</f>
        <v>0</v>
      </c>
      <c r="F8" s="213" t="s">
        <v>51</v>
      </c>
      <c r="G8" s="213"/>
      <c r="H8" s="146"/>
      <c r="I8" s="146" t="s">
        <v>62</v>
      </c>
      <c r="J8" s="214" t="s">
        <v>63</v>
      </c>
      <c r="K8" s="215" t="s">
        <v>64</v>
      </c>
      <c r="L8" s="215" t="s">
        <v>65</v>
      </c>
      <c r="M8" s="215" t="s">
        <v>66</v>
      </c>
      <c r="N8" s="215"/>
      <c r="O8" s="216" t="s">
        <v>67</v>
      </c>
      <c r="P8" s="216" t="s">
        <v>270</v>
      </c>
      <c r="Q8" s="216" t="s">
        <v>271</v>
      </c>
      <c r="R8" s="216" t="s">
        <v>68</v>
      </c>
      <c r="S8" s="216" t="s">
        <v>69</v>
      </c>
      <c r="T8" s="215" t="s">
        <v>70</v>
      </c>
      <c r="U8" s="215" t="s">
        <v>71</v>
      </c>
      <c r="V8" s="215" t="s">
        <v>72</v>
      </c>
      <c r="W8" s="215" t="s">
        <v>73</v>
      </c>
    </row>
    <row r="9" spans="1:26" s="135" customFormat="1" ht="14" x14ac:dyDescent="0.2">
      <c r="A9" s="109">
        <v>43838</v>
      </c>
      <c r="B9" s="110">
        <v>2</v>
      </c>
      <c r="C9" s="113">
        <v>0.05</v>
      </c>
      <c r="D9" s="111">
        <v>432</v>
      </c>
      <c r="E9" s="116">
        <f t="shared" ref="E9:E12" si="1">D9-$D$8</f>
        <v>381</v>
      </c>
      <c r="F9" s="133" t="s">
        <v>52</v>
      </c>
      <c r="G9" s="133">
        <v>0.9998316651483824</v>
      </c>
      <c r="H9" s="133" t="s">
        <v>58</v>
      </c>
      <c r="I9" s="133">
        <v>1</v>
      </c>
      <c r="J9" s="147">
        <v>43006542.543283582</v>
      </c>
      <c r="K9" s="134">
        <v>43006542.543283582</v>
      </c>
      <c r="L9" s="134">
        <v>8908.5607810886304</v>
      </c>
      <c r="M9" s="134">
        <v>2.6217057817208013E-6</v>
      </c>
      <c r="N9" s="134" t="s">
        <v>61</v>
      </c>
      <c r="O9" s="134">
        <v>-37.766169154228919</v>
      </c>
      <c r="P9" s="134">
        <v>46.060407075630344</v>
      </c>
      <c r="Q9" s="134">
        <f>P9*SQRT(G13)</f>
        <v>102.99420129242175</v>
      </c>
      <c r="R9" s="134">
        <v>-0.8199269514100811</v>
      </c>
      <c r="S9" s="134">
        <v>0.4723358982262385</v>
      </c>
      <c r="T9" s="134">
        <v>-184.35094147193232</v>
      </c>
      <c r="U9" s="134">
        <v>108.81860316347448</v>
      </c>
      <c r="V9" s="134">
        <v>-184.35094147193232</v>
      </c>
      <c r="W9" s="134">
        <v>108.81860316347448</v>
      </c>
      <c r="X9" s="162">
        <f>3.3*Q9/O10</f>
        <v>4.0245572093493498E-2</v>
      </c>
      <c r="Y9" s="162">
        <f>10*Q9/O10</f>
        <v>0.12195627907119243</v>
      </c>
    </row>
    <row r="10" spans="1:26" s="135" customFormat="1" ht="14" x14ac:dyDescent="0.2">
      <c r="A10" s="109">
        <v>43838</v>
      </c>
      <c r="B10" s="110">
        <v>2</v>
      </c>
      <c r="C10" s="113">
        <v>0.1</v>
      </c>
      <c r="D10" s="111">
        <v>884</v>
      </c>
      <c r="E10" s="116">
        <f t="shared" si="1"/>
        <v>833</v>
      </c>
      <c r="F10" s="133" t="s">
        <v>53</v>
      </c>
      <c r="G10" s="133">
        <v>0.99966335863338696</v>
      </c>
      <c r="H10" s="133" t="s">
        <v>59</v>
      </c>
      <c r="I10" s="133">
        <v>3</v>
      </c>
      <c r="J10" s="147">
        <v>14482.656716417945</v>
      </c>
      <c r="K10" s="134">
        <v>4827.5522388059817</v>
      </c>
      <c r="L10" s="134"/>
      <c r="M10" s="134"/>
      <c r="N10" s="134" t="s">
        <v>74</v>
      </c>
      <c r="O10" s="134">
        <v>8445.1741293532341</v>
      </c>
      <c r="P10" s="134">
        <v>89.475644413960495</v>
      </c>
      <c r="Q10" s="134"/>
      <c r="R10" s="134">
        <v>94.385172464156852</v>
      </c>
      <c r="S10" s="134">
        <v>2.6217057817208013E-6</v>
      </c>
      <c r="T10" s="134">
        <v>8160.4226953751468</v>
      </c>
      <c r="U10" s="134">
        <v>8729.9255633313223</v>
      </c>
      <c r="V10" s="134">
        <v>8160.4226953751468</v>
      </c>
      <c r="W10" s="134">
        <v>8729.9255633313223</v>
      </c>
    </row>
    <row r="11" spans="1:26" s="135" customFormat="1" ht="14" x14ac:dyDescent="0.2">
      <c r="A11" s="109">
        <v>43838</v>
      </c>
      <c r="B11" s="110">
        <v>2</v>
      </c>
      <c r="C11" s="113">
        <v>0.25</v>
      </c>
      <c r="D11" s="111">
        <v>2166</v>
      </c>
      <c r="E11" s="116">
        <f t="shared" si="1"/>
        <v>2115</v>
      </c>
      <c r="F11" s="133" t="s">
        <v>54</v>
      </c>
      <c r="G11" s="133">
        <v>0.9995511448445159</v>
      </c>
      <c r="H11" s="133" t="s">
        <v>60</v>
      </c>
      <c r="I11" s="133">
        <v>4</v>
      </c>
      <c r="J11" s="147">
        <v>43021025.200000003</v>
      </c>
      <c r="K11" s="134"/>
      <c r="L11" s="134"/>
      <c r="M11" s="134"/>
      <c r="N11" s="138"/>
      <c r="O11" s="138"/>
      <c r="P11" s="138"/>
      <c r="Q11" s="138"/>
      <c r="R11" s="138"/>
      <c r="S11" s="138"/>
      <c r="T11" s="138"/>
      <c r="U11" s="138"/>
      <c r="V11" s="138"/>
      <c r="W11" s="138"/>
    </row>
    <row r="12" spans="1:26" s="135" customFormat="1" ht="14" x14ac:dyDescent="0.2">
      <c r="A12" s="109">
        <v>43838</v>
      </c>
      <c r="B12" s="110">
        <v>2</v>
      </c>
      <c r="C12" s="114">
        <v>0.5</v>
      </c>
      <c r="D12" s="111">
        <v>4133</v>
      </c>
      <c r="E12" s="116">
        <f t="shared" si="1"/>
        <v>4082</v>
      </c>
      <c r="F12" s="133" t="s">
        <v>55</v>
      </c>
      <c r="G12" s="133">
        <v>69.480588935370875</v>
      </c>
      <c r="J12" s="217"/>
      <c r="K12" s="139"/>
      <c r="L12" s="139"/>
      <c r="M12" s="139"/>
      <c r="N12" s="139"/>
      <c r="O12" s="139"/>
      <c r="P12" s="139"/>
      <c r="Q12" s="139"/>
      <c r="R12" s="139"/>
      <c r="S12" s="139"/>
      <c r="T12" s="139"/>
      <c r="U12" s="139"/>
      <c r="V12" s="139"/>
      <c r="W12" s="139"/>
    </row>
    <row r="13" spans="1:26" s="135" customFormat="1" ht="14" x14ac:dyDescent="0.2">
      <c r="A13" s="123">
        <v>43838</v>
      </c>
      <c r="B13" s="124">
        <v>2</v>
      </c>
      <c r="C13" s="125">
        <v>1</v>
      </c>
      <c r="D13" s="129">
        <v>8497</v>
      </c>
      <c r="E13" s="126">
        <f>D13-$D$8</f>
        <v>8446</v>
      </c>
      <c r="F13" s="148" t="s">
        <v>56</v>
      </c>
      <c r="G13" s="148">
        <v>5</v>
      </c>
      <c r="H13" s="141"/>
      <c r="I13" s="141"/>
      <c r="J13" s="186"/>
      <c r="K13" s="142"/>
      <c r="L13" s="142"/>
      <c r="M13" s="142"/>
      <c r="N13" s="142"/>
      <c r="O13" s="142"/>
      <c r="P13" s="138"/>
      <c r="Q13" s="138"/>
      <c r="R13" s="138"/>
      <c r="S13" s="142"/>
      <c r="T13" s="142"/>
      <c r="U13" s="142"/>
      <c r="V13" s="142"/>
      <c r="W13" s="142"/>
      <c r="X13" s="141"/>
      <c r="Y13" s="141"/>
    </row>
    <row r="14" spans="1:26" s="135" customFormat="1" ht="14" x14ac:dyDescent="0.2">
      <c r="A14" s="109">
        <v>43838</v>
      </c>
      <c r="B14" s="110">
        <v>3</v>
      </c>
      <c r="C14" s="111">
        <v>0</v>
      </c>
      <c r="D14" s="116">
        <v>47</v>
      </c>
      <c r="E14" s="118">
        <f>D14-$D$14</f>
        <v>0</v>
      </c>
      <c r="F14" s="213" t="s">
        <v>51</v>
      </c>
      <c r="G14" s="213"/>
      <c r="H14" s="146"/>
      <c r="I14" s="146" t="s">
        <v>62</v>
      </c>
      <c r="J14" s="214" t="s">
        <v>63</v>
      </c>
      <c r="K14" s="215" t="s">
        <v>64</v>
      </c>
      <c r="L14" s="215" t="s">
        <v>65</v>
      </c>
      <c r="M14" s="215" t="s">
        <v>66</v>
      </c>
      <c r="N14" s="215"/>
      <c r="O14" s="215" t="s">
        <v>67</v>
      </c>
      <c r="P14" s="216" t="s">
        <v>270</v>
      </c>
      <c r="Q14" s="216" t="s">
        <v>271</v>
      </c>
      <c r="R14" s="216" t="s">
        <v>68</v>
      </c>
      <c r="S14" s="215" t="s">
        <v>69</v>
      </c>
      <c r="T14" s="215" t="s">
        <v>70</v>
      </c>
      <c r="U14" s="215" t="s">
        <v>71</v>
      </c>
      <c r="V14" s="215" t="s">
        <v>72</v>
      </c>
      <c r="W14" s="215" t="s">
        <v>73</v>
      </c>
    </row>
    <row r="15" spans="1:26" s="135" customFormat="1" ht="14" x14ac:dyDescent="0.2">
      <c r="A15" s="109">
        <v>43838</v>
      </c>
      <c r="B15" s="110">
        <v>3</v>
      </c>
      <c r="C15" s="113">
        <v>0.05</v>
      </c>
      <c r="D15" s="116">
        <v>424</v>
      </c>
      <c r="E15" s="118">
        <f t="shared" ref="E15:E19" si="2">D15-$D$14</f>
        <v>377</v>
      </c>
      <c r="F15" s="133" t="s">
        <v>52</v>
      </c>
      <c r="G15" s="133">
        <v>0.99999621870031807</v>
      </c>
      <c r="H15" s="133" t="s">
        <v>58</v>
      </c>
      <c r="I15" s="133">
        <v>1</v>
      </c>
      <c r="J15" s="147">
        <v>38980010.408126041</v>
      </c>
      <c r="K15" s="134">
        <v>38980010.408126041</v>
      </c>
      <c r="L15" s="134">
        <v>396686.75276598206</v>
      </c>
      <c r="M15" s="134">
        <v>8.8266368367127243E-9</v>
      </c>
      <c r="N15" s="134" t="s">
        <v>61</v>
      </c>
      <c r="O15" s="134">
        <v>-13.844112769485946</v>
      </c>
      <c r="P15" s="134">
        <v>6.5714530207511572</v>
      </c>
      <c r="Q15" s="134">
        <f>P15*SQRT(G19)</f>
        <v>14.694215665345924</v>
      </c>
      <c r="R15" s="134">
        <v>-2.1067049746485869</v>
      </c>
      <c r="S15" s="134">
        <v>0.12576037355039732</v>
      </c>
      <c r="T15" s="134">
        <v>-34.757409155720936</v>
      </c>
      <c r="U15" s="134">
        <v>7.0691836167490436</v>
      </c>
      <c r="V15" s="134">
        <v>-34.757409155720936</v>
      </c>
      <c r="W15" s="134">
        <v>7.0691836167490436</v>
      </c>
      <c r="X15" s="162">
        <f>3.3*Q15/O16</f>
        <v>6.0311208414834915E-3</v>
      </c>
      <c r="Y15" s="162">
        <f>10*Q15/O16</f>
        <v>1.8276123762071189E-2</v>
      </c>
    </row>
    <row r="16" spans="1:26" s="135" customFormat="1" ht="14" x14ac:dyDescent="0.2">
      <c r="A16" s="109">
        <v>43838</v>
      </c>
      <c r="B16" s="110">
        <v>3</v>
      </c>
      <c r="C16" s="113">
        <v>0.1</v>
      </c>
      <c r="D16" s="116">
        <v>837</v>
      </c>
      <c r="E16" s="118">
        <f t="shared" si="2"/>
        <v>790</v>
      </c>
      <c r="F16" s="133" t="s">
        <v>53</v>
      </c>
      <c r="G16" s="133">
        <v>0.99999243741493427</v>
      </c>
      <c r="H16" s="133" t="s">
        <v>59</v>
      </c>
      <c r="I16" s="133">
        <v>3</v>
      </c>
      <c r="J16" s="147">
        <v>294.79187396349658</v>
      </c>
      <c r="K16" s="134">
        <v>98.2639579878322</v>
      </c>
      <c r="L16" s="134"/>
      <c r="M16" s="134"/>
      <c r="N16" s="134" t="s">
        <v>74</v>
      </c>
      <c r="O16" s="134">
        <v>8040.11608623549</v>
      </c>
      <c r="P16" s="134">
        <v>12.765518828401074</v>
      </c>
      <c r="Q16" s="134"/>
      <c r="R16" s="134">
        <v>629.83073342445118</v>
      </c>
      <c r="S16" s="134">
        <v>8.8266368367127243E-9</v>
      </c>
      <c r="T16" s="134">
        <v>7999.4905080050157</v>
      </c>
      <c r="U16" s="134">
        <v>8080.7416644659643</v>
      </c>
      <c r="V16" s="134">
        <v>7999.4905080050157</v>
      </c>
      <c r="W16" s="134">
        <v>8080.7416644659643</v>
      </c>
      <c r="X16" s="137"/>
      <c r="Y16" s="137"/>
      <c r="Z16" s="137"/>
    </row>
    <row r="17" spans="1:32" s="135" customFormat="1" ht="14" x14ac:dyDescent="0.2">
      <c r="A17" s="109">
        <v>43838</v>
      </c>
      <c r="B17" s="110">
        <v>3</v>
      </c>
      <c r="C17" s="113">
        <v>0.25</v>
      </c>
      <c r="D17" s="116">
        <v>2053</v>
      </c>
      <c r="E17" s="118">
        <f t="shared" si="2"/>
        <v>2006</v>
      </c>
      <c r="F17" s="133" t="s">
        <v>54</v>
      </c>
      <c r="G17" s="133">
        <v>0.99998991655324565</v>
      </c>
      <c r="H17" s="133" t="s">
        <v>60</v>
      </c>
      <c r="I17" s="133">
        <v>4</v>
      </c>
      <c r="J17" s="147">
        <v>38980305.200000003</v>
      </c>
      <c r="K17" s="134"/>
      <c r="L17" s="134"/>
      <c r="M17" s="134"/>
      <c r="N17" s="138"/>
      <c r="O17" s="138"/>
      <c r="P17" s="138"/>
      <c r="Q17" s="138"/>
      <c r="R17" s="138"/>
      <c r="S17" s="138"/>
      <c r="T17" s="138"/>
      <c r="U17" s="138"/>
      <c r="V17" s="138"/>
      <c r="W17" s="138"/>
      <c r="X17" s="137"/>
      <c r="Y17" s="137"/>
      <c r="Z17" s="137"/>
    </row>
    <row r="18" spans="1:32" s="135" customFormat="1" ht="14" x14ac:dyDescent="0.2">
      <c r="A18" s="109">
        <v>43838</v>
      </c>
      <c r="B18" s="110">
        <v>3</v>
      </c>
      <c r="C18" s="114">
        <v>0.5</v>
      </c>
      <c r="D18" s="116">
        <v>4060</v>
      </c>
      <c r="E18" s="118">
        <f t="shared" si="2"/>
        <v>4013</v>
      </c>
      <c r="F18" s="133" t="s">
        <v>55</v>
      </c>
      <c r="G18" s="133">
        <v>9.912817863142255</v>
      </c>
      <c r="H18" s="137"/>
      <c r="I18" s="137"/>
      <c r="J18" s="218"/>
      <c r="K18" s="219"/>
      <c r="L18" s="219"/>
      <c r="M18" s="138"/>
      <c r="N18" s="138"/>
      <c r="O18" s="138"/>
      <c r="P18" s="138"/>
      <c r="Q18" s="138"/>
      <c r="R18" s="138"/>
      <c r="S18" s="138"/>
      <c r="T18" s="139"/>
      <c r="U18" s="139"/>
      <c r="V18" s="139"/>
      <c r="W18" s="139"/>
      <c r="Z18" s="137"/>
      <c r="AA18" s="137"/>
      <c r="AB18" s="137"/>
      <c r="AC18" s="144"/>
      <c r="AD18" s="220"/>
      <c r="AE18" s="144"/>
      <c r="AF18" s="137"/>
    </row>
    <row r="19" spans="1:32" s="135" customFormat="1" ht="14" x14ac:dyDescent="0.2">
      <c r="A19" s="123">
        <v>43838</v>
      </c>
      <c r="B19" s="124">
        <v>3</v>
      </c>
      <c r="C19" s="125">
        <v>1</v>
      </c>
      <c r="D19" s="126">
        <v>8068</v>
      </c>
      <c r="E19" s="126">
        <f t="shared" si="2"/>
        <v>8021</v>
      </c>
      <c r="F19" s="148" t="s">
        <v>56</v>
      </c>
      <c r="G19" s="148">
        <v>5</v>
      </c>
      <c r="H19" s="141"/>
      <c r="I19" s="141"/>
      <c r="J19" s="221"/>
      <c r="K19" s="222"/>
      <c r="L19" s="222"/>
      <c r="M19" s="142"/>
      <c r="N19" s="142"/>
      <c r="O19" s="142"/>
      <c r="P19" s="138"/>
      <c r="Q19" s="138"/>
      <c r="R19" s="138"/>
      <c r="S19" s="142"/>
      <c r="T19" s="142"/>
      <c r="U19" s="142"/>
      <c r="V19" s="142"/>
      <c r="W19" s="142"/>
      <c r="X19" s="141"/>
      <c r="Y19" s="141"/>
      <c r="Z19" s="137"/>
      <c r="AA19" s="137"/>
      <c r="AB19" s="137"/>
      <c r="AC19" s="144"/>
      <c r="AD19" s="220"/>
      <c r="AE19" s="144"/>
      <c r="AF19" s="137"/>
    </row>
    <row r="20" spans="1:32" s="135" customFormat="1" ht="14" x14ac:dyDescent="0.2">
      <c r="A20" s="109">
        <v>43789</v>
      </c>
      <c r="B20" s="110">
        <v>1</v>
      </c>
      <c r="C20" s="111">
        <v>0</v>
      </c>
      <c r="D20" s="116">
        <v>43.7</v>
      </c>
      <c r="E20" s="226">
        <f>D20-$D$20</f>
        <v>0</v>
      </c>
      <c r="F20" s="213" t="s">
        <v>51</v>
      </c>
      <c r="G20" s="213"/>
      <c r="H20" s="146"/>
      <c r="I20" s="146" t="s">
        <v>62</v>
      </c>
      <c r="J20" s="214" t="s">
        <v>63</v>
      </c>
      <c r="K20" s="215" t="s">
        <v>64</v>
      </c>
      <c r="L20" s="215" t="s">
        <v>65</v>
      </c>
      <c r="M20" s="215" t="s">
        <v>66</v>
      </c>
      <c r="N20" s="215"/>
      <c r="O20" s="215" t="s">
        <v>67</v>
      </c>
      <c r="P20" s="216" t="s">
        <v>270</v>
      </c>
      <c r="Q20" s="216" t="s">
        <v>271</v>
      </c>
      <c r="R20" s="216" t="s">
        <v>68</v>
      </c>
      <c r="S20" s="215" t="s">
        <v>69</v>
      </c>
      <c r="T20" s="215" t="s">
        <v>70</v>
      </c>
      <c r="U20" s="215" t="s">
        <v>71</v>
      </c>
      <c r="V20" s="215" t="s">
        <v>72</v>
      </c>
      <c r="W20" s="215" t="s">
        <v>73</v>
      </c>
      <c r="AC20" s="137"/>
      <c r="AD20" s="137"/>
      <c r="AE20" s="137"/>
      <c r="AF20" s="137"/>
    </row>
    <row r="21" spans="1:32" s="135" customFormat="1" ht="14" x14ac:dyDescent="0.2">
      <c r="A21" s="109">
        <v>43789</v>
      </c>
      <c r="B21" s="110">
        <v>1</v>
      </c>
      <c r="C21" s="113">
        <v>0.05</v>
      </c>
      <c r="D21" s="116">
        <v>379.8</v>
      </c>
      <c r="E21" s="226">
        <f t="shared" ref="E21:E25" si="3">D21-$D$20</f>
        <v>336.1</v>
      </c>
      <c r="F21" s="133" t="s">
        <v>52</v>
      </c>
      <c r="G21" s="133">
        <v>0.99967873479672709</v>
      </c>
      <c r="H21" s="133" t="s">
        <v>58</v>
      </c>
      <c r="I21" s="133">
        <v>1</v>
      </c>
      <c r="J21" s="147">
        <v>24359586.111444447</v>
      </c>
      <c r="K21" s="134">
        <v>24359586.111444447</v>
      </c>
      <c r="L21" s="134">
        <v>4666.7898568822029</v>
      </c>
      <c r="M21" s="134">
        <v>6.9120753088160418E-6</v>
      </c>
      <c r="N21" s="134" t="s">
        <v>61</v>
      </c>
      <c r="O21" s="134">
        <v>70.522222222221899</v>
      </c>
      <c r="P21" s="134">
        <v>47.894992630582841</v>
      </c>
      <c r="Q21" s="134">
        <f>P21*SQRT(G25)</f>
        <v>107.09645930383471</v>
      </c>
      <c r="R21" s="134">
        <v>1.4724341387034827</v>
      </c>
      <c r="S21" s="134">
        <v>0.23730585184862277</v>
      </c>
      <c r="T21" s="134">
        <v>-81.90102011656694</v>
      </c>
      <c r="U21" s="134">
        <v>222.94546456101074</v>
      </c>
      <c r="V21" s="134">
        <v>-81.90102011656694</v>
      </c>
      <c r="W21" s="134">
        <v>222.94546456101074</v>
      </c>
      <c r="X21" s="162">
        <f>3.3*Q21/O22</f>
        <v>5.560486060737882E-2</v>
      </c>
      <c r="Y21" s="162">
        <f>10*Q21/O22</f>
        <v>0.16849957759811768</v>
      </c>
      <c r="AC21" s="137"/>
      <c r="AD21" s="137"/>
      <c r="AE21" s="137"/>
      <c r="AF21" s="137"/>
    </row>
    <row r="22" spans="1:32" s="135" customFormat="1" ht="14" x14ac:dyDescent="0.2">
      <c r="A22" s="109">
        <v>43789</v>
      </c>
      <c r="B22" s="110">
        <v>1</v>
      </c>
      <c r="C22" s="113">
        <v>0.1</v>
      </c>
      <c r="D22" s="116">
        <v>709.6</v>
      </c>
      <c r="E22" s="226">
        <f t="shared" si="3"/>
        <v>665.9</v>
      </c>
      <c r="F22" s="133" t="s">
        <v>53</v>
      </c>
      <c r="G22" s="133">
        <v>0.99935757280478499</v>
      </c>
      <c r="H22" s="133" t="s">
        <v>59</v>
      </c>
      <c r="I22" s="133">
        <v>3</v>
      </c>
      <c r="J22" s="147">
        <v>15659.320555555489</v>
      </c>
      <c r="K22" s="134">
        <v>5219.7735185184965</v>
      </c>
      <c r="L22" s="134"/>
      <c r="M22" s="134"/>
      <c r="N22" s="134" t="s">
        <v>74</v>
      </c>
      <c r="O22" s="134">
        <v>6355.8888888888887</v>
      </c>
      <c r="P22" s="134">
        <v>93.039458439580926</v>
      </c>
      <c r="Q22" s="134"/>
      <c r="R22" s="134">
        <v>68.313906760499378</v>
      </c>
      <c r="S22" s="134">
        <v>6.9120753088160418E-6</v>
      </c>
      <c r="T22" s="134">
        <v>6059.7958081322467</v>
      </c>
      <c r="U22" s="134">
        <v>6651.9819696455306</v>
      </c>
      <c r="V22" s="134">
        <v>6059.7958081322467</v>
      </c>
      <c r="W22" s="134">
        <v>6651.9819696455306</v>
      </c>
      <c r="AC22" s="137"/>
      <c r="AD22" s="137"/>
      <c r="AE22" s="137"/>
      <c r="AF22" s="137"/>
    </row>
    <row r="23" spans="1:32" s="135" customFormat="1" ht="14" x14ac:dyDescent="0.2">
      <c r="A23" s="109">
        <v>43789</v>
      </c>
      <c r="B23" s="110">
        <v>1</v>
      </c>
      <c r="C23" s="113">
        <v>0.25</v>
      </c>
      <c r="D23" s="116">
        <v>1772.9</v>
      </c>
      <c r="E23" s="226">
        <f t="shared" si="3"/>
        <v>1729.2</v>
      </c>
      <c r="F23" s="133" t="s">
        <v>54</v>
      </c>
      <c r="G23" s="133">
        <v>0.99914343040637998</v>
      </c>
      <c r="H23" s="133" t="s">
        <v>60</v>
      </c>
      <c r="I23" s="133">
        <v>4</v>
      </c>
      <c r="J23" s="147">
        <v>24375245.432000004</v>
      </c>
      <c r="K23" s="134"/>
      <c r="L23" s="134"/>
      <c r="M23" s="134"/>
      <c r="N23" s="138"/>
      <c r="O23" s="138"/>
      <c r="P23" s="138"/>
      <c r="Q23" s="138"/>
      <c r="R23" s="138"/>
      <c r="S23" s="138"/>
      <c r="T23" s="138"/>
      <c r="U23" s="138"/>
      <c r="V23" s="138"/>
      <c r="W23" s="138"/>
      <c r="AC23" s="137"/>
      <c r="AD23" s="137"/>
      <c r="AE23" s="137"/>
      <c r="AF23" s="137"/>
    </row>
    <row r="24" spans="1:32" s="135" customFormat="1" ht="14" x14ac:dyDescent="0.2">
      <c r="A24" s="109">
        <v>43789</v>
      </c>
      <c r="B24" s="110">
        <v>1</v>
      </c>
      <c r="C24" s="114">
        <v>0.5</v>
      </c>
      <c r="D24" s="116">
        <v>3359.2</v>
      </c>
      <c r="E24" s="226">
        <f t="shared" si="3"/>
        <v>3315.5</v>
      </c>
      <c r="F24" s="133" t="s">
        <v>55</v>
      </c>
      <c r="G24" s="133">
        <v>72.248000100476801</v>
      </c>
      <c r="H24" s="133"/>
      <c r="I24" s="133"/>
      <c r="J24" s="212"/>
      <c r="K24" s="138"/>
      <c r="L24" s="138"/>
      <c r="M24" s="138"/>
      <c r="N24" s="138"/>
      <c r="O24" s="138"/>
      <c r="P24" s="138"/>
      <c r="Q24" s="138"/>
      <c r="R24" s="138"/>
      <c r="S24" s="138"/>
      <c r="T24" s="138"/>
      <c r="U24" s="138"/>
      <c r="V24" s="138"/>
      <c r="W24" s="138"/>
      <c r="Z24" s="133"/>
      <c r="AA24" s="133"/>
      <c r="AB24" s="133"/>
      <c r="AC24" s="137"/>
      <c r="AD24" s="137"/>
      <c r="AE24" s="137"/>
      <c r="AF24" s="137"/>
    </row>
    <row r="25" spans="1:32" s="135" customFormat="1" ht="14" x14ac:dyDescent="0.2">
      <c r="A25" s="123">
        <v>43789</v>
      </c>
      <c r="B25" s="124">
        <v>1</v>
      </c>
      <c r="C25" s="125">
        <v>1</v>
      </c>
      <c r="D25" s="126">
        <v>6425.8</v>
      </c>
      <c r="E25" s="227">
        <f t="shared" si="3"/>
        <v>6382.1</v>
      </c>
      <c r="F25" s="148" t="s">
        <v>56</v>
      </c>
      <c r="G25" s="148">
        <v>5</v>
      </c>
      <c r="H25" s="148"/>
      <c r="I25" s="148"/>
      <c r="J25" s="186"/>
      <c r="K25" s="142"/>
      <c r="L25" s="142"/>
      <c r="M25" s="142"/>
      <c r="N25" s="142"/>
      <c r="O25" s="142"/>
      <c r="P25" s="138"/>
      <c r="Q25" s="138"/>
      <c r="R25" s="138"/>
      <c r="S25" s="142"/>
      <c r="T25" s="142"/>
      <c r="U25" s="142"/>
      <c r="V25" s="142"/>
      <c r="W25" s="142"/>
      <c r="X25" s="141"/>
      <c r="Y25" s="141"/>
      <c r="Z25" s="133"/>
      <c r="AA25" s="133"/>
      <c r="AB25" s="133"/>
      <c r="AC25" s="137"/>
      <c r="AD25" s="137"/>
      <c r="AE25" s="137"/>
      <c r="AF25" s="137"/>
    </row>
    <row r="26" spans="1:32" s="135" customFormat="1" ht="14" x14ac:dyDescent="0.2">
      <c r="A26" s="109">
        <v>43888</v>
      </c>
      <c r="B26" s="110">
        <v>1</v>
      </c>
      <c r="C26" s="111">
        <v>0</v>
      </c>
      <c r="D26" s="176">
        <v>24.4366862938415</v>
      </c>
      <c r="E26" s="116">
        <f>D26-$D$26</f>
        <v>0</v>
      </c>
      <c r="F26" s="213" t="s">
        <v>51</v>
      </c>
      <c r="G26" s="213"/>
      <c r="H26" s="146"/>
      <c r="I26" s="146" t="s">
        <v>62</v>
      </c>
      <c r="J26" s="214" t="s">
        <v>63</v>
      </c>
      <c r="K26" s="215" t="s">
        <v>64</v>
      </c>
      <c r="L26" s="215" t="s">
        <v>65</v>
      </c>
      <c r="M26" s="215" t="s">
        <v>66</v>
      </c>
      <c r="N26" s="215"/>
      <c r="O26" s="215" t="s">
        <v>67</v>
      </c>
      <c r="P26" s="216" t="s">
        <v>270</v>
      </c>
      <c r="Q26" s="216" t="s">
        <v>271</v>
      </c>
      <c r="R26" s="216" t="s">
        <v>68</v>
      </c>
      <c r="S26" s="215" t="s">
        <v>69</v>
      </c>
      <c r="T26" s="215" t="s">
        <v>70</v>
      </c>
      <c r="U26" s="215" t="s">
        <v>71</v>
      </c>
      <c r="V26" s="215" t="s">
        <v>72</v>
      </c>
      <c r="W26" s="215" t="s">
        <v>73</v>
      </c>
      <c r="Z26" s="137"/>
      <c r="AA26" s="137"/>
      <c r="AB26" s="137"/>
      <c r="AC26" s="137"/>
      <c r="AD26" s="137"/>
      <c r="AE26" s="137"/>
      <c r="AF26" s="137"/>
    </row>
    <row r="27" spans="1:32" s="135" customFormat="1" ht="14" x14ac:dyDescent="0.2">
      <c r="A27" s="109">
        <v>43888</v>
      </c>
      <c r="B27" s="110">
        <v>1</v>
      </c>
      <c r="C27" s="113">
        <v>0.05</v>
      </c>
      <c r="D27" s="176">
        <v>563.46157438717501</v>
      </c>
      <c r="E27" s="116">
        <f t="shared" ref="E27:E31" si="4">D27-$D$26</f>
        <v>539.02488809333352</v>
      </c>
      <c r="F27" s="133" t="s">
        <v>52</v>
      </c>
      <c r="G27" s="133">
        <v>0.99989314319592293</v>
      </c>
      <c r="H27" s="133" t="s">
        <v>58</v>
      </c>
      <c r="I27" s="133">
        <v>1</v>
      </c>
      <c r="J27" s="147">
        <v>69504135.598554909</v>
      </c>
      <c r="K27" s="134">
        <v>69504135.598554909</v>
      </c>
      <c r="L27" s="134">
        <v>14035.22769959984</v>
      </c>
      <c r="M27" s="134">
        <v>1.3259592203759672E-6</v>
      </c>
      <c r="N27" s="134" t="s">
        <v>61</v>
      </c>
      <c r="O27" s="134">
        <v>-33.899359048647057</v>
      </c>
      <c r="P27" s="134">
        <v>46.650883468162711</v>
      </c>
      <c r="Q27" s="134">
        <f>P27*SQRT(G31)</f>
        <v>104.31454664523297</v>
      </c>
      <c r="R27" s="134">
        <v>-0.72666060165359914</v>
      </c>
      <c r="S27" s="134">
        <v>0.52000073655154577</v>
      </c>
      <c r="T27" s="134">
        <v>-182.36329078012233</v>
      </c>
      <c r="U27" s="134">
        <v>114.56457268282821</v>
      </c>
      <c r="V27" s="134">
        <v>-182.36329078012233</v>
      </c>
      <c r="W27" s="134">
        <v>114.56457268282821</v>
      </c>
      <c r="X27" s="162">
        <f>3.3*Q27/O28</f>
        <v>3.2063590081378428E-2</v>
      </c>
      <c r="Y27" s="162">
        <f>10*Q27/O28</f>
        <v>9.7162394185995246E-2</v>
      </c>
    </row>
    <row r="28" spans="1:32" s="135" customFormat="1" ht="14" x14ac:dyDescent="0.2">
      <c r="A28" s="109">
        <v>43888</v>
      </c>
      <c r="B28" s="110">
        <v>1</v>
      </c>
      <c r="C28" s="113">
        <v>0.1</v>
      </c>
      <c r="D28" s="176">
        <v>1109.4890470002399</v>
      </c>
      <c r="E28" s="116">
        <f t="shared" si="4"/>
        <v>1085.0523607063983</v>
      </c>
      <c r="F28" s="133" t="s">
        <v>53</v>
      </c>
      <c r="G28" s="133">
        <v>0.99978629781022244</v>
      </c>
      <c r="H28" s="133" t="s">
        <v>59</v>
      </c>
      <c r="I28" s="133">
        <v>3</v>
      </c>
      <c r="J28" s="147">
        <v>14856.360812843075</v>
      </c>
      <c r="K28" s="134">
        <v>4952.120270947692</v>
      </c>
      <c r="L28" s="134"/>
      <c r="M28" s="134"/>
      <c r="N28" s="134" t="s">
        <v>74</v>
      </c>
      <c r="O28" s="134">
        <v>10736.10294591409</v>
      </c>
      <c r="P28" s="134">
        <v>90.622687158205309</v>
      </c>
      <c r="Q28" s="134"/>
      <c r="R28" s="134">
        <v>118.47036633521415</v>
      </c>
      <c r="S28" s="134">
        <v>1.3259592203759672E-6</v>
      </c>
      <c r="T28" s="134">
        <v>10447.701109992578</v>
      </c>
      <c r="U28" s="134">
        <v>11024.504781835602</v>
      </c>
      <c r="V28" s="134">
        <v>10447.701109992578</v>
      </c>
      <c r="W28" s="134">
        <v>11024.504781835602</v>
      </c>
      <c r="X28" s="137"/>
    </row>
    <row r="29" spans="1:32" s="135" customFormat="1" ht="14" x14ac:dyDescent="0.2">
      <c r="A29" s="109">
        <v>43888</v>
      </c>
      <c r="B29" s="110">
        <v>1</v>
      </c>
      <c r="C29" s="113">
        <v>0.25</v>
      </c>
      <c r="D29" s="176">
        <v>2631.8364749504299</v>
      </c>
      <c r="E29" s="116">
        <f t="shared" si="4"/>
        <v>2607.3997886565885</v>
      </c>
      <c r="F29" s="133" t="s">
        <v>54</v>
      </c>
      <c r="G29" s="133">
        <v>0.99971506374696328</v>
      </c>
      <c r="H29" s="133" t="s">
        <v>60</v>
      </c>
      <c r="I29" s="133">
        <v>4</v>
      </c>
      <c r="J29" s="147">
        <v>69518991.959367752</v>
      </c>
      <c r="K29" s="134"/>
      <c r="L29" s="134"/>
      <c r="M29" s="134"/>
      <c r="N29" s="138"/>
      <c r="O29" s="138"/>
      <c r="P29" s="138"/>
      <c r="Q29" s="138"/>
      <c r="R29" s="138"/>
      <c r="S29" s="138"/>
      <c r="T29" s="138"/>
      <c r="U29" s="138"/>
      <c r="V29" s="138"/>
      <c r="W29" s="138"/>
      <c r="X29" s="137"/>
    </row>
    <row r="30" spans="1:32" s="135" customFormat="1" ht="14" x14ac:dyDescent="0.2">
      <c r="A30" s="109">
        <v>43888</v>
      </c>
      <c r="B30" s="110">
        <v>1</v>
      </c>
      <c r="C30" s="114">
        <v>0.5</v>
      </c>
      <c r="D30" s="176">
        <v>5272.4378283596998</v>
      </c>
      <c r="E30" s="116">
        <f t="shared" si="4"/>
        <v>5248.0011420658584</v>
      </c>
      <c r="F30" s="133" t="s">
        <v>55</v>
      </c>
      <c r="G30" s="133">
        <v>70.371302893634791</v>
      </c>
      <c r="J30" s="217"/>
      <c r="K30" s="139"/>
      <c r="L30" s="139"/>
      <c r="M30" s="139"/>
      <c r="N30" s="139"/>
      <c r="O30" s="139"/>
      <c r="P30" s="139"/>
      <c r="Q30" s="139"/>
      <c r="R30" s="139"/>
      <c r="S30" s="139"/>
      <c r="T30" s="139"/>
      <c r="U30" s="139"/>
      <c r="V30" s="139"/>
      <c r="W30" s="139"/>
    </row>
    <row r="31" spans="1:32" s="135" customFormat="1" ht="14" x14ac:dyDescent="0.2">
      <c r="A31" s="123">
        <v>43888</v>
      </c>
      <c r="B31" s="124">
        <v>1</v>
      </c>
      <c r="C31" s="125">
        <v>1</v>
      </c>
      <c r="D31" s="181">
        <v>10774.057308765199</v>
      </c>
      <c r="E31" s="126">
        <f t="shared" si="4"/>
        <v>10749.620622471357</v>
      </c>
      <c r="F31" s="148" t="s">
        <v>56</v>
      </c>
      <c r="G31" s="148">
        <v>5</v>
      </c>
      <c r="H31" s="141"/>
      <c r="I31" s="141"/>
      <c r="J31" s="186"/>
      <c r="K31" s="142"/>
      <c r="L31" s="142"/>
      <c r="M31" s="142"/>
      <c r="N31" s="142"/>
      <c r="O31" s="138"/>
      <c r="P31" s="138"/>
      <c r="Q31" s="138"/>
      <c r="R31" s="138"/>
      <c r="S31" s="142"/>
      <c r="T31" s="142"/>
      <c r="U31" s="142"/>
      <c r="V31" s="142"/>
      <c r="W31" s="142"/>
      <c r="X31" s="141"/>
      <c r="Y31" s="141"/>
    </row>
    <row r="32" spans="1:32" s="135" customFormat="1" ht="14" x14ac:dyDescent="0.2">
      <c r="A32" s="109">
        <v>43888</v>
      </c>
      <c r="B32" s="110">
        <v>2</v>
      </c>
      <c r="C32" s="111">
        <v>0</v>
      </c>
      <c r="D32" s="176">
        <v>33.967094768813297</v>
      </c>
      <c r="E32" s="116">
        <f>D32-$D$32</f>
        <v>0</v>
      </c>
      <c r="F32" s="213" t="s">
        <v>51</v>
      </c>
      <c r="G32" s="213"/>
      <c r="H32" s="146"/>
      <c r="I32" s="146" t="s">
        <v>62</v>
      </c>
      <c r="J32" s="214" t="s">
        <v>63</v>
      </c>
      <c r="K32" s="215" t="s">
        <v>64</v>
      </c>
      <c r="L32" s="215" t="s">
        <v>65</v>
      </c>
      <c r="M32" s="215" t="s">
        <v>66</v>
      </c>
      <c r="N32" s="215"/>
      <c r="O32" s="216" t="s">
        <v>67</v>
      </c>
      <c r="P32" s="216" t="s">
        <v>270</v>
      </c>
      <c r="Q32" s="216" t="s">
        <v>271</v>
      </c>
      <c r="R32" s="216" t="s">
        <v>68</v>
      </c>
      <c r="S32" s="215" t="s">
        <v>69</v>
      </c>
      <c r="T32" s="215" t="s">
        <v>70</v>
      </c>
      <c r="U32" s="215" t="s">
        <v>71</v>
      </c>
      <c r="V32" s="215" t="s">
        <v>72</v>
      </c>
      <c r="W32" s="215" t="s">
        <v>73</v>
      </c>
    </row>
    <row r="33" spans="1:31" s="135" customFormat="1" ht="14" x14ac:dyDescent="0.2">
      <c r="A33" s="109">
        <v>43888</v>
      </c>
      <c r="B33" s="110">
        <v>2</v>
      </c>
      <c r="C33" s="113">
        <v>0.05</v>
      </c>
      <c r="D33" s="176">
        <v>514.94506817331899</v>
      </c>
      <c r="E33" s="116">
        <f t="shared" ref="E33:E37" si="5">D33-$D$32</f>
        <v>480.97797340450569</v>
      </c>
      <c r="F33" s="133" t="s">
        <v>52</v>
      </c>
      <c r="G33" s="133">
        <v>0.99998081528899196</v>
      </c>
      <c r="H33" s="133" t="s">
        <v>58</v>
      </c>
      <c r="I33" s="133">
        <v>1</v>
      </c>
      <c r="J33" s="147">
        <v>49949241.651480518</v>
      </c>
      <c r="K33" s="134">
        <v>49949241.651480518</v>
      </c>
      <c r="L33" s="134">
        <v>78185.010652886791</v>
      </c>
      <c r="M33" s="134">
        <v>1.0087080806178961E-7</v>
      </c>
      <c r="N33" s="134" t="s">
        <v>61</v>
      </c>
      <c r="O33" s="134">
        <v>31.761107837989584</v>
      </c>
      <c r="P33" s="134">
        <v>16.755869934992077</v>
      </c>
      <c r="Q33" s="134">
        <f>P33*SQRT(G37)</f>
        <v>37.467264196787269</v>
      </c>
      <c r="R33" s="134">
        <v>1.8955212687382681</v>
      </c>
      <c r="S33" s="134">
        <v>0.15431147118918917</v>
      </c>
      <c r="T33" s="134">
        <v>-21.563548528440336</v>
      </c>
      <c r="U33" s="134">
        <v>85.085764204419505</v>
      </c>
      <c r="V33" s="134">
        <v>-21.563548528440336</v>
      </c>
      <c r="W33" s="134">
        <v>85.085764204419505</v>
      </c>
      <c r="X33" s="162">
        <f>3.3*Q33/O34</f>
        <v>1.3585015215621474E-2</v>
      </c>
      <c r="Y33" s="162">
        <f>10*Q33/O34</f>
        <v>4.116671277461053E-2</v>
      </c>
    </row>
    <row r="34" spans="1:31" s="135" customFormat="1" ht="14" x14ac:dyDescent="0.2">
      <c r="A34" s="109">
        <v>43888</v>
      </c>
      <c r="B34" s="110">
        <v>2</v>
      </c>
      <c r="C34" s="113">
        <v>0.1</v>
      </c>
      <c r="D34" s="176">
        <v>954.22458844764799</v>
      </c>
      <c r="E34" s="116">
        <f t="shared" si="5"/>
        <v>920.25749367883463</v>
      </c>
      <c r="F34" s="133" t="s">
        <v>53</v>
      </c>
      <c r="G34" s="133">
        <v>0.99996163094603696</v>
      </c>
      <c r="H34" s="133" t="s">
        <v>59</v>
      </c>
      <c r="I34" s="133">
        <v>3</v>
      </c>
      <c r="J34" s="147">
        <v>1916.5786856474488</v>
      </c>
      <c r="K34" s="134">
        <v>638.85956188248292</v>
      </c>
      <c r="L34" s="134"/>
      <c r="M34" s="134"/>
      <c r="N34" s="134" t="s">
        <v>74</v>
      </c>
      <c r="O34" s="134">
        <v>9101.3495301220919</v>
      </c>
      <c r="P34" s="134">
        <v>32.549479158709872</v>
      </c>
      <c r="Q34" s="134"/>
      <c r="R34" s="134">
        <v>279.61582689984994</v>
      </c>
      <c r="S34" s="134">
        <v>1.0087080806178961E-7</v>
      </c>
      <c r="T34" s="134">
        <v>8997.7625604345467</v>
      </c>
      <c r="U34" s="134">
        <v>9204.9364998096371</v>
      </c>
      <c r="V34" s="134">
        <v>8997.7625604345467</v>
      </c>
      <c r="W34" s="134">
        <v>9204.9364998096371</v>
      </c>
    </row>
    <row r="35" spans="1:31" s="135" customFormat="1" ht="14" x14ac:dyDescent="0.2">
      <c r="A35" s="109">
        <v>43888</v>
      </c>
      <c r="B35" s="110">
        <v>2</v>
      </c>
      <c r="C35" s="113">
        <v>0.25</v>
      </c>
      <c r="D35" s="176">
        <v>2378.0536512804201</v>
      </c>
      <c r="E35" s="116">
        <f t="shared" si="5"/>
        <v>2344.0865565116069</v>
      </c>
      <c r="F35" s="133" t="s">
        <v>54</v>
      </c>
      <c r="G35" s="133">
        <v>0.99994884126138261</v>
      </c>
      <c r="H35" s="133" t="s">
        <v>60</v>
      </c>
      <c r="I35" s="133">
        <v>4</v>
      </c>
      <c r="J35" s="147">
        <v>49951158.230166167</v>
      </c>
      <c r="K35" s="134"/>
      <c r="L35" s="134"/>
      <c r="M35" s="134"/>
      <c r="N35" s="138"/>
      <c r="O35" s="138"/>
      <c r="P35" s="138"/>
      <c r="Q35" s="138"/>
      <c r="R35" s="138"/>
      <c r="S35" s="138"/>
      <c r="T35" s="138"/>
      <c r="U35" s="138"/>
      <c r="V35" s="138"/>
      <c r="W35" s="138"/>
      <c r="X35" s="137"/>
      <c r="Y35" s="137"/>
    </row>
    <row r="36" spans="1:31" s="135" customFormat="1" ht="14" x14ac:dyDescent="0.2">
      <c r="A36" s="109">
        <v>43888</v>
      </c>
      <c r="B36" s="110">
        <v>2</v>
      </c>
      <c r="C36" s="114">
        <v>0.5</v>
      </c>
      <c r="D36" s="176">
        <v>4610.9864501468801</v>
      </c>
      <c r="E36" s="116">
        <f t="shared" si="5"/>
        <v>4577.0193553780664</v>
      </c>
      <c r="F36" s="133" t="s">
        <v>55</v>
      </c>
      <c r="G36" s="133">
        <v>25.275671343853222</v>
      </c>
      <c r="H36" s="137"/>
      <c r="I36" s="137"/>
      <c r="J36" s="138"/>
      <c r="K36" s="138"/>
      <c r="L36" s="138"/>
      <c r="M36" s="138"/>
      <c r="N36" s="138"/>
      <c r="O36" s="138"/>
      <c r="P36" s="138"/>
      <c r="Q36" s="138"/>
      <c r="R36" s="138"/>
      <c r="S36" s="138"/>
      <c r="T36" s="138"/>
      <c r="U36" s="138"/>
      <c r="V36" s="138"/>
      <c r="W36" s="138"/>
      <c r="X36" s="137"/>
      <c r="Y36" s="137"/>
    </row>
    <row r="37" spans="1:31" s="135" customFormat="1" ht="14" x14ac:dyDescent="0.2">
      <c r="A37" s="123">
        <v>43888</v>
      </c>
      <c r="B37" s="124">
        <v>2</v>
      </c>
      <c r="C37" s="125">
        <v>1</v>
      </c>
      <c r="D37" s="181">
        <v>9162.99536221772</v>
      </c>
      <c r="E37" s="126">
        <f t="shared" si="5"/>
        <v>9129.0282674489063</v>
      </c>
      <c r="F37" s="148" t="s">
        <v>56</v>
      </c>
      <c r="G37" s="148">
        <v>5</v>
      </c>
      <c r="H37" s="141"/>
      <c r="I37" s="141"/>
      <c r="J37" s="142"/>
      <c r="K37" s="142"/>
      <c r="L37" s="142"/>
      <c r="M37" s="142"/>
      <c r="N37" s="142"/>
      <c r="O37" s="142"/>
      <c r="P37" s="142"/>
      <c r="Q37" s="142"/>
      <c r="R37" s="142"/>
      <c r="S37" s="142"/>
      <c r="T37" s="142"/>
      <c r="U37" s="142"/>
      <c r="V37" s="142"/>
      <c r="W37" s="223" t="s">
        <v>274</v>
      </c>
      <c r="X37" s="223">
        <f>AVERAGE(X33,X27,X21,X15,X9,X3)</f>
        <v>2.6120892044853083E-2</v>
      </c>
      <c r="Y37" s="223">
        <f>AVERAGE(Y33,Y27,Y21,Y15,Y9,Y3)</f>
        <v>7.9154218317736627E-2</v>
      </c>
    </row>
    <row r="38" spans="1:31" x14ac:dyDescent="0.2">
      <c r="D38" s="135"/>
      <c r="E38" s="135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</row>
    <row r="39" spans="1:31" x14ac:dyDescent="0.2">
      <c r="Z39" s="13"/>
      <c r="AA39" s="13"/>
      <c r="AB39" s="13"/>
      <c r="AC39" s="13"/>
      <c r="AD39" s="13"/>
      <c r="AE39" s="13"/>
    </row>
    <row r="40" spans="1:31" x14ac:dyDescent="0.2">
      <c r="E40" s="383" t="s">
        <v>77</v>
      </c>
      <c r="F40" s="383"/>
      <c r="G40" s="383"/>
      <c r="H40" s="384"/>
      <c r="I40" s="135"/>
      <c r="J40" s="135"/>
      <c r="K40" s="383" t="s">
        <v>277</v>
      </c>
      <c r="L40" s="385"/>
      <c r="M40" s="385"/>
      <c r="N40" s="385"/>
      <c r="Z40" s="13"/>
      <c r="AA40" s="13"/>
      <c r="AB40" s="13"/>
      <c r="AC40" s="13"/>
      <c r="AD40" s="13"/>
      <c r="AE40" s="13"/>
    </row>
    <row r="41" spans="1:31" ht="30" x14ac:dyDescent="0.2">
      <c r="A41" t="s">
        <v>13</v>
      </c>
      <c r="B41" t="s">
        <v>81</v>
      </c>
      <c r="C41" t="s">
        <v>12</v>
      </c>
      <c r="E41" s="120" t="s">
        <v>10</v>
      </c>
      <c r="F41" s="120" t="s">
        <v>11</v>
      </c>
      <c r="G41" s="120" t="s">
        <v>276</v>
      </c>
      <c r="H41" s="367" t="s">
        <v>75</v>
      </c>
      <c r="I41" s="368" t="s">
        <v>78</v>
      </c>
      <c r="J41" s="120" t="s">
        <v>79</v>
      </c>
      <c r="K41" s="120" t="s">
        <v>10</v>
      </c>
      <c r="L41" s="120" t="s">
        <v>11</v>
      </c>
      <c r="M41" s="120" t="s">
        <v>276</v>
      </c>
      <c r="N41" s="367" t="s">
        <v>75</v>
      </c>
      <c r="Z41" s="13"/>
      <c r="AA41" s="13"/>
      <c r="AB41" s="13"/>
      <c r="AC41" s="13"/>
      <c r="AD41" s="13"/>
      <c r="AE41" s="13"/>
    </row>
    <row r="42" spans="1:31" x14ac:dyDescent="0.2">
      <c r="A42" s="14" t="s">
        <v>6</v>
      </c>
      <c r="B42" s="19">
        <v>231.85129981028999</v>
      </c>
      <c r="C42" s="15">
        <v>0.89450954395267401</v>
      </c>
      <c r="E42" s="16">
        <f>((B42-$D$2+15.009)/9408)/(C42*100%)</f>
        <v>2.4461907160789824E-2</v>
      </c>
      <c r="F42" s="16">
        <f>((B42-$D$2)/9386.5)/(C42*100%)*$B$114</f>
        <v>1.1365183792342943</v>
      </c>
      <c r="H42" s="33">
        <f>TREND($C$2:$C$7,$E$2:$E$7,B42)/(C42*100%)*$B$114</f>
        <v>1.4670093119257839</v>
      </c>
      <c r="I42" s="35">
        <v>1.1714882472117401</v>
      </c>
      <c r="K42" s="17">
        <f>100-(I42/E42*100)</f>
        <v>-4689.0307142099182</v>
      </c>
      <c r="L42" s="17">
        <f>(I42/F42*100)-100</f>
        <v>3.0769293850756725</v>
      </c>
      <c r="M42" s="17" t="e">
        <f>(J42/G42*100)-100</f>
        <v>#DIV/0!</v>
      </c>
      <c r="N42" s="17">
        <f>(I42/H42*100)-100</f>
        <v>-20.14445731950434</v>
      </c>
      <c r="Z42" s="13"/>
      <c r="AA42" s="13"/>
      <c r="AB42" s="13"/>
      <c r="AC42" s="13"/>
      <c r="AD42" s="13"/>
      <c r="AE42" s="13"/>
    </row>
    <row r="43" spans="1:31" x14ac:dyDescent="0.2">
      <c r="A43" s="14" t="s">
        <v>7</v>
      </c>
      <c r="B43" s="19">
        <v>222.30411671766601</v>
      </c>
      <c r="C43" s="15">
        <v>0.92222715865967198</v>
      </c>
      <c r="E43" s="16">
        <f>((B43-$D$2+15.009)/9408)/(C43*100%)*$B$114</f>
        <v>1.1313164604530657</v>
      </c>
      <c r="F43" s="16">
        <f>((B43-$D$2)/9386.5)/(C43*100%)*$B$114</f>
        <v>1.047215538467654</v>
      </c>
      <c r="H43" s="33">
        <f>TREND($C$2:$C$7,$E$2:$E$7,B43)/(C43*100%)*$B$114</f>
        <v>1.3679008815300491</v>
      </c>
      <c r="I43" s="35">
        <v>1.07391939355586</v>
      </c>
      <c r="K43" s="17">
        <f t="shared" ref="K43:K106" si="6">100-(I43/E43*100)</f>
        <v>5.0734758048353257</v>
      </c>
      <c r="L43" s="17">
        <f t="shared" ref="L43:L106" si="7">(I43/F43*100)-100</f>
        <v>2.5499865220946418</v>
      </c>
      <c r="N43" s="17">
        <f t="shared" ref="N43:N106" si="8">(I43/H43*100)-100</f>
        <v>-21.491432014091515</v>
      </c>
      <c r="Z43" s="13"/>
      <c r="AA43" s="13"/>
      <c r="AB43" s="13"/>
      <c r="AC43" s="13"/>
      <c r="AD43" s="13"/>
      <c r="AE43" s="13"/>
    </row>
    <row r="44" spans="1:31" x14ac:dyDescent="0.2">
      <c r="A44" s="14" t="s">
        <v>7</v>
      </c>
      <c r="B44" s="19">
        <v>163.388350458914</v>
      </c>
      <c r="C44" s="15">
        <v>0.91587105636331301</v>
      </c>
      <c r="E44" s="16">
        <f>((B44-$D$2+15.009)/9408)/(C44*100%)*$B$114</f>
        <v>0.79729073808346373</v>
      </c>
      <c r="F44" s="16">
        <f>((B44-$D$2)/9386.5)/(C44*100%)*$B$114</f>
        <v>0.71182308227466307</v>
      </c>
      <c r="H44" s="33">
        <f>TREND($C$2:$C$7,$E$2:$E$7,B44)/(C44*100%)*$B$114</f>
        <v>1.0355252559356252</v>
      </c>
      <c r="I44" s="35">
        <v>0.73670663686312898</v>
      </c>
      <c r="K44" s="17">
        <f t="shared" si="6"/>
        <v>7.5987463953196652</v>
      </c>
      <c r="L44" s="17">
        <f t="shared" si="7"/>
        <v>3.4957498861865304</v>
      </c>
      <c r="N44" s="17">
        <f t="shared" si="8"/>
        <v>-28.856719559438034</v>
      </c>
      <c r="Z44" s="13"/>
      <c r="AA44" s="13"/>
      <c r="AB44" s="13"/>
      <c r="AC44" s="13"/>
      <c r="AD44" s="13"/>
      <c r="AE44" s="13"/>
    </row>
    <row r="45" spans="1:31" x14ac:dyDescent="0.2">
      <c r="A45" s="14" t="s">
        <v>8</v>
      </c>
      <c r="B45" s="3">
        <v>499.24491034554001</v>
      </c>
      <c r="C45" s="15">
        <v>0.86969879565951802</v>
      </c>
      <c r="E45" s="16">
        <f>((B45-$D$2+15.009)/9408)/(C45*100%)*$B$114</f>
        <v>2.8919983312034314</v>
      </c>
      <c r="F45" s="16">
        <f>((B45-$D$2)/9386.5)/(C45*100%)*$B$114</f>
        <v>2.8066942259671275</v>
      </c>
      <c r="H45" s="33">
        <f>TREND($C$2:$C$7,$E$2:$E$7,B45)/(C45*100%)*$B$114</f>
        <v>3.1428314077737505</v>
      </c>
      <c r="I45" s="35">
        <v>2.8659807320814799</v>
      </c>
      <c r="K45" s="17">
        <f t="shared" si="6"/>
        <v>0.89964087604175802</v>
      </c>
      <c r="L45" s="17">
        <f t="shared" si="7"/>
        <v>2.1123250821497521</v>
      </c>
      <c r="N45" s="17">
        <f t="shared" si="8"/>
        <v>-8.8089572672426613</v>
      </c>
    </row>
    <row r="46" spans="1:31" x14ac:dyDescent="0.2">
      <c r="A46" s="14" t="s">
        <v>9</v>
      </c>
      <c r="B46" s="19">
        <v>317.38710992649499</v>
      </c>
      <c r="C46" s="15">
        <v>0.87739604996162202</v>
      </c>
      <c r="E46" s="16">
        <f>((B46-$D$2+15.009)/9408)/(C46*100%)*$B$114</f>
        <v>1.7650652730561596</v>
      </c>
      <c r="F46" s="16">
        <f>((B46-$D$2)/9386.5)/(C46*100%)*$B$114</f>
        <v>1.6779863731668707</v>
      </c>
      <c r="H46" s="33">
        <f>TREND($C$2:$C$7,$E$2:$E$7,B46)/(C46*100%)*$B$114</f>
        <v>2.0137242911773856</v>
      </c>
      <c r="I46" s="35">
        <v>1.72538565551359</v>
      </c>
      <c r="K46" s="17">
        <f t="shared" si="6"/>
        <v>2.2480538339449367</v>
      </c>
      <c r="L46" s="17">
        <f t="shared" si="7"/>
        <v>2.8247715896084742</v>
      </c>
      <c r="N46" s="17">
        <f t="shared" si="8"/>
        <v>-14.318674951038574</v>
      </c>
    </row>
    <row r="47" spans="1:31" x14ac:dyDescent="0.2">
      <c r="A47" s="18" t="s">
        <v>21</v>
      </c>
      <c r="B47" s="3">
        <v>40.0541350289297</v>
      </c>
      <c r="E47" s="16"/>
      <c r="F47" s="16"/>
      <c r="H47" s="33"/>
      <c r="I47" s="34"/>
      <c r="K47" s="17"/>
      <c r="L47" s="17"/>
      <c r="N47" s="17"/>
    </row>
    <row r="48" spans="1:31" x14ac:dyDescent="0.2">
      <c r="A48" s="14" t="s">
        <v>15</v>
      </c>
      <c r="B48" s="19">
        <v>221.560762906121</v>
      </c>
      <c r="C48" s="15">
        <v>0.89502254494107603</v>
      </c>
      <c r="E48" s="16">
        <f t="shared" ref="E48:E59" si="9">((B48-$D$2+15.009)/9408)/(C48*100%)*$B$114</f>
        <v>1.1612893142867033</v>
      </c>
      <c r="F48" s="16">
        <f t="shared" ref="F48:F59" si="10">((B48-$D$2)/9386.5)/(C48*100%)*$B$114</f>
        <v>1.0746219964488788</v>
      </c>
      <c r="H48" s="33">
        <f t="shared" ref="H48:H59" si="11">TREND($C$2:$C$7,$E$2:$E$7,B48)/(C48*100%)*$B$114</f>
        <v>1.405064931517348</v>
      </c>
      <c r="I48" s="35">
        <v>1.1083842949509299</v>
      </c>
      <c r="K48" s="17">
        <f t="shared" si="6"/>
        <v>4.5557139538711056</v>
      </c>
      <c r="L48" s="17">
        <f t="shared" si="7"/>
        <v>3.1417836796212839</v>
      </c>
      <c r="N48" s="17">
        <f t="shared" si="8"/>
        <v>-21.11508371688052</v>
      </c>
    </row>
    <row r="49" spans="1:14" x14ac:dyDescent="0.2">
      <c r="A49" s="14" t="s">
        <v>15</v>
      </c>
      <c r="B49" s="19">
        <v>235.04703727998299</v>
      </c>
      <c r="C49" s="15">
        <v>0.88707752770127501</v>
      </c>
      <c r="E49" s="16">
        <f t="shared" si="9"/>
        <v>1.2524887455744662</v>
      </c>
      <c r="F49" s="16">
        <f t="shared" si="10"/>
        <v>1.1652302717475269</v>
      </c>
      <c r="H49" s="33">
        <f t="shared" si="11"/>
        <v>1.498445772867296</v>
      </c>
      <c r="I49" s="35">
        <v>1.2033185298318501</v>
      </c>
      <c r="K49" s="17">
        <f t="shared" si="6"/>
        <v>3.9258010035103155</v>
      </c>
      <c r="L49" s="17">
        <f t="shared" si="7"/>
        <v>3.2687322847527014</v>
      </c>
      <c r="N49" s="17">
        <f t="shared" si="8"/>
        <v>-19.695557115204508</v>
      </c>
    </row>
    <row r="50" spans="1:14" x14ac:dyDescent="0.2">
      <c r="A50" s="14" t="s">
        <v>16</v>
      </c>
      <c r="B50" s="19">
        <v>163.63887191031699</v>
      </c>
      <c r="C50" s="15">
        <v>0.88540087067860596</v>
      </c>
      <c r="E50" s="16">
        <f t="shared" si="9"/>
        <v>0.82623245868076944</v>
      </c>
      <c r="F50" s="16">
        <f t="shared" si="10"/>
        <v>0.73782696334426523</v>
      </c>
      <c r="H50" s="33">
        <f t="shared" si="11"/>
        <v>1.0726655431423378</v>
      </c>
      <c r="I50" s="35">
        <v>0.77124485403292697</v>
      </c>
      <c r="K50" s="17">
        <f t="shared" si="6"/>
        <v>6.6552220346850248</v>
      </c>
      <c r="L50" s="17">
        <f t="shared" si="7"/>
        <v>4.5292314253727142</v>
      </c>
      <c r="N50" s="17">
        <f t="shared" si="8"/>
        <v>-28.100155825497012</v>
      </c>
    </row>
    <row r="51" spans="1:14" x14ac:dyDescent="0.2">
      <c r="A51" s="14" t="s">
        <v>16</v>
      </c>
      <c r="B51" s="19">
        <v>158.92566253958799</v>
      </c>
      <c r="C51" s="15">
        <v>0.88308660477360401</v>
      </c>
      <c r="E51" s="16">
        <f t="shared" si="9"/>
        <v>0.80003251110377893</v>
      </c>
      <c r="F51" s="16">
        <f t="shared" si="10"/>
        <v>0.71133036420322981</v>
      </c>
      <c r="H51" s="33">
        <f t="shared" si="11"/>
        <v>1.0471120931603488</v>
      </c>
      <c r="I51" s="35">
        <v>0.74467129556071099</v>
      </c>
      <c r="K51" s="17">
        <f t="shared" si="6"/>
        <v>6.9198707270893181</v>
      </c>
      <c r="L51" s="17">
        <f t="shared" si="7"/>
        <v>4.6871233164391697</v>
      </c>
      <c r="N51" s="17">
        <f t="shared" si="8"/>
        <v>-28.883325823009457</v>
      </c>
    </row>
    <row r="52" spans="1:14" x14ac:dyDescent="0.2">
      <c r="A52" s="14" t="s">
        <v>17</v>
      </c>
      <c r="B52" s="19">
        <v>145.04666567419901</v>
      </c>
      <c r="C52" s="15">
        <v>0.91833585375458804</v>
      </c>
      <c r="E52" s="16">
        <f t="shared" si="9"/>
        <v>0.68900317442102221</v>
      </c>
      <c r="F52" s="16">
        <f t="shared" si="10"/>
        <v>0.60352177860931255</v>
      </c>
      <c r="H52" s="33">
        <f t="shared" si="11"/>
        <v>0.9266008246773525</v>
      </c>
      <c r="I52" s="35">
        <v>0.62698463518174496</v>
      </c>
      <c r="K52" s="17">
        <f t="shared" si="6"/>
        <v>9.0011978959882413</v>
      </c>
      <c r="L52" s="17">
        <f t="shared" si="7"/>
        <v>3.887656983397946</v>
      </c>
      <c r="N52" s="17">
        <f t="shared" si="8"/>
        <v>-32.334979801030883</v>
      </c>
    </row>
    <row r="53" spans="1:14" x14ac:dyDescent="0.2">
      <c r="A53" s="14" t="s">
        <v>17</v>
      </c>
      <c r="B53" s="19">
        <v>132.098663382952</v>
      </c>
      <c r="C53" s="15">
        <v>0.90916345566433598</v>
      </c>
      <c r="E53" s="16">
        <f t="shared" si="9"/>
        <v>0.62026528587443241</v>
      </c>
      <c r="F53" s="16">
        <f t="shared" si="10"/>
        <v>0.53374811482097972</v>
      </c>
      <c r="H53" s="33">
        <f t="shared" si="11"/>
        <v>0.86026183716618687</v>
      </c>
      <c r="I53" s="35">
        <v>0.558772313169829</v>
      </c>
      <c r="K53" s="17">
        <f t="shared" si="6"/>
        <v>9.9139794060717747</v>
      </c>
      <c r="L53" s="17">
        <f t="shared" si="7"/>
        <v>4.6883909570795339</v>
      </c>
      <c r="N53" s="17">
        <f t="shared" si="8"/>
        <v>-35.046251149475978</v>
      </c>
    </row>
    <row r="54" spans="1:14" x14ac:dyDescent="0.2">
      <c r="A54" s="14" t="s">
        <v>18</v>
      </c>
      <c r="B54" s="19">
        <v>215.80456328672301</v>
      </c>
      <c r="C54" s="15">
        <v>0.88602360257916501</v>
      </c>
      <c r="E54" s="16">
        <f t="shared" si="9"/>
        <v>1.1385566561119433</v>
      </c>
      <c r="F54" s="16">
        <f t="shared" si="10"/>
        <v>1.0509300116800406</v>
      </c>
      <c r="H54" s="33">
        <f t="shared" si="11"/>
        <v>1.3848090217607372</v>
      </c>
      <c r="I54" s="35">
        <v>1.0880190520181601</v>
      </c>
      <c r="K54" s="17">
        <f t="shared" si="6"/>
        <v>4.4387430192858517</v>
      </c>
      <c r="L54" s="17">
        <f t="shared" si="7"/>
        <v>3.5291636860601301</v>
      </c>
      <c r="N54" s="17">
        <f t="shared" si="8"/>
        <v>-21.431833926473047</v>
      </c>
    </row>
    <row r="55" spans="1:14" x14ac:dyDescent="0.2">
      <c r="A55" s="14" t="s">
        <v>18</v>
      </c>
      <c r="B55" s="19">
        <v>214.764611073011</v>
      </c>
      <c r="C55" s="15">
        <v>0.88359366541138895</v>
      </c>
      <c r="E55" s="16">
        <f t="shared" si="9"/>
        <v>1.1354326683675067</v>
      </c>
      <c r="F55" s="16">
        <f t="shared" si="10"/>
        <v>1.0475507178210235</v>
      </c>
      <c r="H55" s="33">
        <f t="shared" si="11"/>
        <v>1.3823623934837157</v>
      </c>
      <c r="I55" s="35">
        <v>1.0851266610025501</v>
      </c>
      <c r="K55" s="17">
        <f t="shared" si="6"/>
        <v>4.4305583912153281</v>
      </c>
      <c r="L55" s="17">
        <f t="shared" si="7"/>
        <v>3.5870285364022294</v>
      </c>
      <c r="N55" s="17">
        <f t="shared" si="8"/>
        <v>-21.502012343673258</v>
      </c>
    </row>
    <row r="56" spans="1:14" x14ac:dyDescent="0.2">
      <c r="A56" s="14" t="s">
        <v>19</v>
      </c>
      <c r="B56" s="19">
        <v>240.65034669996001</v>
      </c>
      <c r="C56" s="15">
        <v>0.88510916556297003</v>
      </c>
      <c r="E56" s="16">
        <f t="shared" si="9"/>
        <v>1.2889191044170354</v>
      </c>
      <c r="F56" s="16">
        <f t="shared" si="10"/>
        <v>1.20154364429314</v>
      </c>
      <c r="H56" s="33">
        <f t="shared" si="11"/>
        <v>1.5354222984532147</v>
      </c>
      <c r="I56" s="35">
        <v>1.2417422751801701</v>
      </c>
      <c r="K56" s="17">
        <f t="shared" si="6"/>
        <v>3.660185427866935</v>
      </c>
      <c r="L56" s="17">
        <f t="shared" si="7"/>
        <v>3.3455822497965784</v>
      </c>
      <c r="N56" s="17">
        <f t="shared" si="8"/>
        <v>-19.12698699041286</v>
      </c>
    </row>
    <row r="57" spans="1:14" x14ac:dyDescent="0.2">
      <c r="A57" s="14" t="s">
        <v>19</v>
      </c>
      <c r="B57" s="19">
        <v>267.331719765846</v>
      </c>
      <c r="C57" s="15">
        <v>0.88973004696782498</v>
      </c>
      <c r="E57" s="16">
        <f t="shared" si="9"/>
        <v>1.4416008904930726</v>
      </c>
      <c r="F57" s="16">
        <f t="shared" si="10"/>
        <v>1.3550442757723742</v>
      </c>
      <c r="H57" s="33">
        <f t="shared" si="11"/>
        <v>1.6868200229964627</v>
      </c>
      <c r="I57" s="35">
        <v>1.3944896136785301</v>
      </c>
      <c r="K57" s="17">
        <f t="shared" si="6"/>
        <v>3.2679833319490399</v>
      </c>
      <c r="L57" s="17">
        <f t="shared" si="7"/>
        <v>2.9109999290371604</v>
      </c>
      <c r="N57" s="17">
        <f t="shared" si="8"/>
        <v>-17.330266734600272</v>
      </c>
    </row>
    <row r="58" spans="1:14" x14ac:dyDescent="0.2">
      <c r="A58" s="14" t="s">
        <v>20</v>
      </c>
      <c r="B58" s="19">
        <v>283.34411017762699</v>
      </c>
      <c r="C58" s="15">
        <v>0.88479998728588505</v>
      </c>
      <c r="E58" s="16">
        <f t="shared" si="9"/>
        <v>1.5458131913077491</v>
      </c>
      <c r="F58" s="16">
        <f t="shared" si="10"/>
        <v>1.4589945896625132</v>
      </c>
      <c r="H58" s="33">
        <f t="shared" si="11"/>
        <v>1.7923963618525538</v>
      </c>
      <c r="I58" s="35">
        <v>1.50048029834617</v>
      </c>
      <c r="K58" s="17">
        <f t="shared" si="6"/>
        <v>2.9326242793430737</v>
      </c>
      <c r="L58" s="17">
        <f t="shared" si="7"/>
        <v>2.8434449981924246</v>
      </c>
      <c r="N58" s="17">
        <f t="shared" si="8"/>
        <v>-16.286356618391608</v>
      </c>
    </row>
    <row r="59" spans="1:14" x14ac:dyDescent="0.2">
      <c r="A59" s="14" t="s">
        <v>20</v>
      </c>
      <c r="B59" s="19">
        <v>279.23409340604599</v>
      </c>
      <c r="C59" s="15">
        <v>0.89302680500911102</v>
      </c>
      <c r="E59" s="16">
        <f t="shared" si="9"/>
        <v>1.5071129814766786</v>
      </c>
      <c r="F59" s="16">
        <f t="shared" si="10"/>
        <v>1.4210381519536273</v>
      </c>
      <c r="H59" s="33">
        <f t="shared" si="11"/>
        <v>1.7514251450281835</v>
      </c>
      <c r="I59" s="35">
        <v>1.45978305162126</v>
      </c>
      <c r="K59" s="17">
        <f t="shared" si="6"/>
        <v>3.1404367447651111</v>
      </c>
      <c r="L59" s="17">
        <f t="shared" si="7"/>
        <v>2.7265207210915889</v>
      </c>
      <c r="N59" s="17">
        <f t="shared" si="8"/>
        <v>-16.651701857473938</v>
      </c>
    </row>
    <row r="60" spans="1:14" x14ac:dyDescent="0.2">
      <c r="A60" s="2"/>
      <c r="B60" s="2"/>
      <c r="C60" s="2"/>
      <c r="E60" s="16"/>
      <c r="F60" s="16"/>
      <c r="H60" s="33"/>
      <c r="K60" s="17"/>
      <c r="L60" s="17"/>
      <c r="N60" s="17"/>
    </row>
    <row r="61" spans="1:14" x14ac:dyDescent="0.2">
      <c r="A61" s="24" t="s">
        <v>23</v>
      </c>
      <c r="B61" s="19">
        <v>276.20164760122799</v>
      </c>
      <c r="C61" s="25">
        <v>0.93731826164083498</v>
      </c>
      <c r="E61" s="16">
        <f t="shared" ref="E61:E72" si="12">((B61-$D$2+26.236)/8428.6)/(C61*100%)*$B$114</f>
        <v>1.6546098646788954</v>
      </c>
      <c r="F61" s="16">
        <f t="shared" ref="F61:F72" si="13">((B61-$D$2)/8391)/(C61*100%)*$B$114</f>
        <v>1.49523537937083</v>
      </c>
      <c r="H61" s="33">
        <f t="shared" ref="H61:H72" si="14">TREND($C$8:$C$13,$E$8:$E$13,B61-$B$47)/(C61*100%)*$B$114</f>
        <v>1.6651743592399599</v>
      </c>
      <c r="I61" s="35">
        <v>1.51081041822322</v>
      </c>
      <c r="K61" s="17">
        <f t="shared" si="6"/>
        <v>8.6908370078877795</v>
      </c>
      <c r="L61" s="17">
        <f t="shared" si="7"/>
        <v>1.0416446177821115</v>
      </c>
      <c r="N61" s="17">
        <f t="shared" si="8"/>
        <v>-9.2701367973979956</v>
      </c>
    </row>
    <row r="62" spans="1:14" x14ac:dyDescent="0.2">
      <c r="A62" s="24" t="s">
        <v>23</v>
      </c>
      <c r="B62" s="19">
        <v>297.236337290287</v>
      </c>
      <c r="C62" s="25">
        <v>0.94466513570173605</v>
      </c>
      <c r="E62" s="16">
        <f t="shared" si="12"/>
        <v>1.7738324547128699</v>
      </c>
      <c r="F62" s="16">
        <f t="shared" si="13"/>
        <v>1.6162893588093741</v>
      </c>
      <c r="H62" s="33">
        <f t="shared" si="14"/>
        <v>1.784274388673734</v>
      </c>
      <c r="I62" s="35">
        <v>1.62910660076023</v>
      </c>
      <c r="K62" s="17">
        <f t="shared" si="6"/>
        <v>8.1589359563311632</v>
      </c>
      <c r="L62" s="17">
        <f t="shared" si="7"/>
        <v>0.79300416605461521</v>
      </c>
      <c r="N62" s="17">
        <f t="shared" si="8"/>
        <v>-8.696408405483055</v>
      </c>
    </row>
    <row r="63" spans="1:14" x14ac:dyDescent="0.2">
      <c r="A63" s="24" t="s">
        <v>24</v>
      </c>
      <c r="B63" s="19">
        <v>298.98885841470599</v>
      </c>
      <c r="C63" s="25">
        <v>0.92515257429808795</v>
      </c>
      <c r="E63" s="16">
        <f t="shared" si="12"/>
        <v>1.8224820423118979</v>
      </c>
      <c r="F63" s="16">
        <f t="shared" si="13"/>
        <v>1.6616665308203622</v>
      </c>
      <c r="H63" s="33">
        <f t="shared" si="14"/>
        <v>1.8331407722128226</v>
      </c>
      <c r="I63" s="35">
        <v>1.6788902938680199</v>
      </c>
      <c r="K63" s="17">
        <f t="shared" si="6"/>
        <v>7.8789115673110075</v>
      </c>
      <c r="L63" s="17">
        <f t="shared" si="7"/>
        <v>1.0365354737664774</v>
      </c>
      <c r="N63" s="17">
        <f t="shared" si="8"/>
        <v>-8.4145462630566925</v>
      </c>
    </row>
    <row r="64" spans="1:14" x14ac:dyDescent="0.2">
      <c r="A64" s="24" t="s">
        <v>24</v>
      </c>
      <c r="B64" s="19">
        <v>281.35739506303798</v>
      </c>
      <c r="C64" s="25">
        <v>0.94994839103612105</v>
      </c>
      <c r="E64" s="16">
        <f t="shared" si="12"/>
        <v>1.6648071578102226</v>
      </c>
      <c r="F64" s="16">
        <f t="shared" si="13"/>
        <v>1.5076959225863948</v>
      </c>
      <c r="H64" s="33">
        <f t="shared" si="14"/>
        <v>1.6752213443343549</v>
      </c>
      <c r="I64" s="35">
        <v>1.51844655575689</v>
      </c>
      <c r="K64" s="17">
        <f t="shared" si="6"/>
        <v>8.7914447848629891</v>
      </c>
      <c r="L64" s="17">
        <f t="shared" si="7"/>
        <v>0.71305049044987356</v>
      </c>
      <c r="N64" s="17">
        <f t="shared" si="8"/>
        <v>-9.3584521894782142</v>
      </c>
    </row>
    <row r="65" spans="1:14" x14ac:dyDescent="0.2">
      <c r="A65" s="24" t="s">
        <v>25</v>
      </c>
      <c r="B65" s="19">
        <v>154.03019963258899</v>
      </c>
      <c r="C65" s="25">
        <v>0.94365202256338698</v>
      </c>
      <c r="E65" s="16">
        <f t="shared" si="12"/>
        <v>0.87548439602523398</v>
      </c>
      <c r="F65" s="16">
        <f t="shared" si="13"/>
        <v>0.71373813680410103</v>
      </c>
      <c r="H65" s="33">
        <f t="shared" si="14"/>
        <v>0.88621287014292327</v>
      </c>
      <c r="I65" s="35">
        <v>0.73500876831533102</v>
      </c>
      <c r="K65" s="17">
        <f t="shared" si="6"/>
        <v>16.045474750626397</v>
      </c>
      <c r="L65" s="17">
        <f t="shared" si="7"/>
        <v>2.9801730374774849</v>
      </c>
      <c r="N65" s="17">
        <f t="shared" si="8"/>
        <v>-17.061826443934052</v>
      </c>
    </row>
    <row r="66" spans="1:14" x14ac:dyDescent="0.2">
      <c r="A66" s="24" t="s">
        <v>25</v>
      </c>
      <c r="B66" s="19">
        <v>182.278685548608</v>
      </c>
      <c r="C66" s="25">
        <v>0.95236855535125997</v>
      </c>
      <c r="E66" s="16">
        <f t="shared" si="12"/>
        <v>1.0434277899089799</v>
      </c>
      <c r="F66" s="16">
        <f t="shared" si="13"/>
        <v>0.88395036830788665</v>
      </c>
      <c r="H66" s="33">
        <f t="shared" si="14"/>
        <v>1.0540042581442299</v>
      </c>
      <c r="I66" s="35">
        <v>0.90083462816722304</v>
      </c>
      <c r="K66" s="17">
        <f t="shared" si="6"/>
        <v>13.665838989605163</v>
      </c>
      <c r="L66" s="17">
        <f t="shared" si="7"/>
        <v>1.9100913880105423</v>
      </c>
      <c r="N66" s="17">
        <f t="shared" si="8"/>
        <v>-14.532164248244158</v>
      </c>
    </row>
    <row r="67" spans="1:14" x14ac:dyDescent="0.2">
      <c r="A67" s="24" t="s">
        <v>26</v>
      </c>
      <c r="B67" s="19">
        <v>188.42942185023699</v>
      </c>
      <c r="C67" s="25">
        <v>1.01126871453652</v>
      </c>
      <c r="E67" s="16">
        <f t="shared" si="12"/>
        <v>1.0187352749401208</v>
      </c>
      <c r="F67" s="16">
        <f t="shared" si="13"/>
        <v>0.86870810591955483</v>
      </c>
      <c r="H67" s="33">
        <f t="shared" si="14"/>
        <v>1.028684694418067</v>
      </c>
      <c r="I67" s="35">
        <v>0.87109095820915405</v>
      </c>
      <c r="K67" s="17">
        <f t="shared" si="6"/>
        <v>14.492903147939487</v>
      </c>
      <c r="L67" s="17">
        <f t="shared" si="7"/>
        <v>0.27429838323851641</v>
      </c>
      <c r="N67" s="17">
        <f t="shared" si="8"/>
        <v>-15.319926218797747</v>
      </c>
    </row>
    <row r="68" spans="1:14" x14ac:dyDescent="0.2">
      <c r="A68" s="24" t="s">
        <v>26</v>
      </c>
      <c r="B68" s="19">
        <v>160.16785526161701</v>
      </c>
      <c r="C68" s="25">
        <v>0.98311829616636204</v>
      </c>
      <c r="E68" s="16">
        <f t="shared" si="12"/>
        <v>0.87737388521895876</v>
      </c>
      <c r="F68" s="16">
        <f t="shared" si="13"/>
        <v>0.72228671646063114</v>
      </c>
      <c r="H68" s="33">
        <f t="shared" si="14"/>
        <v>0.8876603491607592</v>
      </c>
      <c r="I68" s="35">
        <v>0.73160821669538101</v>
      </c>
      <c r="K68" s="17">
        <f t="shared" si="6"/>
        <v>16.613859949478694</v>
      </c>
      <c r="L68" s="17">
        <f t="shared" si="7"/>
        <v>1.2905540171674943</v>
      </c>
      <c r="N68" s="17">
        <f t="shared" si="8"/>
        <v>-17.580162571519395</v>
      </c>
    </row>
    <row r="69" spans="1:14" x14ac:dyDescent="0.2">
      <c r="A69" s="24" t="s">
        <v>27</v>
      </c>
      <c r="B69" s="3">
        <v>711.36411233756803</v>
      </c>
      <c r="C69" s="25">
        <v>0.91374543438173605</v>
      </c>
      <c r="E69" s="16">
        <f t="shared" si="12"/>
        <v>4.5224406976794977</v>
      </c>
      <c r="F69" s="16">
        <f t="shared" si="13"/>
        <v>4.3716141170555662</v>
      </c>
      <c r="H69" s="33">
        <f t="shared" si="14"/>
        <v>4.5324137042573334</v>
      </c>
      <c r="I69" s="35">
        <v>4.36715677501385</v>
      </c>
      <c r="K69" s="17">
        <f t="shared" si="6"/>
        <v>3.4336309317516367</v>
      </c>
      <c r="L69" s="17">
        <f t="shared" si="7"/>
        <v>-0.1019610130804125</v>
      </c>
      <c r="N69" s="17">
        <f t="shared" si="8"/>
        <v>-3.646113087343636</v>
      </c>
    </row>
    <row r="70" spans="1:14" x14ac:dyDescent="0.2">
      <c r="A70" s="24" t="s">
        <v>27</v>
      </c>
      <c r="B70" s="3">
        <v>648.57453154463099</v>
      </c>
      <c r="C70" s="25">
        <v>0.91604508164843002</v>
      </c>
      <c r="E70" s="16">
        <f t="shared" si="12"/>
        <v>4.104470744623903</v>
      </c>
      <c r="F70" s="16">
        <f t="shared" si="13"/>
        <v>3.9522007539643722</v>
      </c>
      <c r="H70" s="33">
        <f t="shared" si="14"/>
        <v>4.1145430729285071</v>
      </c>
      <c r="I70" s="35">
        <v>3.9499283717089702</v>
      </c>
      <c r="K70" s="17">
        <f t="shared" si="6"/>
        <v>3.7652204761686932</v>
      </c>
      <c r="L70" s="17">
        <f t="shared" si="7"/>
        <v>-5.7496630279288752E-2</v>
      </c>
      <c r="N70" s="17">
        <f t="shared" si="8"/>
        <v>-4.0008015058248816</v>
      </c>
    </row>
    <row r="71" spans="1:14" x14ac:dyDescent="0.2">
      <c r="A71" s="24" t="s">
        <v>28</v>
      </c>
      <c r="B71" s="19">
        <v>81.592187574771003</v>
      </c>
      <c r="C71" s="25">
        <v>0.97019227614502201</v>
      </c>
      <c r="E71" s="16">
        <f t="shared" si="12"/>
        <v>0.40861699970243481</v>
      </c>
      <c r="F71" s="16">
        <f t="shared" si="13"/>
        <v>0.24931070520526546</v>
      </c>
      <c r="H71" s="33">
        <f t="shared" si="14"/>
        <v>0.41918744953811909</v>
      </c>
      <c r="I71" s="35">
        <v>0.26655632531345402</v>
      </c>
      <c r="K71" s="17">
        <f t="shared" si="6"/>
        <v>34.766217385089931</v>
      </c>
      <c r="L71" s="17">
        <f t="shared" si="7"/>
        <v>6.9173203348767913</v>
      </c>
      <c r="N71" s="17">
        <f t="shared" si="8"/>
        <v>-36.411186545026908</v>
      </c>
    </row>
    <row r="72" spans="1:14" x14ac:dyDescent="0.2">
      <c r="A72" s="24" t="s">
        <v>28</v>
      </c>
      <c r="B72" s="19">
        <v>55.409349480947199</v>
      </c>
      <c r="C72" s="25">
        <v>0.95144993788020205</v>
      </c>
      <c r="E72" s="16">
        <f t="shared" si="12"/>
        <v>0.25341917953948151</v>
      </c>
      <c r="F72" s="16">
        <f t="shared" si="13"/>
        <v>9.0243247590479941E-2</v>
      </c>
      <c r="H72" s="33">
        <f t="shared" si="14"/>
        <v>0.26424778044478758</v>
      </c>
      <c r="I72" s="35">
        <v>0.116151891648378</v>
      </c>
      <c r="K72" s="17">
        <f t="shared" si="6"/>
        <v>54.16610066394675</v>
      </c>
      <c r="L72" s="17">
        <f t="shared" si="7"/>
        <v>28.709786881197374</v>
      </c>
      <c r="N72" s="17">
        <f t="shared" si="8"/>
        <v>-56.044326482943916</v>
      </c>
    </row>
    <row r="73" spans="1:14" x14ac:dyDescent="0.2">
      <c r="A73" s="26" t="s">
        <v>29</v>
      </c>
      <c r="B73" s="3">
        <v>33.209147078405103</v>
      </c>
      <c r="C73" s="25"/>
      <c r="E73" s="16"/>
      <c r="F73" s="16"/>
      <c r="H73" s="33"/>
      <c r="K73" s="17"/>
      <c r="L73" s="17"/>
      <c r="N73" s="17"/>
    </row>
    <row r="74" spans="1:14" x14ac:dyDescent="0.2">
      <c r="A74" s="24" t="s">
        <v>30</v>
      </c>
      <c r="B74" s="19">
        <v>142.45129268385699</v>
      </c>
      <c r="C74" s="25">
        <v>0.94473388902913502</v>
      </c>
      <c r="E74" s="16">
        <f>((B74-$B$73+26.236)/8428.6)/(C74*100%)*$B$114</f>
        <v>0.85069584101773432</v>
      </c>
      <c r="F74" s="16">
        <f>((B74-$B$73)/8391)/(C74*100%)*$B$114</f>
        <v>0.68902822146810194</v>
      </c>
      <c r="H74" s="33">
        <f>TREND($C$8:$C$13,$E$8:$E$13,B74-$B$73)/(C74*100%)*$B$114</f>
        <v>0.85548183484849083</v>
      </c>
      <c r="I74" s="35">
        <v>0.66073556433965397</v>
      </c>
      <c r="K74" s="17">
        <f>100-(I74/E74*100)</f>
        <v>22.329987701693753</v>
      </c>
      <c r="L74" s="17">
        <f t="shared" si="7"/>
        <v>-4.1061681142994786</v>
      </c>
      <c r="N74" s="17">
        <f t="shared" si="8"/>
        <v>-22.764512649567507</v>
      </c>
    </row>
    <row r="75" spans="1:14" x14ac:dyDescent="0.2">
      <c r="A75" s="24" t="s">
        <v>30</v>
      </c>
      <c r="B75" s="19">
        <v>142.530022991859</v>
      </c>
      <c r="C75" s="25">
        <v>0.906479681876878</v>
      </c>
      <c r="E75" s="16">
        <f t="shared" ref="E75:E85" si="15">((B75-$B$73+26.236)/8428.6)/(C75*100%)*$B$114</f>
        <v>0.8871111498245744</v>
      </c>
      <c r="F75" s="16">
        <f t="shared" ref="F75:F85" si="16">((B75-$B$73)/8391)/(C75*100%)*$B$114</f>
        <v>0.71862332909707427</v>
      </c>
      <c r="H75" s="33">
        <f t="shared" ref="H75:H85" si="17">TREND($C$8:$C$13,$E$8:$E$13,B75)/(C75*100%)*$B$114</f>
        <v>1.109359754276942</v>
      </c>
      <c r="I75" s="35">
        <v>0.699377654244842</v>
      </c>
      <c r="K75" s="17">
        <f t="shared" si="6"/>
        <v>21.16234201507406</v>
      </c>
      <c r="L75" s="17">
        <f t="shared" si="7"/>
        <v>-2.6781310977496133</v>
      </c>
      <c r="N75" s="17">
        <f t="shared" si="8"/>
        <v>-36.956640841844667</v>
      </c>
    </row>
    <row r="76" spans="1:14" x14ac:dyDescent="0.2">
      <c r="A76" s="24" t="s">
        <v>31</v>
      </c>
      <c r="B76" s="19">
        <v>371.14442910938402</v>
      </c>
      <c r="C76" s="25">
        <v>0.94450543372056495</v>
      </c>
      <c r="E76" s="16">
        <f t="shared" si="15"/>
        <v>2.2872613681828895</v>
      </c>
      <c r="F76" s="16">
        <f t="shared" si="16"/>
        <v>2.1319909606959917</v>
      </c>
      <c r="H76" s="33">
        <f t="shared" si="17"/>
        <v>2.5001231132252446</v>
      </c>
      <c r="I76" s="35">
        <v>2.08927195105024</v>
      </c>
      <c r="K76" s="17">
        <f t="shared" si="6"/>
        <v>8.6561780777131645</v>
      </c>
      <c r="L76" s="17">
        <f t="shared" si="7"/>
        <v>-2.00371438872358</v>
      </c>
      <c r="N76" s="17">
        <f t="shared" si="8"/>
        <v>-16.433237227465668</v>
      </c>
    </row>
    <row r="77" spans="1:14" x14ac:dyDescent="0.2">
      <c r="A77" s="24" t="s">
        <v>31</v>
      </c>
      <c r="B77" s="19">
        <v>359.00481419269602</v>
      </c>
      <c r="C77" s="25">
        <v>0.93032124842759001</v>
      </c>
      <c r="E77" s="16">
        <f t="shared" si="15"/>
        <v>2.2447260808824576</v>
      </c>
      <c r="F77" s="16">
        <f t="shared" si="16"/>
        <v>2.0867414709153582</v>
      </c>
      <c r="H77" s="33">
        <f t="shared" si="17"/>
        <v>2.4608569064068293</v>
      </c>
      <c r="I77" s="35">
        <v>2.0493190235168099</v>
      </c>
      <c r="K77" s="17">
        <f t="shared" si="6"/>
        <v>8.7051626935625137</v>
      </c>
      <c r="L77" s="17">
        <f t="shared" si="7"/>
        <v>-1.7933437332863633</v>
      </c>
      <c r="N77" s="17">
        <f t="shared" si="8"/>
        <v>-16.723356885098937</v>
      </c>
    </row>
    <row r="78" spans="1:14" x14ac:dyDescent="0.2">
      <c r="A78" s="24" t="s">
        <v>32</v>
      </c>
      <c r="B78" s="3">
        <v>523.71698494931502</v>
      </c>
      <c r="C78" s="25">
        <v>0.90751769135969096</v>
      </c>
      <c r="E78" s="16">
        <f t="shared" si="15"/>
        <v>3.3778064985682992</v>
      </c>
      <c r="F78" s="16">
        <f t="shared" si="16"/>
        <v>3.2206767239969785</v>
      </c>
      <c r="H78" s="33">
        <f t="shared" si="17"/>
        <v>3.5990388427279605</v>
      </c>
      <c r="I78" s="35">
        <v>3.1778768144199598</v>
      </c>
      <c r="K78" s="17">
        <f t="shared" si="6"/>
        <v>5.918920584500043</v>
      </c>
      <c r="L78" s="17">
        <f t="shared" si="7"/>
        <v>-1.3289104509657932</v>
      </c>
      <c r="N78" s="17">
        <f t="shared" si="8"/>
        <v>-11.702069544455725</v>
      </c>
    </row>
    <row r="79" spans="1:14" x14ac:dyDescent="0.2">
      <c r="A79" s="24" t="s">
        <v>32</v>
      </c>
      <c r="B79" s="3">
        <v>502.26504845310302</v>
      </c>
      <c r="C79" s="25">
        <v>0.90819078395528097</v>
      </c>
      <c r="E79" s="16">
        <f t="shared" si="15"/>
        <v>3.2351818454071957</v>
      </c>
      <c r="F79" s="16">
        <f t="shared" si="16"/>
        <v>3.077540643226548</v>
      </c>
      <c r="H79" s="33">
        <f t="shared" si="17"/>
        <v>3.4562930805012049</v>
      </c>
      <c r="I79" s="35">
        <v>3.0360327748909399</v>
      </c>
      <c r="K79" s="17">
        <f t="shared" si="6"/>
        <v>6.1557303432255708</v>
      </c>
      <c r="L79" s="17">
        <f t="shared" si="7"/>
        <v>-1.3487350175850281</v>
      </c>
      <c r="N79" s="17">
        <f t="shared" si="8"/>
        <v>-12.159278620820018</v>
      </c>
    </row>
    <row r="80" spans="1:14" x14ac:dyDescent="0.2">
      <c r="A80" s="24" t="s">
        <v>33</v>
      </c>
      <c r="B80" s="19">
        <v>427.535361602188</v>
      </c>
      <c r="C80" s="25">
        <v>0.90554331641515495</v>
      </c>
      <c r="E80" s="16">
        <f t="shared" si="15"/>
        <v>2.7550886769097764</v>
      </c>
      <c r="F80" s="16">
        <f t="shared" si="16"/>
        <v>2.5947929145634672</v>
      </c>
      <c r="H80" s="33">
        <f t="shared" si="17"/>
        <v>2.9769960804686511</v>
      </c>
      <c r="I80" s="35">
        <v>2.55829404246533</v>
      </c>
      <c r="K80" s="17">
        <f t="shared" si="6"/>
        <v>7.1429510089373878</v>
      </c>
      <c r="L80" s="17">
        <f t="shared" si="7"/>
        <v>-1.4066198459724717</v>
      </c>
      <c r="N80" s="17">
        <f t="shared" si="8"/>
        <v>-14.064581433288524</v>
      </c>
    </row>
    <row r="81" spans="1:14" x14ac:dyDescent="0.2">
      <c r="A81" s="24" t="s">
        <v>33</v>
      </c>
      <c r="B81" s="19">
        <v>440.06071431848898</v>
      </c>
      <c r="C81" s="25">
        <v>0.91546456886587502</v>
      </c>
      <c r="E81" s="16">
        <f t="shared" si="15"/>
        <v>2.8063946031887039</v>
      </c>
      <c r="F81" s="16">
        <f t="shared" si="16"/>
        <v>2.6481997243790252</v>
      </c>
      <c r="H81" s="33">
        <f t="shared" si="17"/>
        <v>3.0258722853980919</v>
      </c>
      <c r="I81" s="35">
        <v>2.6077185557954299</v>
      </c>
      <c r="K81" s="17">
        <f t="shared" si="6"/>
        <v>7.0794052685083102</v>
      </c>
      <c r="L81" s="17">
        <f t="shared" si="7"/>
        <v>-1.5286297408360241</v>
      </c>
      <c r="N81" s="17">
        <f t="shared" si="8"/>
        <v>-13.819278877715377</v>
      </c>
    </row>
    <row r="82" spans="1:14" x14ac:dyDescent="0.2">
      <c r="A82" s="24" t="s">
        <v>34</v>
      </c>
      <c r="B82" s="19">
        <v>261.64879302259101</v>
      </c>
      <c r="C82" s="25">
        <v>0.89249326723724098</v>
      </c>
      <c r="E82" s="16">
        <f t="shared" si="15"/>
        <v>1.6927663931371721</v>
      </c>
      <c r="F82" s="16">
        <f t="shared" si="16"/>
        <v>1.5251860102212549</v>
      </c>
      <c r="H82" s="33">
        <f t="shared" si="17"/>
        <v>1.9182557468655179</v>
      </c>
      <c r="I82" s="35">
        <v>1.5015279051549399</v>
      </c>
      <c r="K82" s="17">
        <f t="shared" si="6"/>
        <v>11.297393943875122</v>
      </c>
      <c r="L82" s="17">
        <f t="shared" si="7"/>
        <v>-1.5511619505927001</v>
      </c>
      <c r="N82" s="17">
        <f t="shared" si="8"/>
        <v>-21.724310868950752</v>
      </c>
    </row>
    <row r="83" spans="1:14" x14ac:dyDescent="0.2">
      <c r="A83" s="24" t="s">
        <v>34</v>
      </c>
      <c r="B83" s="19">
        <v>234.85826481352001</v>
      </c>
      <c r="C83" s="25">
        <v>0.89966468010433098</v>
      </c>
      <c r="E83" s="16">
        <f t="shared" si="15"/>
        <v>1.5026223828190342</v>
      </c>
      <c r="F83" s="16">
        <f t="shared" si="16"/>
        <v>1.3355862477925573</v>
      </c>
      <c r="H83" s="33">
        <f t="shared" si="17"/>
        <v>1.7263683404825998</v>
      </c>
      <c r="I83" s="35">
        <v>1.3129831042942299</v>
      </c>
      <c r="K83" s="17">
        <f t="shared" si="6"/>
        <v>12.620554617922465</v>
      </c>
      <c r="L83" s="17">
        <f t="shared" si="7"/>
        <v>-1.6923761783026521</v>
      </c>
      <c r="N83" s="17">
        <f t="shared" si="8"/>
        <v>-23.945367074607589</v>
      </c>
    </row>
    <row r="84" spans="1:14" x14ac:dyDescent="0.2">
      <c r="A84" s="24" t="s">
        <v>35</v>
      </c>
      <c r="B84" s="19">
        <v>288.32770917263502</v>
      </c>
      <c r="C84" s="25">
        <v>0.90259281203104003</v>
      </c>
      <c r="E84" s="16">
        <f t="shared" si="15"/>
        <v>1.8491692011795118</v>
      </c>
      <c r="F84" s="16">
        <f t="shared" si="16"/>
        <v>1.684249670625787</v>
      </c>
      <c r="H84" s="33">
        <f t="shared" si="17"/>
        <v>2.0720818196488113</v>
      </c>
      <c r="I84" s="35">
        <v>1.6569682920237201</v>
      </c>
      <c r="K84" s="17">
        <f t="shared" si="6"/>
        <v>10.393906032676426</v>
      </c>
      <c r="L84" s="17">
        <f t="shared" si="7"/>
        <v>-1.6197942073475673</v>
      </c>
      <c r="N84" s="17">
        <f t="shared" si="8"/>
        <v>-20.0336455678882</v>
      </c>
    </row>
    <row r="85" spans="1:14" x14ac:dyDescent="0.2">
      <c r="A85" s="24" t="s">
        <v>35</v>
      </c>
      <c r="B85" s="19">
        <v>271.03647931682201</v>
      </c>
      <c r="C85" s="25">
        <v>0.90353029329404599</v>
      </c>
      <c r="E85" s="16">
        <f t="shared" si="15"/>
        <v>1.7337239229122547</v>
      </c>
      <c r="F85" s="16">
        <f t="shared" si="16"/>
        <v>1.5684667970445383</v>
      </c>
      <c r="H85" s="33">
        <f t="shared" si="17"/>
        <v>1.9564399731473299</v>
      </c>
      <c r="I85" s="35">
        <v>1.5411829430532</v>
      </c>
      <c r="K85" s="17">
        <f t="shared" si="6"/>
        <v>11.105630908964471</v>
      </c>
      <c r="L85" s="17">
        <f t="shared" si="7"/>
        <v>-1.7395238485602107</v>
      </c>
      <c r="N85" s="17">
        <f t="shared" si="8"/>
        <v>-21.225135235102812</v>
      </c>
    </row>
    <row r="86" spans="1:14" x14ac:dyDescent="0.2">
      <c r="A86" s="24"/>
      <c r="B86" s="2"/>
      <c r="C86" s="25"/>
      <c r="E86" s="16"/>
      <c r="F86" s="16"/>
      <c r="H86" s="33"/>
      <c r="K86" s="17"/>
      <c r="L86" s="17"/>
      <c r="N86" s="17"/>
    </row>
    <row r="87" spans="1:14" x14ac:dyDescent="0.2">
      <c r="A87" s="24" t="s">
        <v>36</v>
      </c>
      <c r="B87" s="3">
        <v>44.106692992643701</v>
      </c>
      <c r="C87" s="25"/>
      <c r="E87" s="16"/>
      <c r="F87" s="16"/>
      <c r="H87" s="33"/>
      <c r="K87" s="17"/>
      <c r="L87" s="17"/>
      <c r="N87" s="17"/>
    </row>
    <row r="88" spans="1:14" x14ac:dyDescent="0.2">
      <c r="A88" s="24" t="s">
        <v>37</v>
      </c>
      <c r="B88" s="19">
        <v>4.8012621344872697</v>
      </c>
      <c r="C88" s="30">
        <v>1.08688980550278E-4</v>
      </c>
      <c r="E88" s="16">
        <f>((B88-$B$87+9.6175)/8034.1)/(C88*100%)*$B$114</f>
        <v>-1699.9149207109067</v>
      </c>
      <c r="F88" s="16">
        <f>((B88-$B$87)/8020.3)/(C88*100%)*$B$114</f>
        <v>-2254.4802594216876</v>
      </c>
      <c r="H88" s="33">
        <f t="shared" ref="H88:H99" si="18">TREND($C$14:$C$19,$E$14:$E$19,B88-$B$87)/(C88*100%)*$B$114</f>
        <v>-1698.5729101960198</v>
      </c>
      <c r="I88" s="35">
        <v>345.62659858266898</v>
      </c>
      <c r="K88" s="17">
        <f t="shared" si="6"/>
        <v>120.33199393520985</v>
      </c>
      <c r="L88" s="17">
        <f t="shared" si="7"/>
        <v>-115.33065535341295</v>
      </c>
      <c r="N88" s="17">
        <f t="shared" si="8"/>
        <v>-120.34805786127737</v>
      </c>
    </row>
    <row r="89" spans="1:14" x14ac:dyDescent="0.2">
      <c r="A89" s="24" t="s">
        <v>37</v>
      </c>
      <c r="B89" s="19">
        <v>133.14674360782399</v>
      </c>
      <c r="C89" s="25">
        <v>0.98753644112573302</v>
      </c>
      <c r="E89" s="16">
        <f t="shared" ref="E89:E99" si="19">((B89-$B$87+9.6175)/8034.1)/(C89*100%)*$B$114</f>
        <v>0.62174166191644431</v>
      </c>
      <c r="F89" s="16">
        <f t="shared" ref="F89:F99" si="20">((B89-$B$87)/8020.3)/(C89*100%)*$B$114</f>
        <v>0.56209750633936451</v>
      </c>
      <c r="H89" s="33">
        <f t="shared" si="18"/>
        <v>0.62188645119515296</v>
      </c>
      <c r="I89" s="35">
        <v>0.57549706720244997</v>
      </c>
      <c r="K89" s="17">
        <f t="shared" si="6"/>
        <v>7.4379115228422847</v>
      </c>
      <c r="L89" s="17">
        <f t="shared" si="7"/>
        <v>2.3838499036136227</v>
      </c>
      <c r="N89" s="17">
        <f t="shared" si="8"/>
        <v>-7.4594620776109508</v>
      </c>
    </row>
    <row r="90" spans="1:14" x14ac:dyDescent="0.2">
      <c r="A90" s="24" t="s">
        <v>38</v>
      </c>
      <c r="B90" s="3">
        <v>1628.1226540451901</v>
      </c>
      <c r="C90" s="25">
        <v>0.907799901406106</v>
      </c>
      <c r="E90" s="16">
        <f t="shared" si="19"/>
        <v>10.925242361014723</v>
      </c>
      <c r="F90" s="16">
        <f t="shared" si="20"/>
        <v>10.877993952873418</v>
      </c>
      <c r="H90" s="33">
        <f t="shared" si="18"/>
        <v>10.925362951966017</v>
      </c>
      <c r="I90" s="35">
        <v>10.985848007475701</v>
      </c>
      <c r="K90" s="17">
        <f t="shared" si="6"/>
        <v>-0.55473045318647962</v>
      </c>
      <c r="L90" s="17">
        <f t="shared" si="7"/>
        <v>0.99148845889726545</v>
      </c>
      <c r="N90" s="17">
        <f t="shared" si="8"/>
        <v>0.55362055956959466</v>
      </c>
    </row>
    <row r="91" spans="1:14" x14ac:dyDescent="0.2">
      <c r="A91" s="24" t="s">
        <v>38</v>
      </c>
      <c r="B91" s="19">
        <v>64.231621728619004</v>
      </c>
      <c r="C91" s="25">
        <v>0.89331258588421203</v>
      </c>
      <c r="E91" s="16">
        <f t="shared" si="19"/>
        <v>0.2072076322670158</v>
      </c>
      <c r="F91" s="16">
        <f t="shared" si="20"/>
        <v>0.1404462957665617</v>
      </c>
      <c r="H91" s="33">
        <f t="shared" si="18"/>
        <v>0.20736942281166129</v>
      </c>
      <c r="I91" s="35">
        <v>0.17939597556190401</v>
      </c>
      <c r="K91" s="17">
        <f t="shared" si="6"/>
        <v>13.422119832570942</v>
      </c>
      <c r="L91" s="17">
        <f t="shared" si="7"/>
        <v>27.732792511723673</v>
      </c>
      <c r="N91" s="17">
        <f t="shared" si="8"/>
        <v>-13.489668279186731</v>
      </c>
    </row>
    <row r="92" spans="1:14" x14ac:dyDescent="0.2">
      <c r="A92" s="24" t="s">
        <v>39</v>
      </c>
      <c r="B92" s="19">
        <v>353.23278712872201</v>
      </c>
      <c r="C92" s="25">
        <v>0.87172987700180304</v>
      </c>
      <c r="E92" s="16">
        <f t="shared" si="19"/>
        <v>2.2755810356347368</v>
      </c>
      <c r="F92" s="16">
        <f t="shared" si="20"/>
        <v>2.2107168760286697</v>
      </c>
      <c r="H92" s="33">
        <f t="shared" si="18"/>
        <v>2.2757394001900697</v>
      </c>
      <c r="I92" s="35">
        <v>2.2715088206954199</v>
      </c>
      <c r="K92" s="17">
        <f t="shared" si="6"/>
        <v>0.17895275428769253</v>
      </c>
      <c r="L92" s="17">
        <f t="shared" si="7"/>
        <v>2.7498747273308339</v>
      </c>
      <c r="N92" s="17">
        <f t="shared" si="8"/>
        <v>-0.18589911895432465</v>
      </c>
    </row>
    <row r="93" spans="1:14" x14ac:dyDescent="0.2">
      <c r="A93" s="24" t="s">
        <v>39</v>
      </c>
      <c r="B93" s="19">
        <v>343.96513051404901</v>
      </c>
      <c r="C93" s="25">
        <v>0.88427873921859002</v>
      </c>
      <c r="E93" s="16">
        <f t="shared" si="19"/>
        <v>2.17806318898739</v>
      </c>
      <c r="F93" s="16">
        <f t="shared" si="20"/>
        <v>2.1140072930649341</v>
      </c>
      <c r="H93" s="33">
        <f t="shared" si="18"/>
        <v>2.1782195411163094</v>
      </c>
      <c r="I93" s="35">
        <v>2.1707378546630798</v>
      </c>
      <c r="K93" s="17">
        <f t="shared" si="6"/>
        <v>0.3363233151980296</v>
      </c>
      <c r="L93" s="17">
        <f t="shared" si="7"/>
        <v>2.683555623684569</v>
      </c>
      <c r="N93" s="17">
        <f t="shared" si="8"/>
        <v>-0.34347715241757726</v>
      </c>
    </row>
    <row r="94" spans="1:14" x14ac:dyDescent="0.2">
      <c r="A94" s="24" t="s">
        <v>40</v>
      </c>
      <c r="B94" s="19">
        <v>107.242594994432</v>
      </c>
      <c r="C94" s="25">
        <v>0.93897364143231099</v>
      </c>
      <c r="E94" s="16">
        <f t="shared" si="19"/>
        <v>0.48220607366117774</v>
      </c>
      <c r="F94" s="16">
        <f t="shared" si="20"/>
        <v>0.41918176246406541</v>
      </c>
      <c r="H94" s="33">
        <f t="shared" si="18"/>
        <v>0.48235896972224901</v>
      </c>
      <c r="I94" s="35">
        <v>0.44668394078947099</v>
      </c>
      <c r="K94" s="17">
        <f t="shared" si="6"/>
        <v>7.3665876089039841</v>
      </c>
      <c r="L94" s="17">
        <f t="shared" si="7"/>
        <v>6.5609195790723902</v>
      </c>
      <c r="N94" s="17">
        <f t="shared" si="8"/>
        <v>-7.3959501475260936</v>
      </c>
    </row>
    <row r="95" spans="1:14" x14ac:dyDescent="0.2">
      <c r="A95" s="24" t="s">
        <v>40</v>
      </c>
      <c r="B95" s="19">
        <v>109.424291400112</v>
      </c>
      <c r="C95" s="25">
        <v>0.93949447988892598</v>
      </c>
      <c r="E95" s="16">
        <f t="shared" si="19"/>
        <v>0.49639091060300788</v>
      </c>
      <c r="F95" s="16">
        <f t="shared" si="20"/>
        <v>0.43342640580628855</v>
      </c>
      <c r="H95" s="33">
        <f t="shared" si="18"/>
        <v>0.49654366984549625</v>
      </c>
      <c r="I95" s="35">
        <v>0.45998112427509602</v>
      </c>
      <c r="K95" s="17">
        <f t="shared" si="6"/>
        <v>7.3349018989251533</v>
      </c>
      <c r="L95" s="17">
        <f t="shared" si="7"/>
        <v>6.1266960464507463</v>
      </c>
      <c r="N95" s="17">
        <f t="shared" si="8"/>
        <v>-7.3634098651941287</v>
      </c>
    </row>
    <row r="96" spans="1:14" x14ac:dyDescent="0.2">
      <c r="A96" s="24" t="s">
        <v>41</v>
      </c>
      <c r="B96" s="19">
        <v>152.945467184732</v>
      </c>
      <c r="C96" s="25">
        <v>0.87782467246089801</v>
      </c>
      <c r="E96" s="16">
        <f t="shared" si="19"/>
        <v>0.83981389671121187</v>
      </c>
      <c r="F96" s="16">
        <f t="shared" si="20"/>
        <v>0.77295684888238125</v>
      </c>
      <c r="H96" s="33">
        <f t="shared" si="18"/>
        <v>0.83997627636852401</v>
      </c>
      <c r="I96" s="35">
        <v>0.82241774576490401</v>
      </c>
      <c r="K96" s="17">
        <f t="shared" si="6"/>
        <v>2.0714292790858622</v>
      </c>
      <c r="L96" s="17">
        <f t="shared" si="7"/>
        <v>6.3989208393765153</v>
      </c>
      <c r="N96" s="17">
        <f t="shared" si="8"/>
        <v>-2.0903602991659369</v>
      </c>
    </row>
    <row r="97" spans="1:14" x14ac:dyDescent="0.2">
      <c r="A97" s="24" t="s">
        <v>41</v>
      </c>
      <c r="B97" s="19">
        <v>139.38156041556601</v>
      </c>
      <c r="C97" s="25">
        <v>0.87808575447276604</v>
      </c>
      <c r="E97" s="16">
        <f t="shared" si="19"/>
        <v>0.74342939218518733</v>
      </c>
      <c r="F97" s="16">
        <f t="shared" si="20"/>
        <v>0.67642681022302187</v>
      </c>
      <c r="H97" s="33">
        <f t="shared" si="18"/>
        <v>0.74359206983376636</v>
      </c>
      <c r="I97" s="35">
        <v>0.72537489611107797</v>
      </c>
      <c r="K97" s="17">
        <f t="shared" si="6"/>
        <v>2.4285421405039074</v>
      </c>
      <c r="L97" s="17">
        <f t="shared" si="7"/>
        <v>7.2362722985384949</v>
      </c>
      <c r="N97" s="17">
        <f t="shared" si="8"/>
        <v>-2.4498881122765255</v>
      </c>
    </row>
    <row r="98" spans="1:14" x14ac:dyDescent="0.2">
      <c r="A98" s="24" t="s">
        <v>42</v>
      </c>
      <c r="B98" s="19">
        <v>232.24854404048301</v>
      </c>
      <c r="C98" s="25">
        <v>0.86684957721525302</v>
      </c>
      <c r="E98" s="16">
        <f t="shared" si="19"/>
        <v>1.4197963580605475</v>
      </c>
      <c r="F98" s="16">
        <f t="shared" si="20"/>
        <v>1.3530724822033351</v>
      </c>
      <c r="H98" s="33">
        <f t="shared" si="18"/>
        <v>1.4199587428272387</v>
      </c>
      <c r="I98" s="35">
        <v>1.40957899730605</v>
      </c>
      <c r="K98" s="17">
        <f t="shared" si="6"/>
        <v>0.71963565031639121</v>
      </c>
      <c r="L98" s="17">
        <f t="shared" si="7"/>
        <v>4.1761632023363546</v>
      </c>
      <c r="N98" s="17">
        <f t="shared" si="8"/>
        <v>-0.7309892328647436</v>
      </c>
    </row>
    <row r="99" spans="1:14" x14ac:dyDescent="0.2">
      <c r="A99" s="24" t="s">
        <v>42</v>
      </c>
      <c r="B99" s="19">
        <v>116.434563033571</v>
      </c>
      <c r="C99" s="25">
        <v>0.881959769538044</v>
      </c>
      <c r="E99" s="16">
        <f t="shared" si="19"/>
        <v>0.57824038052703031</v>
      </c>
      <c r="F99" s="16">
        <f t="shared" si="20"/>
        <v>0.51125349687227728</v>
      </c>
      <c r="H99" s="33">
        <f t="shared" si="18"/>
        <v>0.57840292685143402</v>
      </c>
      <c r="I99" s="35">
        <v>0.55760164293932302</v>
      </c>
      <c r="K99" s="17">
        <f t="shared" si="6"/>
        <v>3.5692314619910093</v>
      </c>
      <c r="L99" s="17">
        <f t="shared" si="7"/>
        <v>9.0655900351962941</v>
      </c>
      <c r="N99" s="17">
        <f t="shared" si="8"/>
        <v>-3.596331025733889</v>
      </c>
    </row>
    <row r="100" spans="1:14" x14ac:dyDescent="0.2">
      <c r="A100" s="26" t="s">
        <v>43</v>
      </c>
      <c r="B100" s="3">
        <v>25.312808619547798</v>
      </c>
      <c r="C100" s="25"/>
      <c r="E100" s="16"/>
      <c r="F100" s="16"/>
      <c r="H100" s="33"/>
      <c r="I100" s="34"/>
      <c r="K100" s="17"/>
      <c r="L100" s="17"/>
      <c r="N100" s="17"/>
    </row>
    <row r="101" spans="1:14" x14ac:dyDescent="0.2">
      <c r="A101" s="24" t="s">
        <v>44</v>
      </c>
      <c r="B101" s="19">
        <v>210.75854037261999</v>
      </c>
      <c r="C101" s="25">
        <v>0.89380870554267</v>
      </c>
      <c r="E101" s="16">
        <f>((B101-$B$100+9.6175)/8034.1)/(C101*100%)*$B$114</f>
        <v>1.358199624862827</v>
      </c>
      <c r="F101" s="16">
        <f>((B101-$B$100)/8020.3)/(C101*100%)*$B$114</f>
        <v>1.293455978800891</v>
      </c>
      <c r="H101" s="33">
        <f t="shared" ref="H101:H112" si="21">TREND($C$14:$C$19,$E$14:$E$19,B101-$B$100)/(C101*100%)*$B$114</f>
        <v>1.3583571793856595</v>
      </c>
      <c r="I101" s="35">
        <v>1.2094591460716499</v>
      </c>
      <c r="K101" s="17">
        <f t="shared" si="6"/>
        <v>10.951297295947882</v>
      </c>
      <c r="L101" s="17">
        <f t="shared" si="7"/>
        <v>-6.4939846508816714</v>
      </c>
      <c r="N101" s="17">
        <f t="shared" si="8"/>
        <v>-10.961625968020513</v>
      </c>
    </row>
    <row r="102" spans="1:14" x14ac:dyDescent="0.2">
      <c r="A102" s="24" t="s">
        <v>44</v>
      </c>
      <c r="B102" s="19">
        <v>215.04292217656399</v>
      </c>
      <c r="C102" s="25">
        <v>0.89563464011348504</v>
      </c>
      <c r="E102" s="16">
        <f t="shared" ref="E102:E112" si="22">((B102-$B$100+9.6175)/8034.1)/(C102*100%)*$B$114</f>
        <v>1.3852014260262278</v>
      </c>
      <c r="F102" s="16">
        <f t="shared" ref="F102:F112" si="23">((B102-$B$100)/8020.3)/(C102*100%)*$B$114</f>
        <v>1.320640997735679</v>
      </c>
      <c r="H102" s="33">
        <f t="shared" si="21"/>
        <v>1.385358552109397</v>
      </c>
      <c r="I102" s="35">
        <v>1.2356406653668</v>
      </c>
      <c r="K102" s="17">
        <f t="shared" si="6"/>
        <v>10.797040621628412</v>
      </c>
      <c r="L102" s="17">
        <f t="shared" si="7"/>
        <v>-6.4362936267022945</v>
      </c>
      <c r="N102" s="17">
        <f t="shared" si="8"/>
        <v>-10.807157938616768</v>
      </c>
    </row>
    <row r="103" spans="1:14" x14ac:dyDescent="0.2">
      <c r="A103" s="24" t="s">
        <v>45</v>
      </c>
      <c r="B103" s="3">
        <v>1620.86976635978</v>
      </c>
      <c r="C103" s="25">
        <v>0.85856797985988997</v>
      </c>
      <c r="E103" s="16">
        <f t="shared" si="22"/>
        <v>11.635373374526987</v>
      </c>
      <c r="F103" s="16">
        <f t="shared" si="23"/>
        <v>11.585559595539921</v>
      </c>
      <c r="H103" s="33">
        <f t="shared" si="21"/>
        <v>11.635500579066024</v>
      </c>
      <c r="I103" s="35">
        <v>11.5770002050608</v>
      </c>
      <c r="K103" s="17">
        <f t="shared" si="6"/>
        <v>0.50168711898821527</v>
      </c>
      <c r="L103" s="17">
        <f t="shared" si="7"/>
        <v>-7.3879819170898031E-2</v>
      </c>
      <c r="N103" s="17">
        <f t="shared" si="8"/>
        <v>-0.50277487941063725</v>
      </c>
    </row>
    <row r="104" spans="1:14" x14ac:dyDescent="0.2">
      <c r="A104" s="24" t="s">
        <v>45</v>
      </c>
      <c r="B104" s="3">
        <v>1595.1036888901001</v>
      </c>
      <c r="C104" s="25">
        <v>0.875085490195186</v>
      </c>
      <c r="E104" s="16">
        <f t="shared" si="22"/>
        <v>11.232507737783948</v>
      </c>
      <c r="F104" s="16">
        <f t="shared" si="23"/>
        <v>11.183318912900305</v>
      </c>
      <c r="H104" s="33">
        <f t="shared" si="21"/>
        <v>11.232633201332909</v>
      </c>
      <c r="I104" s="35">
        <v>11.1775157117783</v>
      </c>
      <c r="K104" s="17">
        <f t="shared" si="6"/>
        <v>0.48957923991153507</v>
      </c>
      <c r="L104" s="17">
        <f t="shared" si="7"/>
        <v>-5.1891582160905614E-2</v>
      </c>
      <c r="N104" s="17">
        <f t="shared" si="8"/>
        <v>-0.49069072733603036</v>
      </c>
    </row>
    <row r="105" spans="1:14" x14ac:dyDescent="0.2">
      <c r="A105" s="24" t="s">
        <v>46</v>
      </c>
      <c r="B105" s="19">
        <v>414.72079907831397</v>
      </c>
      <c r="C105" s="25">
        <v>0.87196228646687701</v>
      </c>
      <c r="E105" s="16">
        <f t="shared" si="22"/>
        <v>2.8479719647696822</v>
      </c>
      <c r="F105" s="16">
        <f t="shared" si="23"/>
        <v>2.784111012645194</v>
      </c>
      <c r="H105" s="33">
        <f t="shared" si="21"/>
        <v>2.8481282232128944</v>
      </c>
      <c r="I105" s="35">
        <v>2.7142371821226701</v>
      </c>
      <c r="K105" s="17">
        <f t="shared" si="6"/>
        <v>4.6957899972806558</v>
      </c>
      <c r="L105" s="17">
        <f t="shared" si="7"/>
        <v>-2.509735790173707</v>
      </c>
      <c r="N105" s="17">
        <f t="shared" si="8"/>
        <v>-4.7010187251747197</v>
      </c>
    </row>
    <row r="106" spans="1:14" x14ac:dyDescent="0.2">
      <c r="A106" s="24" t="s">
        <v>46</v>
      </c>
      <c r="B106" s="19">
        <v>384.17719249801002</v>
      </c>
      <c r="C106" s="25">
        <v>0.87422422712466996</v>
      </c>
      <c r="E106" s="16">
        <f t="shared" si="22"/>
        <v>2.6231678109637135</v>
      </c>
      <c r="F106" s="16">
        <f t="shared" si="23"/>
        <v>2.5590979639690765</v>
      </c>
      <c r="H106" s="33">
        <f t="shared" si="21"/>
        <v>2.6233244482978599</v>
      </c>
      <c r="I106" s="35">
        <v>2.48785203454874</v>
      </c>
      <c r="K106" s="17">
        <f t="shared" si="6"/>
        <v>5.1584872248512568</v>
      </c>
      <c r="L106" s="17">
        <f t="shared" si="7"/>
        <v>-2.7840250910065407</v>
      </c>
      <c r="N106" s="17">
        <f t="shared" si="8"/>
        <v>-5.1641501620975987</v>
      </c>
    </row>
    <row r="107" spans="1:14" x14ac:dyDescent="0.2">
      <c r="A107" s="24" t="s">
        <v>47</v>
      </c>
      <c r="B107" s="19">
        <v>324.18783983129498</v>
      </c>
      <c r="C107" s="25">
        <v>0.84818585270059299</v>
      </c>
      <c r="E107" s="16">
        <f t="shared" si="22"/>
        <v>2.2635307609874564</v>
      </c>
      <c r="F107" s="16">
        <f t="shared" si="23"/>
        <v>2.196736676492232</v>
      </c>
      <c r="H107" s="33">
        <f t="shared" si="21"/>
        <v>2.2636937923650646</v>
      </c>
      <c r="I107" s="35">
        <v>2.1273495123822999</v>
      </c>
      <c r="K107" s="17">
        <f t="shared" ref="K107:K112" si="24">100-(I107/E107*100)</f>
        <v>6.0163197669886301</v>
      </c>
      <c r="L107" s="17">
        <f t="shared" ref="L107:L112" si="25">(I107/F107*100)-100</f>
        <v>-3.1586473177445242</v>
      </c>
      <c r="N107" s="17">
        <f t="shared" ref="N107:N112" si="26">(I107/H107*100)-100</f>
        <v>-6.0230884778950156</v>
      </c>
    </row>
    <row r="108" spans="1:14" x14ac:dyDescent="0.2">
      <c r="A108" s="24" t="s">
        <v>47</v>
      </c>
      <c r="B108" s="19">
        <v>334.32356195168097</v>
      </c>
      <c r="C108" s="25">
        <v>0.84389685595259201</v>
      </c>
      <c r="E108" s="16">
        <f t="shared" si="22"/>
        <v>2.3497826090933325</v>
      </c>
      <c r="F108" s="16">
        <f t="shared" si="23"/>
        <v>2.282777665796849</v>
      </c>
      <c r="H108" s="33">
        <f t="shared" si="21"/>
        <v>2.3499461998199882</v>
      </c>
      <c r="I108" s="35">
        <v>2.2147677745672798</v>
      </c>
      <c r="K108" s="17">
        <f t="shared" si="24"/>
        <v>5.7458436369204549</v>
      </c>
      <c r="L108" s="17">
        <f t="shared" si="25"/>
        <v>-2.9792604093061783</v>
      </c>
      <c r="N108" s="17">
        <f t="shared" si="26"/>
        <v>-5.7524051088090289</v>
      </c>
    </row>
    <row r="109" spans="1:14" x14ac:dyDescent="0.2">
      <c r="A109" s="24" t="s">
        <v>48</v>
      </c>
      <c r="B109" s="19">
        <v>51.741584986371102</v>
      </c>
      <c r="C109" s="25">
        <v>0.87265141507739097</v>
      </c>
      <c r="E109" s="16">
        <f t="shared" si="22"/>
        <v>0.25707058279027045</v>
      </c>
      <c r="F109" s="16">
        <f t="shared" si="23"/>
        <v>0.18880593838082221</v>
      </c>
      <c r="H109" s="33">
        <f t="shared" si="21"/>
        <v>0.2572360420064696</v>
      </c>
      <c r="I109" s="35">
        <v>0.100805047719439</v>
      </c>
      <c r="K109" s="17">
        <f t="shared" si="24"/>
        <v>60.787015524961788</v>
      </c>
      <c r="L109" s="17">
        <f t="shared" si="25"/>
        <v>-46.609175228315713</v>
      </c>
      <c r="N109" s="17">
        <f t="shared" si="26"/>
        <v>-60.812238077857025</v>
      </c>
    </row>
    <row r="110" spans="1:14" x14ac:dyDescent="0.2">
      <c r="A110" s="24" t="s">
        <v>48</v>
      </c>
      <c r="B110" s="19">
        <v>38.102943300632603</v>
      </c>
      <c r="C110" s="25">
        <v>0.87126180284720101</v>
      </c>
      <c r="E110" s="16">
        <f t="shared" si="22"/>
        <v>0.16005900479312296</v>
      </c>
      <c r="F110" s="16">
        <f t="shared" si="23"/>
        <v>9.1517855329713849E-2</v>
      </c>
      <c r="H110" s="33">
        <f t="shared" si="21"/>
        <v>0.16022507881390058</v>
      </c>
      <c r="I110" s="35">
        <v>2.65263508364252E-3</v>
      </c>
      <c r="K110" s="17">
        <f t="shared" si="24"/>
        <v>98.342714246492378</v>
      </c>
      <c r="L110" s="17">
        <f t="shared" si="25"/>
        <v>-97.101510875570895</v>
      </c>
      <c r="N110" s="17">
        <f t="shared" si="26"/>
        <v>-98.344432030691323</v>
      </c>
    </row>
    <row r="111" spans="1:14" x14ac:dyDescent="0.2">
      <c r="A111" s="24" t="s">
        <v>49</v>
      </c>
      <c r="B111" s="19">
        <v>25.969581664803901</v>
      </c>
      <c r="C111" s="25">
        <v>0.88636680296289205</v>
      </c>
      <c r="E111" s="16">
        <f t="shared" si="22"/>
        <v>7.2139045611482114E-2</v>
      </c>
      <c r="F111" s="16">
        <f t="shared" si="23"/>
        <v>4.6193538305776324E-3</v>
      </c>
      <c r="H111" s="33">
        <f t="shared" si="21"/>
        <v>7.2302596343120945E-2</v>
      </c>
      <c r="I111" s="35">
        <v>-8.7334938671666307E-2</v>
      </c>
      <c r="K111" s="17">
        <f t="shared" si="24"/>
        <v>221.06472705783276</v>
      </c>
      <c r="L111" s="17">
        <f t="shared" si="25"/>
        <v>-1990.6310682146948</v>
      </c>
      <c r="N111" s="17">
        <f t="shared" si="26"/>
        <v>-220.79087486320341</v>
      </c>
    </row>
    <row r="112" spans="1:14" x14ac:dyDescent="0.2">
      <c r="A112" s="24" t="s">
        <v>49</v>
      </c>
      <c r="B112" s="19">
        <v>13.808395126718599</v>
      </c>
      <c r="C112" s="25">
        <v>0.87850211178793902</v>
      </c>
      <c r="E112" s="16">
        <f t="shared" si="22"/>
        <v>-1.3367246336812261E-2</v>
      </c>
      <c r="F112" s="16">
        <f t="shared" si="23"/>
        <v>-8.1639636788868472E-2</v>
      </c>
      <c r="H112" s="33">
        <f t="shared" si="21"/>
        <v>-1.3201921120980462E-2</v>
      </c>
      <c r="I112" s="35">
        <v>-0.171918582475377</v>
      </c>
      <c r="K112" s="17">
        <f t="shared" si="24"/>
        <v>-1186.1181588456841</v>
      </c>
      <c r="L112" s="17">
        <f t="shared" si="25"/>
        <v>110.58224808126292</v>
      </c>
      <c r="N112" s="17">
        <f t="shared" si="26"/>
        <v>1202.2239786159939</v>
      </c>
    </row>
    <row r="113" spans="1:3" x14ac:dyDescent="0.2">
      <c r="C113" s="25"/>
    </row>
    <row r="114" spans="1:3" ht="32" x14ac:dyDescent="0.2">
      <c r="A114" s="24" t="s">
        <v>82</v>
      </c>
      <c r="B114" s="3">
        <v>50</v>
      </c>
    </row>
    <row r="116" spans="1:3" x14ac:dyDescent="0.2">
      <c r="A116" s="20" t="s">
        <v>83</v>
      </c>
      <c r="B116" s="21"/>
    </row>
  </sheetData>
  <mergeCells count="2">
    <mergeCell ref="E40:H40"/>
    <mergeCell ref="K40:N40"/>
  </mergeCells>
  <pageMargins left="0.7" right="0.7" top="0.75" bottom="0.75" header="0.3" footer="0.3"/>
  <pageSetup paperSize="9" orientation="portrait" horizontalDpi="0" verticalDpi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E0702-18C7-4445-A982-34483395DF87}">
  <dimension ref="A1:AF116"/>
  <sheetViews>
    <sheetView zoomScale="95" zoomScaleNormal="95" workbookViewId="0">
      <selection activeCell="G38" sqref="G38"/>
    </sheetView>
  </sheetViews>
  <sheetFormatPr baseColWidth="10" defaultRowHeight="16" x14ac:dyDescent="0.2"/>
  <cols>
    <col min="1" max="1" width="11" bestFit="1" customWidth="1"/>
    <col min="2" max="2" width="13.1640625" customWidth="1"/>
    <col min="3" max="5" width="11" bestFit="1" customWidth="1"/>
    <col min="7" max="7" width="14.5" customWidth="1"/>
    <col min="8" max="8" width="11" bestFit="1" customWidth="1"/>
    <col min="9" max="9" width="7.83203125" customWidth="1"/>
    <col min="10" max="10" width="14.1640625" customWidth="1"/>
    <col min="11" max="11" width="14.83203125" bestFit="1" customWidth="1"/>
    <col min="12" max="12" width="11.33203125" bestFit="1" customWidth="1"/>
    <col min="13" max="13" width="11.1640625" bestFit="1" customWidth="1"/>
    <col min="14" max="14" width="11" bestFit="1" customWidth="1"/>
    <col min="15" max="15" width="11.1640625" bestFit="1" customWidth="1"/>
    <col min="16" max="16" width="8.33203125" customWidth="1"/>
    <col min="17" max="17" width="7" customWidth="1"/>
    <col min="18" max="18" width="8.83203125" customWidth="1"/>
    <col min="19" max="19" width="8.6640625" customWidth="1"/>
    <col min="20" max="20" width="9" customWidth="1"/>
    <col min="21" max="23" width="11" bestFit="1" customWidth="1"/>
    <col min="24" max="24" width="9.6640625" customWidth="1"/>
  </cols>
  <sheetData>
    <row r="1" spans="1:26" s="135" customFormat="1" ht="30" x14ac:dyDescent="0.2">
      <c r="A1" s="119" t="s">
        <v>2</v>
      </c>
      <c r="B1" s="120" t="s">
        <v>3</v>
      </c>
      <c r="C1" s="120" t="s">
        <v>4</v>
      </c>
      <c r="D1" s="121" t="s">
        <v>84</v>
      </c>
      <c r="E1" s="120" t="s">
        <v>85</v>
      </c>
      <c r="F1" s="141" t="s">
        <v>50</v>
      </c>
      <c r="G1" s="141"/>
      <c r="H1" s="141" t="s">
        <v>57</v>
      </c>
      <c r="I1" s="141"/>
      <c r="J1" s="141"/>
      <c r="K1" s="141"/>
      <c r="L1" s="141"/>
      <c r="M1" s="141"/>
      <c r="N1" s="141"/>
      <c r="O1" s="141"/>
      <c r="P1" s="141"/>
      <c r="Q1" s="141"/>
      <c r="R1" s="141"/>
      <c r="S1" s="141"/>
      <c r="T1" s="141"/>
      <c r="U1" s="141"/>
      <c r="V1" s="141"/>
      <c r="W1" s="141"/>
      <c r="X1" s="141"/>
      <c r="Y1" s="141"/>
    </row>
    <row r="2" spans="1:26" s="135" customFormat="1" ht="14" x14ac:dyDescent="0.2">
      <c r="A2" s="109">
        <v>43838</v>
      </c>
      <c r="B2" s="110">
        <v>1</v>
      </c>
      <c r="C2" s="111">
        <v>0</v>
      </c>
      <c r="D2" s="111">
        <v>542</v>
      </c>
      <c r="E2" s="111">
        <f>D2-$D$2</f>
        <v>0</v>
      </c>
      <c r="F2" s="213" t="s">
        <v>51</v>
      </c>
      <c r="G2" s="213"/>
      <c r="H2" s="146"/>
      <c r="I2" s="146" t="s">
        <v>62</v>
      </c>
      <c r="J2" s="146" t="s">
        <v>63</v>
      </c>
      <c r="K2" s="146" t="s">
        <v>64</v>
      </c>
      <c r="L2" s="146" t="s">
        <v>65</v>
      </c>
      <c r="M2" s="146" t="s">
        <v>66</v>
      </c>
      <c r="N2" s="146"/>
      <c r="O2" s="146" t="s">
        <v>67</v>
      </c>
      <c r="P2" s="146" t="s">
        <v>270</v>
      </c>
      <c r="Q2" s="146" t="s">
        <v>271</v>
      </c>
      <c r="R2" s="146" t="s">
        <v>68</v>
      </c>
      <c r="S2" s="146" t="s">
        <v>69</v>
      </c>
      <c r="T2" s="146" t="s">
        <v>70</v>
      </c>
      <c r="U2" s="146" t="s">
        <v>71</v>
      </c>
      <c r="V2" s="146" t="s">
        <v>72</v>
      </c>
      <c r="W2" s="146" t="s">
        <v>73</v>
      </c>
      <c r="X2" s="178" t="s">
        <v>272</v>
      </c>
      <c r="Y2" s="178" t="s">
        <v>273</v>
      </c>
    </row>
    <row r="3" spans="1:26" s="135" customFormat="1" ht="14" x14ac:dyDescent="0.2">
      <c r="A3" s="109">
        <v>43838</v>
      </c>
      <c r="B3" s="110">
        <v>1</v>
      </c>
      <c r="C3" s="113">
        <v>1</v>
      </c>
      <c r="D3" s="111">
        <v>5778</v>
      </c>
      <c r="E3" s="111">
        <f t="shared" ref="E3:E7" si="0">D3-$D$2</f>
        <v>5236</v>
      </c>
      <c r="F3" s="133" t="s">
        <v>52</v>
      </c>
      <c r="G3" s="133">
        <v>0.9999825030871059</v>
      </c>
      <c r="H3" s="133" t="s">
        <v>58</v>
      </c>
      <c r="I3" s="133">
        <v>1</v>
      </c>
      <c r="J3" s="134">
        <v>7093544304.431344</v>
      </c>
      <c r="K3" s="134">
        <v>7093544304.431344</v>
      </c>
      <c r="L3" s="134">
        <v>85727.158907400066</v>
      </c>
      <c r="M3" s="134">
        <v>8.7856695061053443E-8</v>
      </c>
      <c r="N3" s="134" t="s">
        <v>61</v>
      </c>
      <c r="O3" s="134">
        <v>-358.72139303481526</v>
      </c>
      <c r="P3" s="134">
        <v>190.69385931122889</v>
      </c>
      <c r="Q3" s="134">
        <f>P3*SQRT(G7)</f>
        <v>426.40443231168905</v>
      </c>
      <c r="R3" s="134">
        <v>-1.8811376220004594</v>
      </c>
      <c r="S3" s="134">
        <v>0.15651892912140564</v>
      </c>
      <c r="T3" s="134">
        <v>-965.59436104012707</v>
      </c>
      <c r="U3" s="134">
        <v>248.15157497049654</v>
      </c>
      <c r="V3" s="134">
        <v>-965.59436104012707</v>
      </c>
      <c r="W3" s="134">
        <v>248.15157497049654</v>
      </c>
      <c r="X3" s="162">
        <f>3.3*Q3/O4</f>
        <v>0.25947329040706013</v>
      </c>
      <c r="Y3" s="162">
        <f>10*Q3/O4</f>
        <v>0.7862826982032125</v>
      </c>
    </row>
    <row r="4" spans="1:26" s="135" customFormat="1" ht="14" x14ac:dyDescent="0.2">
      <c r="A4" s="109">
        <v>43838</v>
      </c>
      <c r="B4" s="110">
        <v>1</v>
      </c>
      <c r="C4" s="113">
        <v>2</v>
      </c>
      <c r="D4" s="111">
        <v>11162</v>
      </c>
      <c r="E4" s="111">
        <f t="shared" si="0"/>
        <v>10620</v>
      </c>
      <c r="F4" s="133" t="s">
        <v>53</v>
      </c>
      <c r="G4" s="133">
        <v>0.9999650064803538</v>
      </c>
      <c r="H4" s="133" t="s">
        <v>59</v>
      </c>
      <c r="I4" s="133">
        <v>3</v>
      </c>
      <c r="J4" s="134">
        <v>248236.76865671872</v>
      </c>
      <c r="K4" s="134">
        <v>82745.589552239573</v>
      </c>
      <c r="L4" s="134"/>
      <c r="M4" s="134"/>
      <c r="N4" s="134" t="s">
        <v>74</v>
      </c>
      <c r="O4" s="134">
        <v>5423.0422885572134</v>
      </c>
      <c r="P4" s="134">
        <v>18.521824958734179</v>
      </c>
      <c r="Q4" s="134"/>
      <c r="R4" s="134">
        <v>292.79200622182293</v>
      </c>
      <c r="S4" s="134">
        <v>8.7856695061053443E-8</v>
      </c>
      <c r="T4" s="134">
        <v>5364.0975751501783</v>
      </c>
      <c r="U4" s="134">
        <v>5481.9870019642485</v>
      </c>
      <c r="V4" s="134">
        <v>5364.0975751501783</v>
      </c>
      <c r="W4" s="134">
        <v>5481.9870019642485</v>
      </c>
      <c r="X4" s="137"/>
      <c r="Y4" s="137"/>
      <c r="Z4" s="137"/>
    </row>
    <row r="5" spans="1:26" s="135" customFormat="1" ht="14" x14ac:dyDescent="0.2">
      <c r="A5" s="109">
        <v>43838</v>
      </c>
      <c r="B5" s="110">
        <v>1</v>
      </c>
      <c r="C5" s="113">
        <v>5</v>
      </c>
      <c r="D5" s="111">
        <v>27177</v>
      </c>
      <c r="E5" s="111">
        <f t="shared" si="0"/>
        <v>26635</v>
      </c>
      <c r="F5" s="133" t="s">
        <v>54</v>
      </c>
      <c r="G5" s="133">
        <v>0.99995334197380503</v>
      </c>
      <c r="H5" s="133" t="s">
        <v>60</v>
      </c>
      <c r="I5" s="133">
        <v>4</v>
      </c>
      <c r="J5" s="134">
        <v>7093792541.2000008</v>
      </c>
      <c r="K5" s="134"/>
      <c r="L5" s="134"/>
      <c r="M5" s="134"/>
      <c r="N5" s="138"/>
      <c r="O5" s="138"/>
      <c r="P5" s="138"/>
      <c r="Q5" s="138"/>
      <c r="R5" s="138"/>
      <c r="S5" s="138"/>
      <c r="T5" s="138"/>
      <c r="U5" s="138"/>
      <c r="V5" s="138"/>
      <c r="W5" s="138"/>
      <c r="X5" s="137"/>
      <c r="Y5" s="137"/>
      <c r="Z5" s="137"/>
    </row>
    <row r="6" spans="1:26" s="135" customFormat="1" ht="14" x14ac:dyDescent="0.2">
      <c r="A6" s="109">
        <v>43838</v>
      </c>
      <c r="B6" s="110">
        <v>1</v>
      </c>
      <c r="C6" s="114">
        <v>10</v>
      </c>
      <c r="D6" s="111">
        <v>54031</v>
      </c>
      <c r="E6" s="111">
        <f t="shared" si="0"/>
        <v>53489</v>
      </c>
      <c r="F6" s="133" t="s">
        <v>55</v>
      </c>
      <c r="G6" s="133">
        <v>287.6553311729848</v>
      </c>
      <c r="H6" s="137"/>
      <c r="I6" s="137"/>
      <c r="J6" s="138"/>
      <c r="K6" s="138"/>
      <c r="L6" s="138"/>
      <c r="M6" s="138"/>
      <c r="N6" s="138"/>
      <c r="O6" s="138"/>
      <c r="P6" s="138"/>
      <c r="Q6" s="138"/>
      <c r="R6" s="138"/>
      <c r="S6" s="138"/>
      <c r="T6" s="138"/>
      <c r="U6" s="138"/>
      <c r="V6" s="138"/>
      <c r="W6" s="138"/>
      <c r="X6" s="137"/>
      <c r="Y6" s="137"/>
      <c r="Z6" s="137"/>
    </row>
    <row r="7" spans="1:26" s="135" customFormat="1" ht="14" x14ac:dyDescent="0.2">
      <c r="A7" s="123">
        <v>43838</v>
      </c>
      <c r="B7" s="124">
        <v>1</v>
      </c>
      <c r="C7" s="125">
        <v>20</v>
      </c>
      <c r="D7" s="129">
        <v>108844</v>
      </c>
      <c r="E7" s="129">
        <f t="shared" si="0"/>
        <v>108302</v>
      </c>
      <c r="F7" s="148" t="s">
        <v>56</v>
      </c>
      <c r="G7" s="148">
        <v>5</v>
      </c>
      <c r="H7" s="141"/>
      <c r="I7" s="141"/>
      <c r="J7" s="142"/>
      <c r="K7" s="142"/>
      <c r="L7" s="142"/>
      <c r="M7" s="142"/>
      <c r="N7" s="142"/>
      <c r="O7" s="142"/>
      <c r="P7" s="142"/>
      <c r="Q7" s="142"/>
      <c r="R7" s="142"/>
      <c r="S7" s="142"/>
      <c r="T7" s="142"/>
      <c r="U7" s="142"/>
      <c r="V7" s="142"/>
      <c r="W7" s="142"/>
      <c r="X7" s="141"/>
      <c r="Y7" s="141"/>
    </row>
    <row r="8" spans="1:26" s="135" customFormat="1" ht="14" x14ac:dyDescent="0.2">
      <c r="A8" s="109">
        <v>43838</v>
      </c>
      <c r="B8" s="110">
        <v>2</v>
      </c>
      <c r="C8" s="111">
        <v>0</v>
      </c>
      <c r="D8" s="111">
        <v>714</v>
      </c>
      <c r="E8" s="226">
        <f>D8-$D$8</f>
        <v>0</v>
      </c>
      <c r="F8" s="213" t="s">
        <v>51</v>
      </c>
      <c r="G8" s="213"/>
      <c r="H8" s="146"/>
      <c r="I8" s="146" t="s">
        <v>62</v>
      </c>
      <c r="J8" s="215" t="s">
        <v>63</v>
      </c>
      <c r="K8" s="215" t="s">
        <v>64</v>
      </c>
      <c r="L8" s="215" t="s">
        <v>65</v>
      </c>
      <c r="M8" s="215" t="s">
        <v>66</v>
      </c>
      <c r="N8" s="215"/>
      <c r="O8" s="215" t="s">
        <v>67</v>
      </c>
      <c r="P8" s="215" t="s">
        <v>270</v>
      </c>
      <c r="Q8" s="215" t="s">
        <v>271</v>
      </c>
      <c r="R8" s="215" t="s">
        <v>68</v>
      </c>
      <c r="S8" s="215" t="s">
        <v>69</v>
      </c>
      <c r="T8" s="215" t="s">
        <v>70</v>
      </c>
      <c r="U8" s="215" t="s">
        <v>71</v>
      </c>
      <c r="V8" s="215" t="s">
        <v>72</v>
      </c>
      <c r="W8" s="215" t="s">
        <v>73</v>
      </c>
    </row>
    <row r="9" spans="1:26" s="135" customFormat="1" ht="14" x14ac:dyDescent="0.2">
      <c r="A9" s="109">
        <v>43838</v>
      </c>
      <c r="B9" s="110">
        <v>2</v>
      </c>
      <c r="C9" s="113">
        <v>1</v>
      </c>
      <c r="D9" s="111">
        <v>5265</v>
      </c>
      <c r="E9" s="226">
        <f t="shared" ref="E9:E13" si="1">D9-$D$8</f>
        <v>4551</v>
      </c>
      <c r="F9" s="133" t="s">
        <v>52</v>
      </c>
      <c r="G9" s="133">
        <v>0.99995315605579871</v>
      </c>
      <c r="H9" s="133" t="s">
        <v>58</v>
      </c>
      <c r="I9" s="133">
        <v>1</v>
      </c>
      <c r="J9" s="134">
        <v>5597999555.5880594</v>
      </c>
      <c r="K9" s="134">
        <v>5597999555.5880594</v>
      </c>
      <c r="L9" s="134">
        <v>32018.964831466928</v>
      </c>
      <c r="M9" s="134">
        <v>3.8486727797644852E-7</v>
      </c>
      <c r="N9" s="134" t="s">
        <v>61</v>
      </c>
      <c r="O9" s="134">
        <v>-361.91044776119088</v>
      </c>
      <c r="P9" s="134">
        <v>277.18968642014823</v>
      </c>
      <c r="Q9" s="134">
        <f>P9*SQRT(G13)</f>
        <v>619.8149814973018</v>
      </c>
      <c r="R9" s="134">
        <v>-1.3056418239624823</v>
      </c>
      <c r="S9" s="134">
        <v>0.28277586975631003</v>
      </c>
      <c r="T9" s="134">
        <v>-1244.0517411717415</v>
      </c>
      <c r="U9" s="134">
        <v>520.23084564935982</v>
      </c>
      <c r="V9" s="134">
        <v>-1244.0517411717415</v>
      </c>
      <c r="W9" s="134">
        <v>520.23084564935982</v>
      </c>
      <c r="X9" s="162">
        <f>3.3*Q9/O10</f>
        <v>0.42456895134738049</v>
      </c>
      <c r="Y9" s="162">
        <f>10*Q9/O10</f>
        <v>1.286572579840547</v>
      </c>
    </row>
    <row r="10" spans="1:26" s="135" customFormat="1" ht="14" x14ac:dyDescent="0.2">
      <c r="A10" s="109">
        <v>43838</v>
      </c>
      <c r="B10" s="110">
        <v>2</v>
      </c>
      <c r="C10" s="113">
        <v>2</v>
      </c>
      <c r="D10" s="111">
        <v>10120</v>
      </c>
      <c r="E10" s="226">
        <f t="shared" si="1"/>
        <v>9406</v>
      </c>
      <c r="F10" s="133" t="s">
        <v>53</v>
      </c>
      <c r="G10" s="133">
        <v>0.99990631430595256</v>
      </c>
      <c r="H10" s="133" t="s">
        <v>59</v>
      </c>
      <c r="I10" s="133">
        <v>3</v>
      </c>
      <c r="J10" s="134">
        <v>524501.61194029998</v>
      </c>
      <c r="K10" s="134">
        <v>174833.87064676665</v>
      </c>
      <c r="L10" s="134"/>
      <c r="M10" s="134"/>
      <c r="N10" s="134" t="s">
        <v>74</v>
      </c>
      <c r="O10" s="134">
        <v>4817.5671641791041</v>
      </c>
      <c r="P10" s="134">
        <v>26.923042361113335</v>
      </c>
      <c r="Q10" s="134"/>
      <c r="R10" s="134">
        <v>178.93843866387934</v>
      </c>
      <c r="S10" s="134">
        <v>3.8486727797644852E-7</v>
      </c>
      <c r="T10" s="134">
        <v>4731.8860274899826</v>
      </c>
      <c r="U10" s="134">
        <v>4903.2483008682257</v>
      </c>
      <c r="V10" s="134">
        <v>4731.8860274899826</v>
      </c>
      <c r="W10" s="134">
        <v>4903.2483008682257</v>
      </c>
      <c r="X10" s="137"/>
      <c r="Y10" s="137"/>
    </row>
    <row r="11" spans="1:26" s="135" customFormat="1" ht="14" x14ac:dyDescent="0.2">
      <c r="A11" s="109">
        <v>43838</v>
      </c>
      <c r="B11" s="110">
        <v>2</v>
      </c>
      <c r="C11" s="113">
        <v>5</v>
      </c>
      <c r="D11" s="150">
        <v>24585</v>
      </c>
      <c r="E11" s="226">
        <f t="shared" si="1"/>
        <v>23871</v>
      </c>
      <c r="F11" s="133" t="s">
        <v>54</v>
      </c>
      <c r="G11" s="133">
        <v>0.99987508574127004</v>
      </c>
      <c r="H11" s="133" t="s">
        <v>60</v>
      </c>
      <c r="I11" s="133">
        <v>4</v>
      </c>
      <c r="J11" s="134">
        <v>5598524057.1999998</v>
      </c>
      <c r="K11" s="134"/>
      <c r="L11" s="134"/>
      <c r="M11" s="134"/>
      <c r="N11" s="138"/>
      <c r="O11" s="138"/>
      <c r="P11" s="138"/>
      <c r="Q11" s="138"/>
      <c r="R11" s="138"/>
      <c r="S11" s="138"/>
      <c r="T11" s="138"/>
      <c r="U11" s="138"/>
      <c r="V11" s="138"/>
      <c r="W11" s="138"/>
      <c r="X11" s="137"/>
      <c r="Y11" s="137"/>
    </row>
    <row r="12" spans="1:26" s="135" customFormat="1" ht="14" x14ac:dyDescent="0.2">
      <c r="A12" s="109">
        <v>43838</v>
      </c>
      <c r="B12" s="110">
        <v>2</v>
      </c>
      <c r="C12" s="114">
        <v>10</v>
      </c>
      <c r="D12" s="150">
        <v>47890</v>
      </c>
      <c r="E12" s="226">
        <f t="shared" si="1"/>
        <v>47176</v>
      </c>
      <c r="F12" s="133" t="s">
        <v>55</v>
      </c>
      <c r="G12" s="133">
        <v>418.13140356443768</v>
      </c>
      <c r="H12" s="137"/>
      <c r="I12" s="137"/>
      <c r="J12" s="138"/>
      <c r="K12" s="138"/>
      <c r="L12" s="138"/>
      <c r="M12" s="138"/>
      <c r="N12" s="138"/>
      <c r="O12" s="138"/>
      <c r="P12" s="138"/>
      <c r="Q12" s="138"/>
      <c r="R12" s="138"/>
      <c r="S12" s="138"/>
      <c r="T12" s="138"/>
      <c r="U12" s="138"/>
      <c r="V12" s="138"/>
      <c r="W12" s="138"/>
      <c r="X12" s="137"/>
      <c r="Y12" s="137"/>
    </row>
    <row r="13" spans="1:26" s="135" customFormat="1" ht="14" x14ac:dyDescent="0.2">
      <c r="A13" s="123">
        <v>43838</v>
      </c>
      <c r="B13" s="124">
        <v>2</v>
      </c>
      <c r="C13" s="125">
        <v>20</v>
      </c>
      <c r="D13" s="152">
        <v>96968</v>
      </c>
      <c r="E13" s="227">
        <f t="shared" si="1"/>
        <v>96254</v>
      </c>
      <c r="F13" s="148" t="s">
        <v>56</v>
      </c>
      <c r="G13" s="148">
        <v>5</v>
      </c>
      <c r="H13" s="141"/>
      <c r="I13" s="141"/>
      <c r="J13" s="142"/>
      <c r="K13" s="142"/>
      <c r="L13" s="142"/>
      <c r="M13" s="142"/>
      <c r="N13" s="142"/>
      <c r="O13" s="142"/>
      <c r="P13" s="142"/>
      <c r="Q13" s="142"/>
      <c r="R13" s="142"/>
      <c r="S13" s="142"/>
      <c r="T13" s="142"/>
      <c r="U13" s="142"/>
      <c r="V13" s="142"/>
      <c r="W13" s="142"/>
      <c r="X13" s="141"/>
      <c r="Y13" s="141"/>
    </row>
    <row r="14" spans="1:26" s="135" customFormat="1" ht="14" x14ac:dyDescent="0.2">
      <c r="A14" s="109">
        <v>43838</v>
      </c>
      <c r="B14" s="110">
        <v>3</v>
      </c>
      <c r="C14" s="111">
        <v>0</v>
      </c>
      <c r="D14" s="112">
        <v>679</v>
      </c>
      <c r="E14" s="116">
        <f t="shared" ref="E14:E19" si="2">D14-$D$14</f>
        <v>0</v>
      </c>
      <c r="F14" s="213" t="s">
        <v>51</v>
      </c>
      <c r="G14" s="213"/>
      <c r="H14" s="146"/>
      <c r="I14" s="146" t="s">
        <v>62</v>
      </c>
      <c r="J14" s="215" t="s">
        <v>63</v>
      </c>
      <c r="K14" s="215" t="s">
        <v>64</v>
      </c>
      <c r="L14" s="215" t="s">
        <v>65</v>
      </c>
      <c r="M14" s="215" t="s">
        <v>66</v>
      </c>
      <c r="N14" s="215"/>
      <c r="O14" s="215" t="s">
        <v>67</v>
      </c>
      <c r="P14" s="215" t="s">
        <v>270</v>
      </c>
      <c r="Q14" s="215" t="s">
        <v>271</v>
      </c>
      <c r="R14" s="215" t="s">
        <v>68</v>
      </c>
      <c r="S14" s="215" t="s">
        <v>69</v>
      </c>
      <c r="T14" s="215" t="s">
        <v>70</v>
      </c>
      <c r="U14" s="215" t="s">
        <v>71</v>
      </c>
      <c r="V14" s="215" t="s">
        <v>72</v>
      </c>
      <c r="W14" s="215" t="s">
        <v>73</v>
      </c>
    </row>
    <row r="15" spans="1:26" s="135" customFormat="1" ht="14" x14ac:dyDescent="0.2">
      <c r="A15" s="109">
        <v>43838</v>
      </c>
      <c r="B15" s="110">
        <v>3</v>
      </c>
      <c r="C15" s="113">
        <v>1</v>
      </c>
      <c r="D15" s="116">
        <v>5019</v>
      </c>
      <c r="E15" s="116">
        <f t="shared" si="2"/>
        <v>4340</v>
      </c>
      <c r="F15" s="133" t="s">
        <v>52</v>
      </c>
      <c r="G15" s="133">
        <v>0.99997485996688262</v>
      </c>
      <c r="H15" s="133" t="s">
        <v>58</v>
      </c>
      <c r="I15" s="133">
        <v>1</v>
      </c>
      <c r="J15" s="134">
        <v>4920183866.6999998</v>
      </c>
      <c r="K15" s="134">
        <v>4920183866.6999998</v>
      </c>
      <c r="L15" s="134">
        <v>59663.542532331587</v>
      </c>
      <c r="M15" s="134">
        <v>1.5131465356172463E-7</v>
      </c>
      <c r="N15" s="134" t="s">
        <v>61</v>
      </c>
      <c r="O15" s="134">
        <v>-106.00000000000728</v>
      </c>
      <c r="P15" s="134">
        <v>190.37084129122931</v>
      </c>
      <c r="Q15" s="134">
        <f>P15*SQRT(G19)</f>
        <v>425.6821420610126</v>
      </c>
      <c r="R15" s="134">
        <v>-0.55680796114068998</v>
      </c>
      <c r="S15" s="134">
        <v>0.61649953289931059</v>
      </c>
      <c r="T15" s="134">
        <v>-711.84498050103139</v>
      </c>
      <c r="U15" s="134">
        <v>499.84498050101683</v>
      </c>
      <c r="V15" s="134">
        <v>-711.84498050103139</v>
      </c>
      <c r="W15" s="134">
        <v>499.84498050101683</v>
      </c>
      <c r="X15" s="162">
        <f>3.3*Q15/O16</f>
        <v>0.31102647377423687</v>
      </c>
      <c r="Y15" s="162">
        <f>10*Q15/O16</f>
        <v>0.94250446598253601</v>
      </c>
    </row>
    <row r="16" spans="1:26" s="135" customFormat="1" ht="14" x14ac:dyDescent="0.2">
      <c r="A16" s="109">
        <v>43838</v>
      </c>
      <c r="B16" s="110">
        <v>3</v>
      </c>
      <c r="C16" s="113">
        <v>2</v>
      </c>
      <c r="D16" s="116">
        <v>9565</v>
      </c>
      <c r="E16" s="116">
        <f t="shared" si="2"/>
        <v>8886</v>
      </c>
      <c r="F16" s="133" t="s">
        <v>53</v>
      </c>
      <c r="G16" s="133">
        <v>0.99994972056578657</v>
      </c>
      <c r="H16" s="133" t="s">
        <v>59</v>
      </c>
      <c r="I16" s="133">
        <v>3</v>
      </c>
      <c r="J16" s="134">
        <v>247396.50000000047</v>
      </c>
      <c r="K16" s="134">
        <v>82465.50000000016</v>
      </c>
      <c r="L16" s="134"/>
      <c r="M16" s="134"/>
      <c r="N16" s="134" t="s">
        <v>74</v>
      </c>
      <c r="O16" s="134">
        <v>4516.5000000000018</v>
      </c>
      <c r="P16" s="134">
        <v>18.490450675122954</v>
      </c>
      <c r="Q16" s="134"/>
      <c r="R16" s="134">
        <v>244.26121782291111</v>
      </c>
      <c r="S16" s="134">
        <v>1.5131465356172463E-7</v>
      </c>
      <c r="T16" s="134">
        <v>4457.655133565926</v>
      </c>
      <c r="U16" s="134">
        <v>4575.3448664340776</v>
      </c>
      <c r="V16" s="134">
        <v>4457.655133565926</v>
      </c>
      <c r="W16" s="134">
        <v>4575.3448664340776</v>
      </c>
    </row>
    <row r="17" spans="1:31" s="135" customFormat="1" ht="14" x14ac:dyDescent="0.2">
      <c r="A17" s="109">
        <v>43838</v>
      </c>
      <c r="B17" s="110">
        <v>3</v>
      </c>
      <c r="C17" s="113">
        <v>5</v>
      </c>
      <c r="D17" s="116">
        <v>23512</v>
      </c>
      <c r="E17" s="116">
        <f t="shared" si="2"/>
        <v>22833</v>
      </c>
      <c r="F17" s="133" t="s">
        <v>54</v>
      </c>
      <c r="G17" s="133">
        <v>0.99993296075438209</v>
      </c>
      <c r="H17" s="133" t="s">
        <v>60</v>
      </c>
      <c r="I17" s="133">
        <v>4</v>
      </c>
      <c r="J17" s="134">
        <v>4920431263.1999998</v>
      </c>
      <c r="K17" s="134"/>
      <c r="L17" s="134"/>
      <c r="M17" s="134"/>
      <c r="N17" s="138"/>
      <c r="O17" s="138"/>
      <c r="P17" s="138"/>
      <c r="Q17" s="138"/>
      <c r="R17" s="138"/>
      <c r="S17" s="138"/>
      <c r="T17" s="138"/>
      <c r="U17" s="138"/>
      <c r="V17" s="138"/>
      <c r="W17" s="138"/>
    </row>
    <row r="18" spans="1:31" s="135" customFormat="1" ht="14" x14ac:dyDescent="0.2">
      <c r="A18" s="109">
        <v>43838</v>
      </c>
      <c r="B18" s="110">
        <v>3</v>
      </c>
      <c r="C18" s="114">
        <v>10</v>
      </c>
      <c r="D18" s="116">
        <v>45411</v>
      </c>
      <c r="E18" s="116">
        <f t="shared" si="2"/>
        <v>44732</v>
      </c>
      <c r="F18" s="133" t="s">
        <v>55</v>
      </c>
      <c r="G18" s="133">
        <v>287.16806925561929</v>
      </c>
      <c r="H18" s="137"/>
      <c r="I18" s="144"/>
      <c r="J18" s="219"/>
      <c r="K18" s="219"/>
      <c r="L18" s="138"/>
      <c r="M18" s="138"/>
      <c r="N18" s="138"/>
      <c r="O18" s="138"/>
      <c r="P18" s="138"/>
      <c r="Q18" s="138"/>
      <c r="R18" s="138"/>
      <c r="S18" s="138"/>
      <c r="T18" s="138"/>
      <c r="U18" s="138"/>
      <c r="V18" s="138"/>
      <c r="W18" s="138"/>
      <c r="Z18" s="137"/>
      <c r="AA18" s="137"/>
      <c r="AB18" s="137"/>
      <c r="AC18" s="144"/>
      <c r="AD18" s="220"/>
      <c r="AE18" s="136"/>
    </row>
    <row r="19" spans="1:31" s="135" customFormat="1" ht="14" x14ac:dyDescent="0.2">
      <c r="A19" s="123">
        <v>43838</v>
      </c>
      <c r="B19" s="124">
        <v>3</v>
      </c>
      <c r="C19" s="125">
        <v>20</v>
      </c>
      <c r="D19" s="170">
        <v>90985</v>
      </c>
      <c r="E19" s="126">
        <f t="shared" si="2"/>
        <v>90306</v>
      </c>
      <c r="F19" s="148" t="s">
        <v>56</v>
      </c>
      <c r="G19" s="148">
        <v>5</v>
      </c>
      <c r="H19" s="141"/>
      <c r="I19" s="143"/>
      <c r="J19" s="222"/>
      <c r="K19" s="222"/>
      <c r="L19" s="142"/>
      <c r="M19" s="142"/>
      <c r="N19" s="142"/>
      <c r="O19" s="142"/>
      <c r="P19" s="142"/>
      <c r="Q19" s="142"/>
      <c r="R19" s="142"/>
      <c r="S19" s="142"/>
      <c r="T19" s="142"/>
      <c r="U19" s="142"/>
      <c r="V19" s="142"/>
      <c r="W19" s="142"/>
      <c r="X19" s="141"/>
      <c r="Y19" s="141"/>
      <c r="Z19" s="137"/>
      <c r="AA19" s="137"/>
      <c r="AB19" s="137"/>
      <c r="AC19" s="144"/>
      <c r="AD19" s="220"/>
      <c r="AE19" s="136"/>
    </row>
    <row r="20" spans="1:31" s="135" customFormat="1" ht="14" x14ac:dyDescent="0.2">
      <c r="A20" s="109">
        <v>43789</v>
      </c>
      <c r="B20" s="110">
        <v>1</v>
      </c>
      <c r="C20" s="111">
        <v>0</v>
      </c>
      <c r="D20" s="176">
        <v>234.751930204632</v>
      </c>
      <c r="E20" s="116">
        <f>D20-$D$20</f>
        <v>0</v>
      </c>
      <c r="F20" s="213" t="s">
        <v>51</v>
      </c>
      <c r="G20" s="213"/>
      <c r="H20" s="146"/>
      <c r="I20" s="146" t="s">
        <v>62</v>
      </c>
      <c r="J20" s="215" t="s">
        <v>63</v>
      </c>
      <c r="K20" s="215" t="s">
        <v>64</v>
      </c>
      <c r="L20" s="215" t="s">
        <v>65</v>
      </c>
      <c r="M20" s="215" t="s">
        <v>66</v>
      </c>
      <c r="N20" s="215"/>
      <c r="O20" s="215" t="s">
        <v>67</v>
      </c>
      <c r="P20" s="215" t="s">
        <v>270</v>
      </c>
      <c r="Q20" s="215" t="s">
        <v>271</v>
      </c>
      <c r="R20" s="215" t="s">
        <v>68</v>
      </c>
      <c r="S20" s="215" t="s">
        <v>69</v>
      </c>
      <c r="T20" s="215" t="s">
        <v>70</v>
      </c>
      <c r="U20" s="215" t="s">
        <v>71</v>
      </c>
      <c r="V20" s="215" t="s">
        <v>72</v>
      </c>
      <c r="W20" s="215" t="s">
        <v>73</v>
      </c>
      <c r="Z20" s="137"/>
      <c r="AA20" s="137"/>
      <c r="AB20" s="137"/>
      <c r="AC20" s="137"/>
      <c r="AD20" s="137"/>
    </row>
    <row r="21" spans="1:31" s="135" customFormat="1" ht="14" x14ac:dyDescent="0.2">
      <c r="A21" s="109">
        <v>43789</v>
      </c>
      <c r="B21" s="110">
        <v>1</v>
      </c>
      <c r="C21" s="113">
        <v>1</v>
      </c>
      <c r="D21" s="176">
        <v>8852.7423363522394</v>
      </c>
      <c r="E21" s="116">
        <f t="shared" ref="E21:E25" si="3">D21-$D$20</f>
        <v>8617.9904061476082</v>
      </c>
      <c r="F21" s="133" t="s">
        <v>52</v>
      </c>
      <c r="G21" s="133">
        <v>0.99889907613698725</v>
      </c>
      <c r="H21" s="133" t="s">
        <v>58</v>
      </c>
      <c r="I21" s="133">
        <v>1</v>
      </c>
      <c r="J21" s="134">
        <v>3612534127.155683</v>
      </c>
      <c r="K21" s="134">
        <v>3612534127.155683</v>
      </c>
      <c r="L21" s="134">
        <v>1360.2424530730866</v>
      </c>
      <c r="M21" s="134">
        <v>4.3842776913414744E-5</v>
      </c>
      <c r="N21" s="134" t="s">
        <v>61</v>
      </c>
      <c r="O21" s="134">
        <v>2609.5954716414381</v>
      </c>
      <c r="P21" s="134">
        <v>1080.3440829500373</v>
      </c>
      <c r="Q21" s="134">
        <f>P21*SQRT(G25)</f>
        <v>2415.7228085659549</v>
      </c>
      <c r="R21" s="134">
        <v>2.4155225291886233</v>
      </c>
      <c r="S21" s="134">
        <v>9.454751526519295E-2</v>
      </c>
      <c r="T21" s="134">
        <v>-828.54156357802503</v>
      </c>
      <c r="U21" s="134">
        <v>6047.7325068609007</v>
      </c>
      <c r="V21" s="134">
        <v>-828.54156357802503</v>
      </c>
      <c r="W21" s="134">
        <v>6047.7325068609007</v>
      </c>
      <c r="X21" s="162">
        <f>3.3*Q21/O22</f>
        <v>2.0598884959682091</v>
      </c>
      <c r="Y21" s="162">
        <f>10*Q21/O22</f>
        <v>6.2420863514188154</v>
      </c>
      <c r="Z21" s="145"/>
      <c r="AA21" s="145"/>
      <c r="AB21" s="145"/>
      <c r="AC21" s="137"/>
      <c r="AD21" s="137"/>
    </row>
    <row r="22" spans="1:31" s="135" customFormat="1" ht="14" x14ac:dyDescent="0.2">
      <c r="A22" s="109">
        <v>43789</v>
      </c>
      <c r="B22" s="110">
        <v>1</v>
      </c>
      <c r="C22" s="113">
        <v>2</v>
      </c>
      <c r="D22" s="176">
        <v>8852.7423363522394</v>
      </c>
      <c r="E22" s="116">
        <f t="shared" si="3"/>
        <v>8617.9904061476082</v>
      </c>
      <c r="F22" s="133" t="s">
        <v>53</v>
      </c>
      <c r="G22" s="133">
        <v>0.99779936430732674</v>
      </c>
      <c r="H22" s="133" t="s">
        <v>59</v>
      </c>
      <c r="I22" s="133">
        <v>3</v>
      </c>
      <c r="J22" s="134">
        <v>7967404.8968127146</v>
      </c>
      <c r="K22" s="134">
        <v>2655801.6322709047</v>
      </c>
      <c r="L22" s="134"/>
      <c r="M22" s="134"/>
      <c r="N22" s="134" t="s">
        <v>74</v>
      </c>
      <c r="O22" s="134">
        <v>3870.0566966954329</v>
      </c>
      <c r="P22" s="134">
        <v>104.93229342506949</v>
      </c>
      <c r="Q22" s="134"/>
      <c r="R22" s="134">
        <v>36.881464898687078</v>
      </c>
      <c r="S22" s="134">
        <v>4.3842776913414744E-5</v>
      </c>
      <c r="T22" s="134">
        <v>3536.1153071798744</v>
      </c>
      <c r="U22" s="134">
        <v>4203.9980862109915</v>
      </c>
      <c r="V22" s="134">
        <v>3536.1153071798744</v>
      </c>
      <c r="W22" s="134">
        <v>4203.9980862109915</v>
      </c>
      <c r="Z22" s="133"/>
      <c r="AA22" s="133"/>
      <c r="AB22" s="133"/>
      <c r="AC22" s="137"/>
      <c r="AD22" s="137"/>
    </row>
    <row r="23" spans="1:31" s="135" customFormat="1" ht="14" x14ac:dyDescent="0.2">
      <c r="A23" s="109">
        <v>43789</v>
      </c>
      <c r="B23" s="110">
        <v>1</v>
      </c>
      <c r="C23" s="113">
        <v>5</v>
      </c>
      <c r="D23" s="176">
        <v>21627.365218285999</v>
      </c>
      <c r="E23" s="116">
        <f t="shared" si="3"/>
        <v>21392.613288081368</v>
      </c>
      <c r="F23" s="133" t="s">
        <v>54</v>
      </c>
      <c r="G23" s="133">
        <v>0.99706581907643566</v>
      </c>
      <c r="H23" s="133" t="s">
        <v>60</v>
      </c>
      <c r="I23" s="133">
        <v>4</v>
      </c>
      <c r="J23" s="134">
        <v>3620501532.052496</v>
      </c>
      <c r="K23" s="134"/>
      <c r="L23" s="134"/>
      <c r="M23" s="134"/>
      <c r="N23" s="138"/>
      <c r="O23" s="138"/>
      <c r="P23" s="138"/>
      <c r="Q23" s="138"/>
      <c r="R23" s="138"/>
      <c r="S23" s="138"/>
      <c r="T23" s="138"/>
      <c r="U23" s="138"/>
      <c r="V23" s="138"/>
      <c r="W23" s="138"/>
      <c r="Z23" s="133"/>
      <c r="AA23" s="133"/>
      <c r="AB23" s="133"/>
      <c r="AC23" s="137"/>
      <c r="AD23" s="137"/>
    </row>
    <row r="24" spans="1:31" s="135" customFormat="1" ht="14" x14ac:dyDescent="0.2">
      <c r="A24" s="109">
        <v>43789</v>
      </c>
      <c r="B24" s="110">
        <v>1</v>
      </c>
      <c r="C24" s="114">
        <v>10</v>
      </c>
      <c r="D24" s="176">
        <v>41450.063443508297</v>
      </c>
      <c r="E24" s="116">
        <f t="shared" si="3"/>
        <v>41215.311513303663</v>
      </c>
      <c r="F24" s="133" t="s">
        <v>55</v>
      </c>
      <c r="G24" s="133">
        <v>1629.6630425553942</v>
      </c>
      <c r="H24" s="133"/>
      <c r="I24" s="133"/>
      <c r="J24" s="138"/>
      <c r="K24" s="138"/>
      <c r="L24" s="138"/>
      <c r="M24" s="138"/>
      <c r="N24" s="138"/>
      <c r="O24" s="138"/>
      <c r="P24" s="138"/>
      <c r="Q24" s="138"/>
      <c r="R24" s="138"/>
      <c r="S24" s="138"/>
      <c r="T24" s="138"/>
      <c r="U24" s="138"/>
      <c r="V24" s="138"/>
      <c r="W24" s="138"/>
      <c r="Z24" s="133"/>
      <c r="AA24" s="133"/>
      <c r="AB24" s="133"/>
      <c r="AC24" s="137"/>
      <c r="AD24" s="137"/>
    </row>
    <row r="25" spans="1:31" s="135" customFormat="1" ht="14" x14ac:dyDescent="0.2">
      <c r="A25" s="123">
        <v>43789</v>
      </c>
      <c r="B25" s="124">
        <v>1</v>
      </c>
      <c r="C25" s="125">
        <v>20</v>
      </c>
      <c r="D25" s="181">
        <v>80500.978149158007</v>
      </c>
      <c r="E25" s="126">
        <f t="shared" si="3"/>
        <v>80266.226218953379</v>
      </c>
      <c r="F25" s="148" t="s">
        <v>56</v>
      </c>
      <c r="G25" s="148">
        <v>5</v>
      </c>
      <c r="H25" s="148"/>
      <c r="I25" s="148"/>
      <c r="J25" s="142"/>
      <c r="K25" s="142"/>
      <c r="L25" s="142"/>
      <c r="M25" s="142"/>
      <c r="N25" s="142"/>
      <c r="O25" s="142"/>
      <c r="P25" s="142"/>
      <c r="Q25" s="142"/>
      <c r="R25" s="142"/>
      <c r="S25" s="142"/>
      <c r="T25" s="142"/>
      <c r="U25" s="142"/>
      <c r="V25" s="142"/>
      <c r="W25" s="142"/>
      <c r="X25" s="141"/>
      <c r="Y25" s="141"/>
      <c r="Z25" s="133"/>
      <c r="AA25" s="133"/>
      <c r="AB25" s="133"/>
      <c r="AC25" s="137"/>
      <c r="AD25" s="137"/>
    </row>
    <row r="26" spans="1:31" s="135" customFormat="1" ht="14" x14ac:dyDescent="0.2">
      <c r="A26" s="109">
        <v>43888</v>
      </c>
      <c r="B26" s="110">
        <v>1</v>
      </c>
      <c r="C26" s="111">
        <v>0</v>
      </c>
      <c r="D26" s="176">
        <v>345.00419455631902</v>
      </c>
      <c r="E26" s="116">
        <f>D26-$D$26</f>
        <v>0</v>
      </c>
      <c r="F26" s="213" t="s">
        <v>51</v>
      </c>
      <c r="G26" s="213"/>
      <c r="H26" s="146"/>
      <c r="I26" s="146" t="s">
        <v>62</v>
      </c>
      <c r="J26" s="215" t="s">
        <v>63</v>
      </c>
      <c r="K26" s="215" t="s">
        <v>64</v>
      </c>
      <c r="L26" s="215" t="s">
        <v>65</v>
      </c>
      <c r="M26" s="215" t="s">
        <v>66</v>
      </c>
      <c r="N26" s="215"/>
      <c r="O26" s="215" t="s">
        <v>67</v>
      </c>
      <c r="P26" s="215" t="s">
        <v>270</v>
      </c>
      <c r="Q26" s="215" t="s">
        <v>271</v>
      </c>
      <c r="R26" s="215" t="s">
        <v>68</v>
      </c>
      <c r="S26" s="215" t="s">
        <v>69</v>
      </c>
      <c r="T26" s="215" t="s">
        <v>70</v>
      </c>
      <c r="U26" s="215" t="s">
        <v>71</v>
      </c>
      <c r="V26" s="215" t="s">
        <v>72</v>
      </c>
      <c r="W26" s="215" t="s">
        <v>73</v>
      </c>
      <c r="Z26" s="137"/>
      <c r="AA26" s="137"/>
      <c r="AB26" s="137"/>
      <c r="AC26" s="137"/>
      <c r="AD26" s="137"/>
    </row>
    <row r="27" spans="1:31" s="135" customFormat="1" ht="14" x14ac:dyDescent="0.2">
      <c r="A27" s="109">
        <v>43888</v>
      </c>
      <c r="B27" s="110">
        <v>1</v>
      </c>
      <c r="C27" s="113">
        <v>1</v>
      </c>
      <c r="D27" s="176">
        <v>6003.0112913144703</v>
      </c>
      <c r="E27" s="116">
        <f t="shared" ref="E27:E31" si="4">D27-$D$26</f>
        <v>5658.0070967581514</v>
      </c>
      <c r="F27" s="133" t="s">
        <v>52</v>
      </c>
      <c r="G27" s="133">
        <v>0.99997763715378818</v>
      </c>
      <c r="H27" s="133" t="s">
        <v>58</v>
      </c>
      <c r="I27" s="133">
        <v>1</v>
      </c>
      <c r="J27" s="134">
        <v>8029443056.4531441</v>
      </c>
      <c r="K27" s="134">
        <v>8029443056.4531441</v>
      </c>
      <c r="L27" s="134">
        <v>67073.290652461932</v>
      </c>
      <c r="M27" s="134">
        <v>1.2694716785722604E-7</v>
      </c>
      <c r="N27" s="134" t="s">
        <v>61</v>
      </c>
      <c r="O27" s="134">
        <v>-232.50822782898467</v>
      </c>
      <c r="P27" s="134">
        <v>229.36766074170725</v>
      </c>
      <c r="Q27" s="134">
        <f>P27*SQRT(G31)</f>
        <v>512.88168125856726</v>
      </c>
      <c r="R27" s="134">
        <v>-1.0136922837209124</v>
      </c>
      <c r="S27" s="134">
        <v>0.38537917675387107</v>
      </c>
      <c r="T27" s="134">
        <v>-962.4584923079982</v>
      </c>
      <c r="U27" s="134">
        <v>497.44203665002885</v>
      </c>
      <c r="V27" s="134">
        <v>-962.4584923079982</v>
      </c>
      <c r="W27" s="134">
        <v>497.44203665002885</v>
      </c>
      <c r="X27" s="162">
        <f>3.3*Q27/O28</f>
        <v>0.29334390423057727</v>
      </c>
      <c r="Y27" s="162">
        <f>10*Q27/O28</f>
        <v>0.88892092191084016</v>
      </c>
      <c r="Z27" s="137"/>
      <c r="AA27" s="137"/>
      <c r="AB27" s="137"/>
      <c r="AC27" s="137"/>
      <c r="AD27" s="137"/>
    </row>
    <row r="28" spans="1:31" s="135" customFormat="1" ht="14" x14ac:dyDescent="0.2">
      <c r="A28" s="109">
        <v>43888</v>
      </c>
      <c r="B28" s="110">
        <v>1</v>
      </c>
      <c r="C28" s="113">
        <v>2</v>
      </c>
      <c r="D28" s="176">
        <v>11681.024236466301</v>
      </c>
      <c r="E28" s="116">
        <f t="shared" si="4"/>
        <v>11336.020041909982</v>
      </c>
      <c r="F28" s="133" t="s">
        <v>53</v>
      </c>
      <c r="G28" s="133">
        <v>0.99995527480767321</v>
      </c>
      <c r="H28" s="133" t="s">
        <v>59</v>
      </c>
      <c r="I28" s="133">
        <v>3</v>
      </c>
      <c r="J28" s="134">
        <v>359134.44733422017</v>
      </c>
      <c r="K28" s="134">
        <v>119711.48244474006</v>
      </c>
      <c r="L28" s="134"/>
      <c r="M28" s="134"/>
      <c r="N28" s="134" t="s">
        <v>74</v>
      </c>
      <c r="O28" s="134">
        <v>5769.7109902202292</v>
      </c>
      <c r="P28" s="134">
        <v>22.278156616037755</v>
      </c>
      <c r="Q28" s="134"/>
      <c r="R28" s="134">
        <v>258.98511666206213</v>
      </c>
      <c r="S28" s="134">
        <v>1.2694716785722604E-7</v>
      </c>
      <c r="T28" s="134">
        <v>5698.811953008988</v>
      </c>
      <c r="U28" s="134">
        <v>5840.6100274314704</v>
      </c>
      <c r="V28" s="134">
        <v>5698.811953008988</v>
      </c>
      <c r="W28" s="134">
        <v>5840.6100274314704</v>
      </c>
      <c r="X28" s="137"/>
    </row>
    <row r="29" spans="1:31" s="135" customFormat="1" ht="14" x14ac:dyDescent="0.2">
      <c r="A29" s="109">
        <v>43888</v>
      </c>
      <c r="B29" s="110">
        <v>1</v>
      </c>
      <c r="C29" s="113">
        <v>5</v>
      </c>
      <c r="D29" s="176">
        <v>29121.406215456602</v>
      </c>
      <c r="E29" s="116">
        <f t="shared" si="4"/>
        <v>28776.402020900281</v>
      </c>
      <c r="F29" s="133" t="s">
        <v>54</v>
      </c>
      <c r="G29" s="133">
        <v>0.99994036641023099</v>
      </c>
      <c r="H29" s="133" t="s">
        <v>60</v>
      </c>
      <c r="I29" s="133">
        <v>4</v>
      </c>
      <c r="J29" s="134">
        <v>8029802190.9004784</v>
      </c>
      <c r="K29" s="134"/>
      <c r="L29" s="134"/>
      <c r="M29" s="134"/>
      <c r="N29" s="138"/>
      <c r="O29" s="138"/>
      <c r="P29" s="138"/>
      <c r="Q29" s="138"/>
      <c r="R29" s="138"/>
      <c r="S29" s="138"/>
      <c r="T29" s="138"/>
      <c r="U29" s="138"/>
      <c r="V29" s="138"/>
      <c r="W29" s="138"/>
      <c r="X29" s="137"/>
    </row>
    <row r="30" spans="1:31" s="135" customFormat="1" ht="14" x14ac:dyDescent="0.2">
      <c r="A30" s="109">
        <v>43888</v>
      </c>
      <c r="B30" s="110">
        <v>1</v>
      </c>
      <c r="C30" s="114">
        <v>10</v>
      </c>
      <c r="D30" s="176">
        <v>57287.153366453</v>
      </c>
      <c r="E30" s="116">
        <f t="shared" si="4"/>
        <v>56942.149171896679</v>
      </c>
      <c r="F30" s="133" t="s">
        <v>55</v>
      </c>
      <c r="G30" s="133">
        <v>345.99347167936571</v>
      </c>
      <c r="H30" s="137"/>
      <c r="I30" s="137"/>
      <c r="J30" s="138"/>
      <c r="K30" s="138"/>
      <c r="L30" s="138"/>
      <c r="M30" s="138"/>
      <c r="N30" s="138"/>
      <c r="O30" s="138"/>
      <c r="P30" s="138"/>
      <c r="Q30" s="138"/>
      <c r="R30" s="138"/>
      <c r="S30" s="138"/>
      <c r="T30" s="138"/>
      <c r="U30" s="138"/>
      <c r="V30" s="138"/>
      <c r="W30" s="138"/>
      <c r="X30" s="137"/>
    </row>
    <row r="31" spans="1:31" s="135" customFormat="1" ht="14" x14ac:dyDescent="0.2">
      <c r="A31" s="109">
        <v>43888</v>
      </c>
      <c r="B31" s="124">
        <v>1</v>
      </c>
      <c r="C31" s="125">
        <v>20</v>
      </c>
      <c r="D31" s="181">
        <v>115718.902352315</v>
      </c>
      <c r="E31" s="126">
        <f t="shared" si="4"/>
        <v>115373.89815775868</v>
      </c>
      <c r="F31" s="148" t="s">
        <v>56</v>
      </c>
      <c r="G31" s="148">
        <v>5</v>
      </c>
      <c r="H31" s="141"/>
      <c r="I31" s="141"/>
      <c r="J31" s="142"/>
      <c r="K31" s="142"/>
      <c r="L31" s="142"/>
      <c r="M31" s="142"/>
      <c r="N31" s="142"/>
      <c r="O31" s="142"/>
      <c r="P31" s="142"/>
      <c r="Q31" s="142"/>
      <c r="R31" s="142"/>
      <c r="S31" s="142"/>
      <c r="T31" s="142"/>
      <c r="U31" s="142"/>
      <c r="V31" s="142"/>
      <c r="W31" s="142"/>
      <c r="X31" s="141"/>
      <c r="Y31" s="141"/>
    </row>
    <row r="32" spans="1:31" s="135" customFormat="1" ht="14" x14ac:dyDescent="0.2">
      <c r="A32" s="109">
        <v>43888</v>
      </c>
      <c r="B32" s="110">
        <v>2</v>
      </c>
      <c r="C32" s="111">
        <v>0</v>
      </c>
      <c r="D32" s="176">
        <v>353.004368124135</v>
      </c>
      <c r="E32" s="116">
        <f>D32-$D$32</f>
        <v>0</v>
      </c>
      <c r="F32" s="213" t="s">
        <v>51</v>
      </c>
      <c r="G32" s="213"/>
      <c r="H32" s="146"/>
      <c r="I32" s="146" t="s">
        <v>62</v>
      </c>
      <c r="J32" s="215" t="s">
        <v>63</v>
      </c>
      <c r="K32" s="215" t="s">
        <v>64</v>
      </c>
      <c r="L32" s="215" t="s">
        <v>65</v>
      </c>
      <c r="M32" s="215" t="s">
        <v>66</v>
      </c>
      <c r="N32" s="215"/>
      <c r="O32" s="215" t="s">
        <v>67</v>
      </c>
      <c r="P32" s="215" t="s">
        <v>270</v>
      </c>
      <c r="Q32" s="215" t="s">
        <v>271</v>
      </c>
      <c r="R32" s="215" t="s">
        <v>68</v>
      </c>
      <c r="S32" s="215" t="s">
        <v>69</v>
      </c>
      <c r="T32" s="215" t="s">
        <v>70</v>
      </c>
      <c r="U32" s="215" t="s">
        <v>71</v>
      </c>
      <c r="V32" s="215" t="s">
        <v>72</v>
      </c>
      <c r="W32" s="215" t="s">
        <v>73</v>
      </c>
    </row>
    <row r="33" spans="1:32" s="135" customFormat="1" ht="14" x14ac:dyDescent="0.2">
      <c r="A33" s="109">
        <v>43888</v>
      </c>
      <c r="B33" s="110">
        <v>2</v>
      </c>
      <c r="C33" s="113">
        <v>1</v>
      </c>
      <c r="D33" s="176">
        <v>5478.3007516221096</v>
      </c>
      <c r="E33" s="116">
        <f t="shared" ref="E33:E37" si="5">D33-$D$32</f>
        <v>5125.2963834979746</v>
      </c>
      <c r="F33" s="133" t="s">
        <v>52</v>
      </c>
      <c r="G33" s="133">
        <v>0.99999335767945463</v>
      </c>
      <c r="H33" s="133" t="s">
        <v>58</v>
      </c>
      <c r="I33" s="133">
        <v>1</v>
      </c>
      <c r="J33" s="134">
        <v>6043406705.8553867</v>
      </c>
      <c r="K33" s="134">
        <v>6043406705.8553867</v>
      </c>
      <c r="L33" s="134">
        <v>225822.44330766666</v>
      </c>
      <c r="M33" s="134">
        <v>2.0550063569394876E-8</v>
      </c>
      <c r="N33" s="134" t="s">
        <v>61</v>
      </c>
      <c r="O33" s="134">
        <v>82.430959484561754</v>
      </c>
      <c r="P33" s="134">
        <v>108.44802342802267</v>
      </c>
      <c r="Q33" s="134">
        <f>P33*SQRT(G37)</f>
        <v>242.49715241054847</v>
      </c>
      <c r="R33" s="134">
        <v>0.76009646721935387</v>
      </c>
      <c r="S33" s="134">
        <v>0.50247373680308982</v>
      </c>
      <c r="T33" s="134">
        <v>-262.69905198927012</v>
      </c>
      <c r="U33" s="134">
        <v>427.56097095839363</v>
      </c>
      <c r="V33" s="134">
        <v>-262.69905198927012</v>
      </c>
      <c r="W33" s="134">
        <v>427.56097095839363</v>
      </c>
      <c r="X33" s="162">
        <f>3.3*Q33/O34</f>
        <v>0.15987049648603968</v>
      </c>
      <c r="Y33" s="162">
        <f>10*Q33/O34</f>
        <v>0.48445604995769603</v>
      </c>
    </row>
    <row r="34" spans="1:32" s="135" customFormat="1" ht="14" x14ac:dyDescent="0.2">
      <c r="A34" s="109">
        <v>43888</v>
      </c>
      <c r="B34" s="110">
        <v>2</v>
      </c>
      <c r="C34" s="113">
        <v>2</v>
      </c>
      <c r="D34" s="176">
        <v>10379.0191472604</v>
      </c>
      <c r="E34" s="116">
        <f t="shared" si="5"/>
        <v>10026.014779136265</v>
      </c>
      <c r="F34" s="133" t="s">
        <v>53</v>
      </c>
      <c r="G34" s="133">
        <v>0.99998671540302964</v>
      </c>
      <c r="H34" s="133" t="s">
        <v>59</v>
      </c>
      <c r="I34" s="133">
        <v>3</v>
      </c>
      <c r="J34" s="134">
        <v>80285.288973094022</v>
      </c>
      <c r="K34" s="134">
        <v>26761.762991031341</v>
      </c>
      <c r="L34" s="134"/>
      <c r="M34" s="134"/>
      <c r="N34" s="134" t="s">
        <v>74</v>
      </c>
      <c r="O34" s="134">
        <v>5005.5552496810378</v>
      </c>
      <c r="P34" s="134">
        <v>10.533403195622778</v>
      </c>
      <c r="Q34" s="134"/>
      <c r="R34" s="134">
        <v>475.20778961173039</v>
      </c>
      <c r="S34" s="134">
        <v>2.0550063569394876E-8</v>
      </c>
      <c r="T34" s="134">
        <v>4972.0332595990649</v>
      </c>
      <c r="U34" s="134">
        <v>5039.0772397630108</v>
      </c>
      <c r="V34" s="134">
        <v>4972.0332595990649</v>
      </c>
      <c r="W34" s="134">
        <v>5039.0772397630108</v>
      </c>
    </row>
    <row r="35" spans="1:32" s="135" customFormat="1" ht="14" x14ac:dyDescent="0.2">
      <c r="A35" s="109">
        <v>43888</v>
      </c>
      <c r="B35" s="110">
        <v>2</v>
      </c>
      <c r="C35" s="113">
        <v>5</v>
      </c>
      <c r="D35" s="176">
        <v>25632.729543835299</v>
      </c>
      <c r="E35" s="116">
        <f t="shared" si="5"/>
        <v>25279.725175711166</v>
      </c>
      <c r="F35" s="133" t="s">
        <v>54</v>
      </c>
      <c r="G35" s="133">
        <v>0.99998228720403948</v>
      </c>
      <c r="H35" s="133" t="s">
        <v>60</v>
      </c>
      <c r="I35" s="133">
        <v>4</v>
      </c>
      <c r="J35" s="133">
        <v>6043486991.1443596</v>
      </c>
      <c r="K35" s="133"/>
      <c r="L35" s="133"/>
      <c r="M35" s="133"/>
      <c r="N35" s="137"/>
      <c r="O35" s="137"/>
      <c r="P35" s="137"/>
      <c r="Q35" s="137"/>
      <c r="R35" s="137"/>
      <c r="S35" s="137"/>
      <c r="T35" s="137"/>
      <c r="U35" s="137"/>
      <c r="V35" s="137"/>
      <c r="W35" s="137"/>
    </row>
    <row r="36" spans="1:32" s="135" customFormat="1" ht="14" x14ac:dyDescent="0.2">
      <c r="A36" s="109">
        <v>43888</v>
      </c>
      <c r="B36" s="110">
        <v>2</v>
      </c>
      <c r="C36" s="114">
        <v>10</v>
      </c>
      <c r="D36" s="176">
        <v>50287.369564934103</v>
      </c>
      <c r="E36" s="116">
        <f t="shared" si="5"/>
        <v>49934.365196809966</v>
      </c>
      <c r="F36" s="133" t="s">
        <v>55</v>
      </c>
      <c r="G36" s="133">
        <v>163.59022889840134</v>
      </c>
      <c r="N36" s="137"/>
      <c r="O36" s="137"/>
      <c r="P36" s="137"/>
      <c r="Q36" s="137"/>
      <c r="R36" s="144"/>
      <c r="S36" s="220"/>
      <c r="T36" s="144"/>
      <c r="U36" s="137"/>
    </row>
    <row r="37" spans="1:32" s="135" customFormat="1" ht="14" x14ac:dyDescent="0.2">
      <c r="A37" s="123">
        <v>43888</v>
      </c>
      <c r="B37" s="124">
        <v>2</v>
      </c>
      <c r="C37" s="125">
        <v>20</v>
      </c>
      <c r="D37" s="181">
        <v>100610.857118271</v>
      </c>
      <c r="E37" s="126">
        <f t="shared" si="5"/>
        <v>100257.85275014686</v>
      </c>
      <c r="F37" s="148" t="s">
        <v>56</v>
      </c>
      <c r="G37" s="148">
        <v>5</v>
      </c>
      <c r="H37" s="141"/>
      <c r="I37" s="141"/>
      <c r="J37" s="141"/>
      <c r="K37" s="141"/>
      <c r="L37" s="141"/>
      <c r="M37" s="141"/>
      <c r="N37" s="141"/>
      <c r="O37" s="141"/>
      <c r="P37" s="141"/>
      <c r="Q37" s="141"/>
      <c r="R37" s="141"/>
      <c r="S37" s="141"/>
      <c r="T37" s="141"/>
      <c r="U37" s="141"/>
      <c r="V37" s="141"/>
      <c r="W37" s="141"/>
      <c r="X37" s="141"/>
      <c r="Y37" s="141"/>
    </row>
    <row r="38" spans="1:32" s="135" customFormat="1" ht="14" x14ac:dyDescent="0.2"/>
    <row r="39" spans="1:32" x14ac:dyDescent="0.2">
      <c r="G39" s="13"/>
      <c r="H39" s="13"/>
      <c r="I39" s="13"/>
      <c r="J39" s="13"/>
      <c r="K39" s="13"/>
      <c r="L39" s="13"/>
      <c r="Z39" s="13"/>
      <c r="AA39" s="13"/>
      <c r="AB39" s="13"/>
      <c r="AC39" s="13"/>
      <c r="AD39" s="13"/>
      <c r="AE39" s="13"/>
      <c r="AF39" s="13"/>
    </row>
    <row r="40" spans="1:32" x14ac:dyDescent="0.2">
      <c r="E40" s="383" t="s">
        <v>77</v>
      </c>
      <c r="F40" s="383"/>
      <c r="G40" s="383"/>
      <c r="H40" s="384"/>
      <c r="I40" s="135"/>
      <c r="J40" s="135"/>
      <c r="K40" s="383" t="s">
        <v>277</v>
      </c>
      <c r="L40" s="385"/>
      <c r="M40" s="385"/>
      <c r="N40" s="385"/>
    </row>
    <row r="41" spans="1:32" ht="30" x14ac:dyDescent="0.2">
      <c r="A41" t="s">
        <v>13</v>
      </c>
      <c r="B41" t="s">
        <v>81</v>
      </c>
      <c r="C41" t="s">
        <v>12</v>
      </c>
      <c r="E41" s="120" t="s">
        <v>10</v>
      </c>
      <c r="F41" s="120" t="s">
        <v>11</v>
      </c>
      <c r="G41" s="120" t="s">
        <v>276</v>
      </c>
      <c r="H41" s="367" t="s">
        <v>75</v>
      </c>
      <c r="I41" s="368" t="s">
        <v>78</v>
      </c>
      <c r="J41" s="120" t="s">
        <v>79</v>
      </c>
      <c r="K41" s="120" t="s">
        <v>10</v>
      </c>
      <c r="L41" s="120" t="s">
        <v>11</v>
      </c>
      <c r="M41" s="120" t="s">
        <v>276</v>
      </c>
      <c r="N41" s="367" t="s">
        <v>75</v>
      </c>
    </row>
    <row r="42" spans="1:32" x14ac:dyDescent="0.2">
      <c r="A42" s="14" t="s">
        <v>6</v>
      </c>
      <c r="B42" s="4">
        <v>308637.76072000398</v>
      </c>
      <c r="C42" s="25">
        <v>0.89450954395267401</v>
      </c>
      <c r="E42" s="22">
        <f>((B42-$D$2+249.2)/5415.2)/(C42*100%)*$B$114</f>
        <v>3182.7855653485176</v>
      </c>
      <c r="F42" s="22">
        <f>((B42-$D$2)/5397.3)/(C42*100%)*$B$114</f>
        <v>3190.7603750958101</v>
      </c>
      <c r="H42" s="42">
        <f>TREND($C$2:$C$7,$E$2:$E$7,B42-$D$2)/(C42*100%)*$B$114</f>
        <v>3182.6788652553237</v>
      </c>
      <c r="I42" s="37">
        <v>3223.4654016967602</v>
      </c>
      <c r="J42" s="43">
        <v>1.1433497871104E-2</v>
      </c>
      <c r="K42" s="17">
        <f>100-(I42/E42*100)</f>
        <v>-1.2781205492173484</v>
      </c>
      <c r="L42" s="17">
        <f>100-(I42/F42*100)</f>
        <v>-1.0249916244483757</v>
      </c>
      <c r="N42" s="17">
        <f>100-(I42/H42*100)</f>
        <v>-1.2815159231644486</v>
      </c>
    </row>
    <row r="43" spans="1:32" x14ac:dyDescent="0.2">
      <c r="A43" s="14" t="s">
        <v>7</v>
      </c>
      <c r="B43" s="4">
        <v>388599.79152758501</v>
      </c>
      <c r="C43" s="25">
        <v>0.92222715865967198</v>
      </c>
      <c r="E43" s="22">
        <f>((B43-$D$2+249.2)/5415.2)/(C43*100%)*$B$114</f>
        <v>3887.7005479544623</v>
      </c>
      <c r="F43" s="22">
        <f>((B43-$D$2)/5397.3)/(C43*100%)*$B$114</f>
        <v>3898.0907557907599</v>
      </c>
      <c r="H43" s="42">
        <f>TREND($C$2:$C$7,$E$2:$E$7,B43-$D$2)/(C43*100%)*$B$114</f>
        <v>3887.5666627081919</v>
      </c>
      <c r="I43" s="37">
        <v>3938.18667369074</v>
      </c>
      <c r="J43" s="43">
        <v>1.1128516406628999E-2</v>
      </c>
      <c r="K43" s="17">
        <f t="shared" ref="K43:K106" si="6">100-(I43/E43*100)</f>
        <v>-1.2986114828942021</v>
      </c>
      <c r="L43" s="17">
        <f t="shared" ref="L43:L106" si="7">100-(I43/F43*100)</f>
        <v>-1.0286040118592865</v>
      </c>
      <c r="N43" s="17">
        <f t="shared" ref="N43:N106" si="8">100-(I43/H43*100)</f>
        <v>-1.3021001406387427</v>
      </c>
    </row>
    <row r="44" spans="1:32" x14ac:dyDescent="0.2">
      <c r="A44" s="14" t="s">
        <v>7</v>
      </c>
      <c r="B44" s="4">
        <v>383854.46010840498</v>
      </c>
      <c r="C44" s="25">
        <v>0.91587105636331301</v>
      </c>
      <c r="E44" s="22">
        <f>((B44-$D$2+249.2)/5415.2)/(C44*100%)*$B$114</f>
        <v>3866.841388279287</v>
      </c>
      <c r="F44" s="22">
        <f>((B44-$D$2)/5397.3)/(C44*100%)*$B$114</f>
        <v>3877.1450448626615</v>
      </c>
      <c r="H44" s="42">
        <f>TREND($C$2:$C$7,$E$2:$E$7,B44-$D$2)/(C44*100%)*$B$114</f>
        <v>3866.7083900020389</v>
      </c>
      <c r="I44" s="37">
        <v>3917.41050067693</v>
      </c>
      <c r="J44" s="43">
        <v>1.16817664953336E-2</v>
      </c>
      <c r="K44" s="17">
        <f t="shared" si="6"/>
        <v>-1.3077627789679127</v>
      </c>
      <c r="L44" s="17">
        <f t="shared" si="7"/>
        <v>-1.0385336464938604</v>
      </c>
      <c r="N44" s="17">
        <f t="shared" si="8"/>
        <v>-1.3112473339336645</v>
      </c>
    </row>
    <row r="45" spans="1:32" x14ac:dyDescent="0.2">
      <c r="A45" s="14" t="s">
        <v>8</v>
      </c>
      <c r="B45" s="4">
        <v>98797.212044846194</v>
      </c>
      <c r="C45" s="25">
        <v>0.86969879565951802</v>
      </c>
      <c r="E45" s="22">
        <f>((B45-$D$2+249.2)/5415.2)/(C45*100%)*$B$114</f>
        <v>1045.784781769793</v>
      </c>
      <c r="F45" s="22">
        <f>((B45-$D$2)/5397.3)/(C45*100%)*$B$114</f>
        <v>1046.5986606360889</v>
      </c>
      <c r="H45" s="42">
        <f>TREND($C$2:$C$7,$E$2:$E$7,B45-$D$2)/(C45*100%)*$B$114</f>
        <v>1045.7596112561405</v>
      </c>
      <c r="I45" s="37">
        <v>1057.0156895329101</v>
      </c>
      <c r="J45" s="43">
        <v>7.48169092970331E-3</v>
      </c>
      <c r="K45" s="17">
        <f t="shared" si="6"/>
        <v>-1.0739215141485374</v>
      </c>
      <c r="L45" s="17">
        <f t="shared" si="7"/>
        <v>-0.99532220789295422</v>
      </c>
      <c r="N45" s="17">
        <f t="shared" si="8"/>
        <v>-1.076354274501881</v>
      </c>
    </row>
    <row r="46" spans="1:32" x14ac:dyDescent="0.2">
      <c r="A46" s="14" t="s">
        <v>9</v>
      </c>
      <c r="B46" s="4">
        <v>124700.716288023</v>
      </c>
      <c r="C46" s="25">
        <v>0.87739604996162202</v>
      </c>
      <c r="E46" s="22">
        <f>((B46-$D$2+249.2)/5415.2)/(C46*100%)*$B$114</f>
        <v>1309.2055704831023</v>
      </c>
      <c r="F46" s="22">
        <f>((B46-$D$2)/5397.3)/(C46*100%)*$B$114</f>
        <v>1310.9163642551669</v>
      </c>
      <c r="H46" s="42">
        <f>TREND($C$2:$C$7,$E$2:$E$7,B46-$D$2)/(C46*100%)*$B$114</f>
        <v>1309.1702723032336</v>
      </c>
      <c r="I46" s="37">
        <v>1323.9933867944301</v>
      </c>
      <c r="J46" s="43">
        <v>1.40637889103088E-2</v>
      </c>
      <c r="K46" s="17">
        <f t="shared" si="6"/>
        <v>-1.1295259235622552</v>
      </c>
      <c r="L46" s="17">
        <f t="shared" si="7"/>
        <v>-0.99754819573811915</v>
      </c>
      <c r="N46" s="17">
        <f t="shared" si="8"/>
        <v>-1.132252603407963</v>
      </c>
    </row>
    <row r="47" spans="1:32" x14ac:dyDescent="0.2">
      <c r="A47" s="18" t="s">
        <v>21</v>
      </c>
      <c r="B47" s="44">
        <v>594.51238324070198</v>
      </c>
      <c r="C47" s="5"/>
      <c r="E47" s="22"/>
      <c r="F47" s="22"/>
      <c r="H47" s="42"/>
      <c r="I47" s="38"/>
      <c r="J47" s="6"/>
      <c r="K47" s="17"/>
      <c r="L47" s="17"/>
      <c r="N47" s="17"/>
    </row>
    <row r="48" spans="1:32" x14ac:dyDescent="0.2">
      <c r="A48" s="14" t="s">
        <v>15</v>
      </c>
      <c r="B48" s="4">
        <v>7406.6700870281602</v>
      </c>
      <c r="C48" s="25">
        <v>0.89502254494107603</v>
      </c>
      <c r="E48" s="22">
        <f>((B48-$B$47+249.2)/5415.2)/(C48*100%)*$B$114</f>
        <v>72.846676080063659</v>
      </c>
      <c r="F48" s="22">
        <f>((B48-$B$47)/5397.3)/(C48*100%)*$B$114</f>
        <v>70.508936556902157</v>
      </c>
      <c r="H48" s="42">
        <f t="shared" ref="H48:H59" si="9">TREND($C$2:$C$7,$E$2:$E$7,B48-$D$2)/(C48*100%)*$B$114</f>
        <v>73.399739803657482</v>
      </c>
      <c r="I48" s="37">
        <v>71.097035899210994</v>
      </c>
      <c r="J48" s="43">
        <v>2.7210961802826401E-2</v>
      </c>
      <c r="K48" s="17">
        <f t="shared" si="6"/>
        <v>2.4018119631562627</v>
      </c>
      <c r="L48" s="17">
        <f t="shared" si="7"/>
        <v>-0.8340777368472061</v>
      </c>
      <c r="N48" s="17">
        <f t="shared" si="8"/>
        <v>3.1372099010243915</v>
      </c>
    </row>
    <row r="49" spans="1:14" x14ac:dyDescent="0.2">
      <c r="A49" s="14" t="s">
        <v>15</v>
      </c>
      <c r="B49" s="4">
        <v>8147.3235595092201</v>
      </c>
      <c r="C49" s="25">
        <v>0.88707752770127501</v>
      </c>
      <c r="E49" s="22">
        <f t="shared" ref="E49:E59" si="10">((B49-$B$47+249.2)/5415.2)/(C49*100%)*$B$114</f>
        <v>81.208313983108269</v>
      </c>
      <c r="F49" s="22">
        <f t="shared" ref="F49:F59" si="11">((B49-$B$47)/5397.3)/(C49*100%)*$B$114</f>
        <v>78.875204075034347</v>
      </c>
      <c r="H49" s="42">
        <f t="shared" si="9"/>
        <v>81.766038501513165</v>
      </c>
      <c r="I49" s="37">
        <v>79.594383022765697</v>
      </c>
      <c r="J49" s="43">
        <v>1.8561200830723299E-2</v>
      </c>
      <c r="K49" s="17">
        <f t="shared" si="6"/>
        <v>1.9873962174344371</v>
      </c>
      <c r="L49" s="17">
        <f t="shared" si="7"/>
        <v>-0.91179345418514401</v>
      </c>
      <c r="N49" s="17">
        <f t="shared" si="8"/>
        <v>2.6559382337047879</v>
      </c>
    </row>
    <row r="50" spans="1:14" x14ac:dyDescent="0.2">
      <c r="A50" s="14" t="s">
        <v>16</v>
      </c>
      <c r="B50" s="4">
        <v>84572.1224929827</v>
      </c>
      <c r="C50" s="25">
        <v>0.88540087067860596</v>
      </c>
      <c r="E50" s="22">
        <f t="shared" si="10"/>
        <v>878.3465739927932</v>
      </c>
      <c r="F50" s="22">
        <f t="shared" si="11"/>
        <v>878.65222348910095</v>
      </c>
      <c r="H50" s="42">
        <f t="shared" si="9"/>
        <v>878.87509888741852</v>
      </c>
      <c r="I50" s="37">
        <v>887.73969322499397</v>
      </c>
      <c r="J50" s="43">
        <v>5.6469630841961297E-3</v>
      </c>
      <c r="K50" s="17">
        <f t="shared" si="6"/>
        <v>-1.0694092184479587</v>
      </c>
      <c r="L50" s="17">
        <f t="shared" si="7"/>
        <v>-1.0342510373224911</v>
      </c>
      <c r="N50" s="17">
        <f t="shared" si="8"/>
        <v>-1.008629593533513</v>
      </c>
    </row>
    <row r="51" spans="1:14" x14ac:dyDescent="0.2">
      <c r="A51" s="14" t="s">
        <v>16</v>
      </c>
      <c r="B51" s="4">
        <v>85643.469947514997</v>
      </c>
      <c r="C51" s="25">
        <v>0.88308660477360401</v>
      </c>
      <c r="E51" s="22">
        <f t="shared" si="10"/>
        <v>891.85008207819897</v>
      </c>
      <c r="F51" s="22">
        <f t="shared" si="11"/>
        <v>892.193682593934</v>
      </c>
      <c r="H51" s="42">
        <f t="shared" si="9"/>
        <v>892.37956680793525</v>
      </c>
      <c r="I51" s="37">
        <v>901.44072026635797</v>
      </c>
      <c r="J51" s="43">
        <v>4.0426643922895399E-3</v>
      </c>
      <c r="K51" s="17">
        <f t="shared" si="6"/>
        <v>-1.0753643892492164</v>
      </c>
      <c r="L51" s="17">
        <f t="shared" si="7"/>
        <v>-1.0364383712670389</v>
      </c>
      <c r="N51" s="17">
        <f t="shared" si="8"/>
        <v>-1.0153923056345491</v>
      </c>
    </row>
    <row r="52" spans="1:14" x14ac:dyDescent="0.2">
      <c r="A52" s="14" t="s">
        <v>17</v>
      </c>
      <c r="B52" s="4">
        <v>42234.350579475897</v>
      </c>
      <c r="C52" s="25">
        <v>0.91833585375458804</v>
      </c>
      <c r="E52" s="22">
        <f t="shared" si="10"/>
        <v>421.16701582837806</v>
      </c>
      <c r="F52" s="22">
        <f t="shared" si="11"/>
        <v>420.0499515083207</v>
      </c>
      <c r="H52" s="42">
        <f t="shared" si="9"/>
        <v>421.69274579030872</v>
      </c>
      <c r="I52" s="37">
        <v>424.13440586963901</v>
      </c>
      <c r="J52" s="43">
        <v>7.4076968773838002E-3</v>
      </c>
      <c r="K52" s="17">
        <f t="shared" si="6"/>
        <v>-0.7045637311897508</v>
      </c>
      <c r="L52" s="17">
        <f t="shared" si="7"/>
        <v>-0.97237348716545569</v>
      </c>
      <c r="N52" s="17">
        <f t="shared" si="8"/>
        <v>-0.57901401048630419</v>
      </c>
    </row>
    <row r="53" spans="1:14" x14ac:dyDescent="0.2">
      <c r="A53" s="14" t="s">
        <v>17</v>
      </c>
      <c r="B53" s="4">
        <v>86270.995036752996</v>
      </c>
      <c r="C53" s="25">
        <v>0.90916345566433598</v>
      </c>
      <c r="E53" s="22">
        <f t="shared" si="10"/>
        <v>872.64282803937579</v>
      </c>
      <c r="F53" s="22">
        <f t="shared" si="11"/>
        <v>872.99770923743733</v>
      </c>
      <c r="H53" s="42">
        <f t="shared" si="9"/>
        <v>873.15688401987791</v>
      </c>
      <c r="I53" s="37">
        <v>881.84423624885699</v>
      </c>
      <c r="J53" s="43">
        <v>1.1573167949201799E-2</v>
      </c>
      <c r="K53" s="17">
        <f t="shared" si="6"/>
        <v>-1.054430050167781</v>
      </c>
      <c r="L53" s="17">
        <f t="shared" si="7"/>
        <v>-1.013350541222735</v>
      </c>
      <c r="N53" s="17">
        <f t="shared" si="8"/>
        <v>-0.99493600611427269</v>
      </c>
    </row>
    <row r="54" spans="1:14" x14ac:dyDescent="0.2">
      <c r="A54" s="14" t="s">
        <v>18</v>
      </c>
      <c r="B54" s="4">
        <v>67389.591718397904</v>
      </c>
      <c r="C54" s="25">
        <v>0.88602360257916501</v>
      </c>
      <c r="E54" s="22">
        <f t="shared" si="10"/>
        <v>698.66974807061092</v>
      </c>
      <c r="F54" s="22">
        <f t="shared" si="11"/>
        <v>698.3813367722496</v>
      </c>
      <c r="H54" s="42">
        <f t="shared" si="9"/>
        <v>699.20469909865494</v>
      </c>
      <c r="I54" s="37">
        <v>705.58186430911496</v>
      </c>
      <c r="J54" s="43">
        <v>6.3654149989471696E-3</v>
      </c>
      <c r="K54" s="17">
        <f t="shared" si="6"/>
        <v>-0.98932525096327595</v>
      </c>
      <c r="L54" s="17">
        <f t="shared" si="7"/>
        <v>-1.0310309221813583</v>
      </c>
      <c r="N54" s="17">
        <f t="shared" si="8"/>
        <v>-0.91205983293316706</v>
      </c>
    </row>
    <row r="55" spans="1:14" x14ac:dyDescent="0.2">
      <c r="A55" s="14" t="s">
        <v>18</v>
      </c>
      <c r="B55" s="4">
        <v>72160.053684711704</v>
      </c>
      <c r="C55" s="25">
        <v>0.88359366541138895</v>
      </c>
      <c r="E55" s="22">
        <f t="shared" si="10"/>
        <v>750.44092466030145</v>
      </c>
      <c r="F55" s="22">
        <f t="shared" si="11"/>
        <v>750.31704570357135</v>
      </c>
      <c r="H55" s="42">
        <f t="shared" si="9"/>
        <v>750.97545439857765</v>
      </c>
      <c r="I55" s="37">
        <v>758.09310830638105</v>
      </c>
      <c r="J55" s="43">
        <v>1.2229630231528401E-2</v>
      </c>
      <c r="K55" s="17">
        <f t="shared" si="6"/>
        <v>-1.0196916765358424</v>
      </c>
      <c r="L55" s="17">
        <f t="shared" si="7"/>
        <v>-1.0363702447300938</v>
      </c>
      <c r="N55" s="17">
        <f t="shared" si="8"/>
        <v>-0.94778782263978201</v>
      </c>
    </row>
    <row r="56" spans="1:14" x14ac:dyDescent="0.2">
      <c r="A56" s="14" t="s">
        <v>19</v>
      </c>
      <c r="B56" s="4">
        <v>127229.407459736</v>
      </c>
      <c r="C56" s="25">
        <v>0.88510916556297003</v>
      </c>
      <c r="E56" s="22">
        <f t="shared" si="10"/>
        <v>1323.627714343002</v>
      </c>
      <c r="F56" s="22">
        <f t="shared" si="11"/>
        <v>1325.4092674337655</v>
      </c>
      <c r="H56" s="42">
        <f t="shared" si="9"/>
        <v>1324.1395202896119</v>
      </c>
      <c r="I56" s="37">
        <v>1339.133795918</v>
      </c>
      <c r="J56" s="43">
        <v>7.1203532622458104E-3</v>
      </c>
      <c r="K56" s="17">
        <f t="shared" si="6"/>
        <v>-1.1714835982181455</v>
      </c>
      <c r="L56" s="17">
        <f t="shared" si="7"/>
        <v>-1.0354936261165193</v>
      </c>
      <c r="N56" s="17">
        <f t="shared" si="8"/>
        <v>-1.1323788315832815</v>
      </c>
    </row>
    <row r="57" spans="1:14" x14ac:dyDescent="0.2">
      <c r="A57" s="14" t="s">
        <v>19</v>
      </c>
      <c r="B57" s="4">
        <v>251309.07238491101</v>
      </c>
      <c r="C57" s="25">
        <v>0.88973004696782498</v>
      </c>
      <c r="E57" s="22">
        <f t="shared" si="10"/>
        <v>2604.4034283750102</v>
      </c>
      <c r="F57" s="22">
        <f t="shared" si="11"/>
        <v>2610.4461856105363</v>
      </c>
      <c r="H57" s="42">
        <f t="shared" si="9"/>
        <v>2604.863693403508</v>
      </c>
      <c r="I57" s="37">
        <v>2637.5365656947001</v>
      </c>
      <c r="J57" s="43">
        <v>8.1513714386312504E-3</v>
      </c>
      <c r="K57" s="17">
        <f t="shared" si="6"/>
        <v>-1.2721968093999578</v>
      </c>
      <c r="L57" s="17">
        <f t="shared" si="7"/>
        <v>-1.037768188193013</v>
      </c>
      <c r="N57" s="17">
        <f t="shared" si="8"/>
        <v>-1.2543025715292515</v>
      </c>
    </row>
    <row r="58" spans="1:14" x14ac:dyDescent="0.2">
      <c r="A58" s="14" t="s">
        <v>20</v>
      </c>
      <c r="B58" s="4">
        <v>30577.442991092699</v>
      </c>
      <c r="C58" s="25">
        <v>0.88479998728588505</v>
      </c>
      <c r="E58" s="22">
        <f t="shared" si="10"/>
        <v>315.48531635384609</v>
      </c>
      <c r="F58" s="22">
        <f t="shared" si="11"/>
        <v>313.92248095084199</v>
      </c>
      <c r="H58" s="42">
        <f t="shared" si="9"/>
        <v>316.03559061867441</v>
      </c>
      <c r="I58" s="37">
        <v>317.12155669554801</v>
      </c>
      <c r="J58" s="43">
        <v>1.5148018855151799E-2</v>
      </c>
      <c r="K58" s="17">
        <f t="shared" si="6"/>
        <v>-0.51864231293311036</v>
      </c>
      <c r="L58" s="17">
        <f t="shared" si="7"/>
        <v>-1.0190655142047689</v>
      </c>
      <c r="N58" s="17">
        <f t="shared" si="8"/>
        <v>-0.34362144932717342</v>
      </c>
    </row>
    <row r="59" spans="1:14" x14ac:dyDescent="0.2">
      <c r="A59" s="14" t="s">
        <v>20</v>
      </c>
      <c r="B59" s="4">
        <v>30764.343065254299</v>
      </c>
      <c r="C59" s="25">
        <v>0.89302680500911102</v>
      </c>
      <c r="E59" s="22">
        <f t="shared" si="10"/>
        <v>314.51139097198239</v>
      </c>
      <c r="F59" s="22">
        <f t="shared" si="11"/>
        <v>312.96936165809785</v>
      </c>
      <c r="H59" s="42">
        <f t="shared" si="9"/>
        <v>315.05652259336415</v>
      </c>
      <c r="I59" s="37">
        <v>316.12934600758501</v>
      </c>
      <c r="J59" s="43">
        <v>1.47419668184293E-2</v>
      </c>
      <c r="K59" s="17">
        <f t="shared" si="6"/>
        <v>-0.51443447901915818</v>
      </c>
      <c r="L59" s="17">
        <f t="shared" si="7"/>
        <v>-1.0096784978394453</v>
      </c>
      <c r="N59" s="17">
        <f t="shared" si="8"/>
        <v>-0.34051776023871128</v>
      </c>
    </row>
    <row r="60" spans="1:14" x14ac:dyDescent="0.2">
      <c r="A60" s="26" t="s">
        <v>86</v>
      </c>
      <c r="B60" s="39">
        <v>506</v>
      </c>
      <c r="C60" s="6"/>
      <c r="E60" s="16"/>
      <c r="F60" s="22"/>
      <c r="H60" s="42"/>
      <c r="I60" s="38"/>
      <c r="K60" s="17"/>
      <c r="L60" s="17"/>
      <c r="N60" s="17"/>
    </row>
    <row r="61" spans="1:14" x14ac:dyDescent="0.2">
      <c r="A61" s="24" t="s">
        <v>23</v>
      </c>
      <c r="B61" s="7">
        <v>88907.569924526193</v>
      </c>
      <c r="C61" s="25">
        <v>0.93731826164083498</v>
      </c>
      <c r="E61" s="16">
        <f>((B61-$B$60+251.42)/4809.6)/(C61*100%)*$B$114</f>
        <v>983.25769589217953</v>
      </c>
      <c r="F61" s="22">
        <f>((B61-$B$60)/4791.6)/(C61*100%)*$B$114</f>
        <v>984.15238074709862</v>
      </c>
      <c r="H61" s="42">
        <f t="shared" ref="H61:H72" si="12">TREND($C$8:$C$13,$E$8:$E$13,B61-$B$60)/(C61*100%)*$B$114</f>
        <v>983.18911026714136</v>
      </c>
      <c r="I61" s="37">
        <v>974.87174716822699</v>
      </c>
      <c r="J61" s="43">
        <v>7.7435195921889402E-3</v>
      </c>
      <c r="K61" s="17">
        <f t="shared" si="6"/>
        <v>0.85287394738806199</v>
      </c>
      <c r="L61" s="17">
        <f t="shared" si="7"/>
        <v>0.94300778623595249</v>
      </c>
      <c r="N61" s="17">
        <f t="shared" si="8"/>
        <v>0.84595760999167169</v>
      </c>
    </row>
    <row r="62" spans="1:14" x14ac:dyDescent="0.2">
      <c r="A62" s="24" t="s">
        <v>23</v>
      </c>
      <c r="B62" s="7">
        <v>90408.191134441498</v>
      </c>
      <c r="C62" s="25">
        <v>0.94466513570173605</v>
      </c>
      <c r="E62" s="16">
        <f t="shared" ref="E62:E72" si="13">((B62-$B$60+251.42)/4809.6)/(C62*100%)*$B$114</f>
        <v>992.12475324205423</v>
      </c>
      <c r="F62" s="22">
        <f t="shared" ref="F62:F72" si="14">((B62-$B$60)/4791.6)/(C62*100%)*$B$114</f>
        <v>993.07451627368653</v>
      </c>
      <c r="H62" s="42">
        <f t="shared" si="12"/>
        <v>992.05502748134484</v>
      </c>
      <c r="I62" s="37">
        <v>983.62469835388902</v>
      </c>
      <c r="J62" s="43">
        <v>3.7230913725714498E-3</v>
      </c>
      <c r="K62" s="17">
        <f t="shared" si="6"/>
        <v>0.85675262716597445</v>
      </c>
      <c r="L62" s="17">
        <f t="shared" si="7"/>
        <v>0.9515718876017587</v>
      </c>
      <c r="N62" s="17">
        <f t="shared" si="8"/>
        <v>0.84978442666219678</v>
      </c>
    </row>
    <row r="63" spans="1:14" x14ac:dyDescent="0.2">
      <c r="A63" s="24" t="s">
        <v>24</v>
      </c>
      <c r="B63" s="7">
        <v>62609.669856018001</v>
      </c>
      <c r="C63" s="25">
        <v>0.92515257429808795</v>
      </c>
      <c r="E63" s="16">
        <f t="shared" si="13"/>
        <v>700.67979334420704</v>
      </c>
      <c r="F63" s="22">
        <f t="shared" si="14"/>
        <v>700.47614681484515</v>
      </c>
      <c r="H63" s="42">
        <f t="shared" si="12"/>
        <v>700.64025266445185</v>
      </c>
      <c r="I63" s="37">
        <v>693.54348670503703</v>
      </c>
      <c r="J63" s="43">
        <v>3.1687282730114702E-3</v>
      </c>
      <c r="K63" s="17">
        <f t="shared" si="6"/>
        <v>1.0184832939322774</v>
      </c>
      <c r="L63" s="17">
        <f t="shared" si="7"/>
        <v>0.98970680748114148</v>
      </c>
      <c r="N63" s="17">
        <f t="shared" si="8"/>
        <v>1.0128972653835859</v>
      </c>
    </row>
    <row r="64" spans="1:14" x14ac:dyDescent="0.2">
      <c r="A64" s="24" t="s">
        <v>24</v>
      </c>
      <c r="B64" s="7">
        <v>59067.120698602397</v>
      </c>
      <c r="C64" s="25">
        <v>0.94994839103612105</v>
      </c>
      <c r="E64" s="16">
        <f t="shared" si="13"/>
        <v>643.62214033222381</v>
      </c>
      <c r="F64" s="22">
        <f t="shared" si="14"/>
        <v>643.27817339890066</v>
      </c>
      <c r="H64" s="42">
        <f t="shared" si="12"/>
        <v>643.58756054760033</v>
      </c>
      <c r="I64" s="37">
        <v>636.74273889025096</v>
      </c>
      <c r="J64" s="43">
        <v>6.9800951337691004E-3</v>
      </c>
      <c r="K64" s="17">
        <f t="shared" si="6"/>
        <v>1.0688571773528253</v>
      </c>
      <c r="L64" s="17">
        <f t="shared" si="7"/>
        <v>1.0159577580750749</v>
      </c>
      <c r="N64" s="17">
        <f t="shared" si="8"/>
        <v>1.0635416339503792</v>
      </c>
    </row>
    <row r="65" spans="1:14" x14ac:dyDescent="0.2">
      <c r="A65" s="24" t="s">
        <v>25</v>
      </c>
      <c r="B65" s="7">
        <v>183868.227251909</v>
      </c>
      <c r="C65" s="25">
        <v>0.94365202256338698</v>
      </c>
      <c r="E65" s="16">
        <f t="shared" si="13"/>
        <v>2022.80550903617</v>
      </c>
      <c r="F65" s="22">
        <f t="shared" si="14"/>
        <v>2027.6241189465236</v>
      </c>
      <c r="H65" s="42">
        <f t="shared" si="12"/>
        <v>2022.6313668444077</v>
      </c>
      <c r="I65" s="37">
        <v>2009.71209223763</v>
      </c>
      <c r="J65" s="43">
        <v>5.3057064300659103E-3</v>
      </c>
      <c r="K65" s="17">
        <f t="shared" si="6"/>
        <v>0.64728995150792912</v>
      </c>
      <c r="L65" s="17">
        <f t="shared" si="7"/>
        <v>0.88339976534703624</v>
      </c>
      <c r="N65" s="17">
        <f t="shared" si="8"/>
        <v>0.63873599601758713</v>
      </c>
    </row>
    <row r="66" spans="1:14" x14ac:dyDescent="0.2">
      <c r="A66" s="24" t="s">
        <v>25</v>
      </c>
      <c r="B66" s="7">
        <v>262596.12495570898</v>
      </c>
      <c r="C66" s="25">
        <v>0.95236855535125997</v>
      </c>
      <c r="E66" s="16">
        <f t="shared" si="13"/>
        <v>2863.6706572513608</v>
      </c>
      <c r="F66" s="22">
        <f t="shared" si="14"/>
        <v>2871.6734851191536</v>
      </c>
      <c r="H66" s="42">
        <f t="shared" si="12"/>
        <v>2863.4110191678419</v>
      </c>
      <c r="I66" s="37">
        <v>2846.71614113547</v>
      </c>
      <c r="J66" s="43">
        <v>5.0132516521226196E-3</v>
      </c>
      <c r="K66" s="17">
        <f t="shared" si="6"/>
        <v>0.59205537735140013</v>
      </c>
      <c r="L66" s="17">
        <f t="shared" si="7"/>
        <v>0.8690871059335592</v>
      </c>
      <c r="N66" s="17">
        <f t="shared" si="8"/>
        <v>0.58304162136050763</v>
      </c>
    </row>
    <row r="67" spans="1:14" x14ac:dyDescent="0.2">
      <c r="A67" s="24" t="s">
        <v>26</v>
      </c>
      <c r="B67" s="7">
        <v>13813.926797087501</v>
      </c>
      <c r="C67" s="25">
        <v>1.01126871453652</v>
      </c>
      <c r="E67" s="16">
        <f t="shared" si="13"/>
        <v>139.39052126326931</v>
      </c>
      <c r="F67" s="22">
        <f t="shared" si="14"/>
        <v>137.31983712147894</v>
      </c>
      <c r="H67" s="42">
        <f t="shared" si="12"/>
        <v>139.40518224455784</v>
      </c>
      <c r="I67" s="37">
        <v>134.59053939130999</v>
      </c>
      <c r="J67" s="43">
        <v>1.0786980949056999E-2</v>
      </c>
      <c r="K67" s="17">
        <f t="shared" si="6"/>
        <v>3.4435496965346033</v>
      </c>
      <c r="L67" s="17">
        <f t="shared" si="7"/>
        <v>1.9875480392206555</v>
      </c>
      <c r="N67" s="17">
        <f t="shared" si="8"/>
        <v>3.4537043571318122</v>
      </c>
    </row>
    <row r="68" spans="1:14" x14ac:dyDescent="0.2">
      <c r="A68" s="24" t="s">
        <v>26</v>
      </c>
      <c r="B68" s="7">
        <v>12868.545570460899</v>
      </c>
      <c r="C68" s="25">
        <v>0.98311829616636204</v>
      </c>
      <c r="E68" s="16">
        <f t="shared" si="13"/>
        <v>133.38497390100378</v>
      </c>
      <c r="F68" s="22">
        <f t="shared" si="14"/>
        <v>131.21744436563631</v>
      </c>
      <c r="H68" s="42">
        <f t="shared" si="12"/>
        <v>133.40106776376371</v>
      </c>
      <c r="I68" s="37">
        <v>128.671097749507</v>
      </c>
      <c r="J68" s="43">
        <v>1.08064873846945E-2</v>
      </c>
      <c r="K68" s="17">
        <f t="shared" si="6"/>
        <v>3.5340383655173468</v>
      </c>
      <c r="L68" s="17">
        <f t="shared" si="7"/>
        <v>1.9405549532224882</v>
      </c>
      <c r="N68" s="17">
        <f t="shared" si="8"/>
        <v>3.5456762779686954</v>
      </c>
    </row>
    <row r="69" spans="1:14" x14ac:dyDescent="0.2">
      <c r="A69" s="24" t="s">
        <v>27</v>
      </c>
      <c r="B69" s="7">
        <v>35434.1480303875</v>
      </c>
      <c r="C69" s="25">
        <v>0.91374543438173605</v>
      </c>
      <c r="E69" s="16">
        <f t="shared" si="13"/>
        <v>400.24538028973325</v>
      </c>
      <c r="F69" s="22">
        <f t="shared" si="14"/>
        <v>398.8777276820033</v>
      </c>
      <c r="H69" s="42">
        <f t="shared" si="12"/>
        <v>400.23667855399231</v>
      </c>
      <c r="I69" s="37">
        <v>394.51440649793801</v>
      </c>
      <c r="J69" s="43">
        <v>1.04205999272223E-2</v>
      </c>
      <c r="K69" s="17">
        <f t="shared" si="6"/>
        <v>1.4318650692849104</v>
      </c>
      <c r="L69" s="17">
        <f t="shared" si="7"/>
        <v>1.0938994286348986</v>
      </c>
      <c r="N69" s="17">
        <f t="shared" si="8"/>
        <v>1.4297220526434984</v>
      </c>
    </row>
    <row r="70" spans="1:14" x14ac:dyDescent="0.2">
      <c r="A70" s="24" t="s">
        <v>27</v>
      </c>
      <c r="B70" s="7">
        <v>32986.044532518899</v>
      </c>
      <c r="C70" s="25">
        <v>0.91604508164843002</v>
      </c>
      <c r="E70" s="16">
        <f t="shared" si="13"/>
        <v>371.45793142898577</v>
      </c>
      <c r="F70" s="22">
        <f t="shared" si="14"/>
        <v>369.98934453384265</v>
      </c>
      <c r="H70" s="42">
        <f t="shared" si="12"/>
        <v>371.45206704272624</v>
      </c>
      <c r="I70" s="37">
        <v>365.86790464991799</v>
      </c>
      <c r="J70" s="43">
        <v>2.6512400298761402E-3</v>
      </c>
      <c r="K70" s="17">
        <f t="shared" si="6"/>
        <v>1.5048882541188817</v>
      </c>
      <c r="L70" s="17">
        <f t="shared" si="7"/>
        <v>1.1139347510446242</v>
      </c>
      <c r="N70" s="17">
        <f t="shared" si="8"/>
        <v>1.5033332395390744</v>
      </c>
    </row>
    <row r="71" spans="1:14" x14ac:dyDescent="0.2">
      <c r="A71" s="24" t="s">
        <v>28</v>
      </c>
      <c r="B71" s="7">
        <v>23755.243199004599</v>
      </c>
      <c r="C71" s="25">
        <v>0.97019227614502201</v>
      </c>
      <c r="E71" s="16">
        <f t="shared" si="13"/>
        <v>251.81601738803514</v>
      </c>
      <c r="F71" s="22">
        <f t="shared" si="14"/>
        <v>250.05782866536163</v>
      </c>
      <c r="H71" s="42">
        <f t="shared" si="12"/>
        <v>251.82050392487216</v>
      </c>
      <c r="I71" s="37">
        <v>246.59515320917399</v>
      </c>
      <c r="J71" s="43">
        <v>8.3509259739961098E-3</v>
      </c>
      <c r="K71" s="17">
        <f t="shared" si="6"/>
        <v>2.0732851837681494</v>
      </c>
      <c r="L71" s="17">
        <f t="shared" si="7"/>
        <v>1.3847498695277949</v>
      </c>
      <c r="N71" s="17">
        <f t="shared" si="8"/>
        <v>2.075029886071988</v>
      </c>
    </row>
    <row r="72" spans="1:14" x14ac:dyDescent="0.2">
      <c r="A72" s="24" t="s">
        <v>28</v>
      </c>
      <c r="B72" s="7">
        <v>22419.8299793808</v>
      </c>
      <c r="C72" s="25">
        <v>0.95144993788020205</v>
      </c>
      <c r="E72" s="16">
        <f t="shared" si="13"/>
        <v>242.18527650478578</v>
      </c>
      <c r="F72" s="22">
        <f t="shared" si="14"/>
        <v>240.33764083605956</v>
      </c>
      <c r="H72" s="42">
        <f t="shared" si="12"/>
        <v>242.19133009666947</v>
      </c>
      <c r="I72" s="37">
        <v>237.071531604044</v>
      </c>
      <c r="J72" s="43">
        <v>3.0987518578960501E-3</v>
      </c>
      <c r="K72" s="17">
        <f t="shared" si="6"/>
        <v>2.1115011509135684</v>
      </c>
      <c r="L72" s="17">
        <f t="shared" si="7"/>
        <v>1.3589670018619699</v>
      </c>
      <c r="N72" s="17">
        <f t="shared" si="8"/>
        <v>2.1139478818593176</v>
      </c>
    </row>
    <row r="73" spans="1:14" x14ac:dyDescent="0.2">
      <c r="A73" s="26" t="s">
        <v>29</v>
      </c>
      <c r="B73" s="44">
        <v>514</v>
      </c>
      <c r="C73" s="25"/>
      <c r="E73" s="16"/>
      <c r="F73" s="22"/>
      <c r="H73" s="42"/>
      <c r="J73" s="6"/>
      <c r="K73" s="17"/>
      <c r="L73" s="17"/>
      <c r="N73" s="17"/>
    </row>
    <row r="74" spans="1:14" x14ac:dyDescent="0.2">
      <c r="A74" s="24" t="s">
        <v>30</v>
      </c>
      <c r="B74" s="7">
        <v>365715.99790437898</v>
      </c>
      <c r="C74" s="25">
        <v>0.94473388902913502</v>
      </c>
      <c r="E74" s="16">
        <f>((B74-$B$73+251.42)/4809.6)/(C74*100%)*$B$114</f>
        <v>4021.4583858818846</v>
      </c>
      <c r="F74" s="22">
        <f>((B74-$B$73)/4508.9)/(C74*100%)*$B$114</f>
        <v>4286.6996074805866</v>
      </c>
      <c r="H74" s="42">
        <f t="shared" ref="H74:H85" si="15">TREND($C$2:$C$7,$E$2:$E$7,B74)/(C74*100%)*$B$114</f>
        <v>3576.6046189585354</v>
      </c>
      <c r="I74" s="37">
        <v>3999.57500176655</v>
      </c>
      <c r="J74" s="43">
        <v>7.6492797395152296E-3</v>
      </c>
      <c r="K74" s="17">
        <f t="shared" si="6"/>
        <v>0.54416537523204056</v>
      </c>
      <c r="L74" s="17">
        <f t="shared" si="7"/>
        <v>6.6980341989204106</v>
      </c>
      <c r="N74" s="17">
        <f t="shared" si="8"/>
        <v>-11.826031330552226</v>
      </c>
    </row>
    <row r="75" spans="1:14" x14ac:dyDescent="0.2">
      <c r="A75" s="24" t="s">
        <v>30</v>
      </c>
      <c r="B75" s="7">
        <v>376930.37942372699</v>
      </c>
      <c r="C75" s="25">
        <v>0.906479681876878</v>
      </c>
      <c r="E75" s="16">
        <f t="shared" ref="E75:E85" si="16">((B75-$B$73+251.42)/4809.6)/(C75*100%)*$B$114</f>
        <v>4319.7783759478316</v>
      </c>
      <c r="F75" s="22">
        <f t="shared" ref="F75:F85" si="17">((B75-$B$73)/4508.9)/(C75*100%)*$B$114</f>
        <v>4604.7901136420487</v>
      </c>
      <c r="H75" s="42">
        <f t="shared" si="15"/>
        <v>3841.7640623601956</v>
      </c>
      <c r="I75" s="37">
        <v>4296.2999615220997</v>
      </c>
      <c r="J75" s="43">
        <v>7.7004700558968003E-3</v>
      </c>
      <c r="K75" s="17">
        <f t="shared" si="6"/>
        <v>0.54350969847105546</v>
      </c>
      <c r="L75" s="17">
        <f t="shared" si="7"/>
        <v>6.6993314463133231</v>
      </c>
      <c r="N75" s="17">
        <f t="shared" si="8"/>
        <v>-11.831437115444814</v>
      </c>
    </row>
    <row r="76" spans="1:14" x14ac:dyDescent="0.2">
      <c r="A76" s="24" t="s">
        <v>31</v>
      </c>
      <c r="B76" s="7">
        <v>67242.907861300904</v>
      </c>
      <c r="C76" s="25">
        <v>0.94450543372056495</v>
      </c>
      <c r="E76" s="16">
        <f t="shared" si="16"/>
        <v>737.23144989397383</v>
      </c>
      <c r="F76" s="22">
        <f t="shared" si="17"/>
        <v>783.44580059770408</v>
      </c>
      <c r="H76" s="42">
        <f t="shared" si="15"/>
        <v>659.77575780244081</v>
      </c>
      <c r="I76" s="37">
        <v>729.95385656813198</v>
      </c>
      <c r="J76" s="43">
        <v>4.7909468265205698E-3</v>
      </c>
      <c r="K76" s="17">
        <f t="shared" si="6"/>
        <v>0.98715177260662301</v>
      </c>
      <c r="L76" s="17">
        <f t="shared" si="7"/>
        <v>6.8277785124079031</v>
      </c>
      <c r="N76" s="17">
        <f t="shared" si="8"/>
        <v>-10.636659188485197</v>
      </c>
    </row>
    <row r="77" spans="1:14" x14ac:dyDescent="0.2">
      <c r="A77" s="24" t="s">
        <v>31</v>
      </c>
      <c r="B77" s="7">
        <v>64948.848358752599</v>
      </c>
      <c r="C77" s="25">
        <v>0.93032124842759001</v>
      </c>
      <c r="E77" s="16">
        <f t="shared" si="16"/>
        <v>722.83671455519254</v>
      </c>
      <c r="F77" s="22">
        <f t="shared" si="17"/>
        <v>768.0460701363379</v>
      </c>
      <c r="H77" s="42">
        <f t="shared" si="15"/>
        <v>647.06779964521093</v>
      </c>
      <c r="I77" s="37">
        <v>715.67957049141205</v>
      </c>
      <c r="J77" s="43">
        <v>1.0274629293560401E-3</v>
      </c>
      <c r="K77" s="17">
        <f t="shared" si="6"/>
        <v>0.99014672603961174</v>
      </c>
      <c r="L77" s="17">
        <f t="shared" si="7"/>
        <v>6.8181456400955369</v>
      </c>
      <c r="N77" s="17">
        <f t="shared" si="8"/>
        <v>-10.603490219080783</v>
      </c>
    </row>
    <row r="78" spans="1:14" x14ac:dyDescent="0.2">
      <c r="A78" s="24" t="s">
        <v>32</v>
      </c>
      <c r="B78" s="7">
        <v>28444.2969716972</v>
      </c>
      <c r="C78" s="25">
        <v>0.90751769135969096</v>
      </c>
      <c r="E78" s="16">
        <f t="shared" si="16"/>
        <v>322.82963447291615</v>
      </c>
      <c r="F78" s="22">
        <f t="shared" si="17"/>
        <v>341.28708518793746</v>
      </c>
      <c r="H78" s="42">
        <f t="shared" si="15"/>
        <v>291.93630834461663</v>
      </c>
      <c r="I78" s="37">
        <v>317.55191734897102</v>
      </c>
      <c r="J78" s="43">
        <v>9.7691371966940992E-3</v>
      </c>
      <c r="K78" s="17">
        <f t="shared" si="6"/>
        <v>1.6348304369770972</v>
      </c>
      <c r="L78" s="17">
        <f t="shared" si="7"/>
        <v>6.9546047503954469</v>
      </c>
      <c r="N78" s="17">
        <f t="shared" si="8"/>
        <v>-8.7743827239592349</v>
      </c>
    </row>
    <row r="79" spans="1:14" x14ac:dyDescent="0.2">
      <c r="A79" s="24" t="s">
        <v>32</v>
      </c>
      <c r="B79" s="7">
        <v>27075.3847495767</v>
      </c>
      <c r="C79" s="25">
        <v>0.90819078395528097</v>
      </c>
      <c r="E79" s="16">
        <f t="shared" si="16"/>
        <v>306.9207145354498</v>
      </c>
      <c r="F79" s="22">
        <f t="shared" si="17"/>
        <v>324.31947112092672</v>
      </c>
      <c r="H79" s="42">
        <f t="shared" si="15"/>
        <v>277.80320351815703</v>
      </c>
      <c r="I79" s="37">
        <v>301.73231905426201</v>
      </c>
      <c r="J79" s="43">
        <v>1.2930138129264501E-3</v>
      </c>
      <c r="K79" s="17">
        <f t="shared" si="6"/>
        <v>1.6904676795897728</v>
      </c>
      <c r="L79" s="17">
        <f t="shared" si="7"/>
        <v>6.964476103947149</v>
      </c>
      <c r="N79" s="17">
        <f t="shared" si="8"/>
        <v>-8.6136931587043222</v>
      </c>
    </row>
    <row r="80" spans="1:14" x14ac:dyDescent="0.2">
      <c r="A80" s="24" t="s">
        <v>33</v>
      </c>
      <c r="B80" s="7">
        <v>60560.111787733003</v>
      </c>
      <c r="C80" s="25">
        <v>0.90554331641515495</v>
      </c>
      <c r="E80" s="16">
        <f t="shared" si="16"/>
        <v>692.23148898119712</v>
      </c>
      <c r="F80" s="22">
        <f t="shared" si="17"/>
        <v>735.31777060634056</v>
      </c>
      <c r="H80" s="42">
        <f t="shared" si="15"/>
        <v>620.02564055397238</v>
      </c>
      <c r="I80" s="37">
        <v>685.29547994487405</v>
      </c>
      <c r="J80" s="43">
        <v>5.2537437201573998E-3</v>
      </c>
      <c r="K80" s="17">
        <f t="shared" si="6"/>
        <v>1.0019782611350507</v>
      </c>
      <c r="L80" s="17">
        <f t="shared" si="7"/>
        <v>6.802812696913108</v>
      </c>
      <c r="N80" s="17">
        <f t="shared" si="8"/>
        <v>-10.52695810008521</v>
      </c>
    </row>
    <row r="81" spans="1:14" x14ac:dyDescent="0.2">
      <c r="A81" s="24" t="s">
        <v>33</v>
      </c>
      <c r="B81" s="7">
        <v>62164.979691019602</v>
      </c>
      <c r="C81" s="25">
        <v>0.91546456886587502</v>
      </c>
      <c r="E81" s="16">
        <f t="shared" si="16"/>
        <v>702.954135119483</v>
      </c>
      <c r="F81" s="22">
        <f t="shared" si="17"/>
        <v>746.78888031561735</v>
      </c>
      <c r="H81" s="42">
        <f t="shared" si="15"/>
        <v>629.4920736818832</v>
      </c>
      <c r="I81" s="37">
        <v>695.94790277786603</v>
      </c>
      <c r="J81" s="43">
        <v>4.5468939643106502E-3</v>
      </c>
      <c r="K81" s="17">
        <f t="shared" si="6"/>
        <v>0.99668413507889397</v>
      </c>
      <c r="L81" s="17">
        <f t="shared" si="7"/>
        <v>6.8079451740449315</v>
      </c>
      <c r="N81" s="17">
        <f t="shared" si="8"/>
        <v>-10.557055739762447</v>
      </c>
    </row>
    <row r="82" spans="1:14" x14ac:dyDescent="0.2">
      <c r="A82" s="24" t="s">
        <v>34</v>
      </c>
      <c r="B82" s="7">
        <v>63466.684190178203</v>
      </c>
      <c r="C82" s="25">
        <v>0.89249326723724098</v>
      </c>
      <c r="E82" s="16">
        <f t="shared" si="16"/>
        <v>736.20943206164714</v>
      </c>
      <c r="F82" s="22">
        <f t="shared" si="17"/>
        <v>782.18359780144374</v>
      </c>
      <c r="H82" s="42">
        <f t="shared" si="15"/>
        <v>659.16040307485082</v>
      </c>
      <c r="I82" s="37">
        <v>729.11051580923697</v>
      </c>
      <c r="J82" s="43">
        <v>5.1333398097108199E-3</v>
      </c>
      <c r="K82" s="17">
        <f t="shared" si="6"/>
        <v>0.96425228246950212</v>
      </c>
      <c r="L82" s="17">
        <f t="shared" si="7"/>
        <v>6.7852460907367913</v>
      </c>
      <c r="N82" s="17">
        <f t="shared" si="8"/>
        <v>-10.612001632392193</v>
      </c>
    </row>
    <row r="83" spans="1:14" x14ac:dyDescent="0.2">
      <c r="A83" s="24" t="s">
        <v>34</v>
      </c>
      <c r="B83" s="7">
        <v>61765.505948608203</v>
      </c>
      <c r="C83" s="25">
        <v>0.89966468010433098</v>
      </c>
      <c r="E83" s="16">
        <f t="shared" si="16"/>
        <v>710.68336828208828</v>
      </c>
      <c r="F83" s="22">
        <f t="shared" si="17"/>
        <v>754.9800936570166</v>
      </c>
      <c r="H83" s="42">
        <f t="shared" si="15"/>
        <v>636.44754971017483</v>
      </c>
      <c r="I83" s="37">
        <v>703.80047110313501</v>
      </c>
      <c r="J83" s="43">
        <v>9.4933895141949606E-3</v>
      </c>
      <c r="K83" s="17">
        <f t="shared" si="6"/>
        <v>0.96848997544309157</v>
      </c>
      <c r="L83" s="17">
        <f t="shared" si="7"/>
        <v>6.7789366877177883</v>
      </c>
      <c r="N83" s="17">
        <f t="shared" si="8"/>
        <v>-10.582635037817539</v>
      </c>
    </row>
    <row r="84" spans="1:14" x14ac:dyDescent="0.2">
      <c r="A84" s="24" t="s">
        <v>35</v>
      </c>
      <c r="B84" s="7">
        <v>53307.532423314799</v>
      </c>
      <c r="C84" s="25">
        <v>0.90259281203104003</v>
      </c>
      <c r="E84" s="16">
        <f t="shared" si="16"/>
        <v>610.96064915612681</v>
      </c>
      <c r="F84" s="22">
        <f t="shared" si="17"/>
        <v>648.61688762494805</v>
      </c>
      <c r="H84" s="42">
        <f t="shared" si="15"/>
        <v>547.86343508525351</v>
      </c>
      <c r="I84" s="37">
        <v>604.43074457765499</v>
      </c>
      <c r="J84" s="43">
        <v>1.31304855848761E-2</v>
      </c>
      <c r="K84" s="17">
        <f t="shared" si="6"/>
        <v>1.0687929881394354</v>
      </c>
      <c r="L84" s="17">
        <f t="shared" si="7"/>
        <v>6.8123639532560105</v>
      </c>
      <c r="N84" s="17">
        <f t="shared" si="8"/>
        <v>-10.325074803285418</v>
      </c>
    </row>
    <row r="85" spans="1:14" x14ac:dyDescent="0.2">
      <c r="A85" s="24" t="s">
        <v>35</v>
      </c>
      <c r="B85" s="7">
        <v>53714.055530970298</v>
      </c>
      <c r="C85" s="25">
        <v>0.90353029329404599</v>
      </c>
      <c r="E85" s="16">
        <f t="shared" si="16"/>
        <v>615.00412090697603</v>
      </c>
      <c r="F85" s="22">
        <f t="shared" si="17"/>
        <v>652.93322480933011</v>
      </c>
      <c r="H85" s="42">
        <f t="shared" si="15"/>
        <v>551.44912906840409</v>
      </c>
      <c r="I85" s="37">
        <v>608.458259762995</v>
      </c>
      <c r="J85" s="43">
        <v>7.9771951270178106E-3</v>
      </c>
      <c r="K85" s="17">
        <f t="shared" si="6"/>
        <v>1.0643605337680668</v>
      </c>
      <c r="L85" s="17">
        <f t="shared" si="7"/>
        <v>6.8115640859481061</v>
      </c>
      <c r="N85" s="17">
        <f t="shared" si="8"/>
        <v>-10.338057980234709</v>
      </c>
    </row>
    <row r="86" spans="1:14" x14ac:dyDescent="0.2">
      <c r="A86" s="24"/>
      <c r="B86" s="2"/>
      <c r="C86" s="25"/>
      <c r="E86" s="16"/>
      <c r="F86" s="22"/>
      <c r="H86" s="42"/>
      <c r="J86" s="6"/>
      <c r="K86" s="17"/>
      <c r="L86" s="17"/>
      <c r="N86" s="17"/>
    </row>
    <row r="87" spans="1:14" x14ac:dyDescent="0.2">
      <c r="A87" s="26" t="s">
        <v>36</v>
      </c>
      <c r="B87" s="27">
        <v>2425.2059851753002</v>
      </c>
      <c r="C87" s="25"/>
      <c r="E87" s="16"/>
      <c r="F87" s="22"/>
      <c r="H87" s="42"/>
      <c r="J87" s="6"/>
      <c r="K87" s="17"/>
      <c r="L87" s="17"/>
      <c r="N87" s="17"/>
    </row>
    <row r="88" spans="1:14" x14ac:dyDescent="0.2">
      <c r="A88" s="24" t="s">
        <v>37</v>
      </c>
      <c r="B88" s="7">
        <v>14.7500082162548</v>
      </c>
      <c r="C88" s="30">
        <v>1.08688980550278E-4</v>
      </c>
      <c r="E88" s="16">
        <f>((B88-$D$8+251.42)/4809.6)/(C88*100%)*$B$114</f>
        <v>-42834.007228879622</v>
      </c>
      <c r="F88" s="22">
        <f>((B88-$B$87)/4508.9)/(C88*100%)*$B$114</f>
        <v>-245930.89470668288</v>
      </c>
      <c r="H88" s="42">
        <f t="shared" ref="H88:H99" si="18">TREND($C$14:$C$19,$E$14:$E$19,B88-$B$87)/(C88*100%)*$B$114</f>
        <v>-238002.56571928048</v>
      </c>
      <c r="I88" s="40">
        <v>1563.4974937853799</v>
      </c>
      <c r="J88" s="43"/>
      <c r="K88" s="17"/>
      <c r="L88" s="17"/>
      <c r="N88" s="17"/>
    </row>
    <row r="89" spans="1:14" x14ac:dyDescent="0.2">
      <c r="A89" s="24" t="s">
        <v>37</v>
      </c>
      <c r="B89" s="7">
        <v>20033.043338321299</v>
      </c>
      <c r="C89" s="25">
        <v>0.98753644112573302</v>
      </c>
      <c r="E89" s="16">
        <f>((B89-$B$87+73.638)/4514.2)/(C89*100%)*$B$114</f>
        <v>198.3145493432516</v>
      </c>
      <c r="F89" s="22">
        <f t="shared" ref="F89:F112" si="19">((B89-$B$87)/4508.9)/(C89*100%)*$B$114</f>
        <v>197.72076779302463</v>
      </c>
      <c r="H89" s="42">
        <f t="shared" si="18"/>
        <v>198.32073839449248</v>
      </c>
      <c r="I89" s="40">
        <v>219.23597529103799</v>
      </c>
      <c r="J89" s="43">
        <v>2.2059396980320799E-2</v>
      </c>
      <c r="K89" s="17">
        <f t="shared" si="6"/>
        <v>-10.549617270679761</v>
      </c>
      <c r="L89" s="17">
        <f t="shared" si="7"/>
        <v>-10.881612355731704</v>
      </c>
      <c r="N89" s="17">
        <f t="shared" si="8"/>
        <v>-10.546167317581109</v>
      </c>
    </row>
    <row r="90" spans="1:14" x14ac:dyDescent="0.2">
      <c r="A90" s="24" t="s">
        <v>38</v>
      </c>
      <c r="B90" s="7">
        <v>98796.985681189806</v>
      </c>
      <c r="C90" s="25">
        <v>0.907799901406106</v>
      </c>
      <c r="E90" s="16">
        <f t="shared" ref="E90:E99" si="20">((B90-$B$87+73.638)/4514.2)/(C90*100%)*$B$114</f>
        <v>1176.740429872418</v>
      </c>
      <c r="F90" s="22">
        <f t="shared" si="19"/>
        <v>1177.2241120414201</v>
      </c>
      <c r="H90" s="42">
        <f t="shared" si="18"/>
        <v>1176.709884440764</v>
      </c>
      <c r="I90" s="40">
        <v>1208.39452410017</v>
      </c>
      <c r="J90" s="43">
        <v>1.33866498379754E-2</v>
      </c>
      <c r="K90" s="17">
        <f t="shared" si="6"/>
        <v>-2.6899810208088013</v>
      </c>
      <c r="L90" s="17">
        <f t="shared" si="7"/>
        <v>-2.6477891286729829</v>
      </c>
      <c r="N90" s="17">
        <f t="shared" si="8"/>
        <v>-2.6926466819358978</v>
      </c>
    </row>
    <row r="91" spans="1:14" x14ac:dyDescent="0.2">
      <c r="A91" s="24" t="s">
        <v>38</v>
      </c>
      <c r="B91" s="7">
        <v>105346.81777712599</v>
      </c>
      <c r="C91" s="25">
        <v>0.89331258588421203</v>
      </c>
      <c r="E91" s="16">
        <f t="shared" si="20"/>
        <v>1277.0354413192679</v>
      </c>
      <c r="F91" s="22">
        <f t="shared" si="19"/>
        <v>1277.6224275608115</v>
      </c>
      <c r="H91" s="42">
        <f t="shared" si="18"/>
        <v>1277.0012502800557</v>
      </c>
      <c r="I91" s="40">
        <v>1309.78387733659</v>
      </c>
      <c r="J91" s="43">
        <v>1.1663547869323601E-2</v>
      </c>
      <c r="K91" s="17">
        <f t="shared" si="6"/>
        <v>-2.5644108971236221</v>
      </c>
      <c r="L91" s="17">
        <f t="shared" si="7"/>
        <v>-2.5172890739856513</v>
      </c>
      <c r="N91" s="17">
        <f t="shared" si="8"/>
        <v>-2.5671570054723674</v>
      </c>
    </row>
    <row r="92" spans="1:14" x14ac:dyDescent="0.2">
      <c r="A92" s="24" t="s">
        <v>39</v>
      </c>
      <c r="B92" s="7">
        <v>53821.708845974397</v>
      </c>
      <c r="C92" s="25">
        <v>0.87172987700180304</v>
      </c>
      <c r="E92" s="16">
        <f t="shared" si="20"/>
        <v>653.97723957105541</v>
      </c>
      <c r="F92" s="22">
        <f t="shared" si="19"/>
        <v>653.80921823562471</v>
      </c>
      <c r="H92" s="42">
        <f t="shared" si="18"/>
        <v>653.96759731761892</v>
      </c>
      <c r="I92" s="40">
        <v>682.31029900593705</v>
      </c>
      <c r="J92" s="43">
        <v>1.2349381573909799E-2</v>
      </c>
      <c r="K92" s="17">
        <f t="shared" si="6"/>
        <v>-4.3324228613009979</v>
      </c>
      <c r="L92" s="17">
        <f t="shared" si="7"/>
        <v>-4.3592350758261773</v>
      </c>
      <c r="N92" s="17">
        <f t="shared" si="8"/>
        <v>-4.3339611633009838</v>
      </c>
    </row>
    <row r="93" spans="1:14" x14ac:dyDescent="0.2">
      <c r="A93" s="24" t="s">
        <v>39</v>
      </c>
      <c r="B93" s="7">
        <v>54915.857173892298</v>
      </c>
      <c r="C93" s="25">
        <v>0.88427873921859002</v>
      </c>
      <c r="E93" s="16">
        <f t="shared" si="20"/>
        <v>658.40151343535092</v>
      </c>
      <c r="F93" s="22">
        <f t="shared" si="19"/>
        <v>658.25198598146642</v>
      </c>
      <c r="H93" s="42">
        <f t="shared" si="18"/>
        <v>658.3914763932022</v>
      </c>
      <c r="I93" s="40">
        <v>686.25593884835303</v>
      </c>
      <c r="J93" s="43">
        <v>3.4012726441373601E-3</v>
      </c>
      <c r="K93" s="17">
        <f t="shared" si="6"/>
        <v>-4.2306138191672318</v>
      </c>
      <c r="L93" s="17">
        <f t="shared" si="7"/>
        <v>-4.2542906764090134</v>
      </c>
      <c r="N93" s="17">
        <f t="shared" si="8"/>
        <v>-4.2322027933590363</v>
      </c>
    </row>
    <row r="94" spans="1:14" x14ac:dyDescent="0.2">
      <c r="A94" s="24" t="s">
        <v>40</v>
      </c>
      <c r="B94" s="7">
        <v>10424.302536993901</v>
      </c>
      <c r="C94" s="25">
        <v>0.93897364143231099</v>
      </c>
      <c r="E94" s="16">
        <f t="shared" si="20"/>
        <v>95.226205460573951</v>
      </c>
      <c r="F94" s="22">
        <f t="shared" si="19"/>
        <v>94.468482414039556</v>
      </c>
      <c r="H94" s="42">
        <f t="shared" si="18"/>
        <v>95.237111330556559</v>
      </c>
      <c r="I94" s="40">
        <v>116.689779969979</v>
      </c>
      <c r="J94" s="43">
        <v>1.4725605892497299E-2</v>
      </c>
      <c r="K94" s="17">
        <f t="shared" si="6"/>
        <v>-22.539567134481175</v>
      </c>
      <c r="L94" s="17">
        <f t="shared" si="7"/>
        <v>-23.52244578096132</v>
      </c>
      <c r="N94" s="17">
        <f t="shared" si="8"/>
        <v>-22.525534783350182</v>
      </c>
    </row>
    <row r="95" spans="1:14" x14ac:dyDescent="0.2">
      <c r="A95" s="24" t="s">
        <v>40</v>
      </c>
      <c r="B95" s="7">
        <v>10253.428758419301</v>
      </c>
      <c r="C95" s="25">
        <v>0.93949447988892598</v>
      </c>
      <c r="E95" s="16">
        <f t="shared" si="20"/>
        <v>93.158899300681497</v>
      </c>
      <c r="F95" s="22">
        <f t="shared" si="19"/>
        <v>92.39922835476257</v>
      </c>
      <c r="H95" s="42">
        <f t="shared" si="18"/>
        <v>93.169877269006889</v>
      </c>
      <c r="I95" s="40">
        <v>114.589470157633</v>
      </c>
      <c r="J95" s="43">
        <v>8.44483823741074E-3</v>
      </c>
      <c r="K95" s="17">
        <f t="shared" si="6"/>
        <v>-23.004319520544982</v>
      </c>
      <c r="L95" s="17">
        <f t="shared" si="7"/>
        <v>-24.015613764296845</v>
      </c>
      <c r="N95" s="17">
        <f t="shared" si="8"/>
        <v>-22.98982623620067</v>
      </c>
    </row>
    <row r="96" spans="1:14" x14ac:dyDescent="0.2">
      <c r="A96" s="24" t="s">
        <v>41</v>
      </c>
      <c r="B96" s="7">
        <v>25117.312763130401</v>
      </c>
      <c r="C96" s="25">
        <v>0.87782467246089801</v>
      </c>
      <c r="E96" s="16">
        <f t="shared" si="20"/>
        <v>287.25214973668278</v>
      </c>
      <c r="F96" s="22">
        <f t="shared" si="19"/>
        <v>286.65956415115647</v>
      </c>
      <c r="H96" s="42">
        <f t="shared" si="18"/>
        <v>287.25662380683627</v>
      </c>
      <c r="I96" s="40">
        <v>312.27774112883901</v>
      </c>
      <c r="J96" s="43">
        <v>1.01575158054984E-2</v>
      </c>
      <c r="K96" s="17">
        <f t="shared" si="6"/>
        <v>-8.712064092504292</v>
      </c>
      <c r="L96" s="17">
        <f t="shared" si="7"/>
        <v>-8.9367947842737863</v>
      </c>
      <c r="N96" s="17">
        <f t="shared" si="8"/>
        <v>-8.710370883850544</v>
      </c>
    </row>
    <row r="97" spans="1:14" x14ac:dyDescent="0.2">
      <c r="A97" s="24" t="s">
        <v>41</v>
      </c>
      <c r="B97" s="7">
        <v>25572.873369060799</v>
      </c>
      <c r="C97" s="25">
        <v>0.87808575447276604</v>
      </c>
      <c r="E97" s="16">
        <f t="shared" si="20"/>
        <v>292.9131750043685</v>
      </c>
      <c r="F97" s="22">
        <f t="shared" si="19"/>
        <v>292.32752027611946</v>
      </c>
      <c r="H97" s="42">
        <f t="shared" si="18"/>
        <v>292.9174248362408</v>
      </c>
      <c r="I97" s="40">
        <v>317.94839370641199</v>
      </c>
      <c r="J97" s="43">
        <v>4.3558980403481003E-3</v>
      </c>
      <c r="K97" s="17">
        <f t="shared" si="6"/>
        <v>-8.5469759773250615</v>
      </c>
      <c r="L97" s="17">
        <f t="shared" si="7"/>
        <v>-8.7644411330456364</v>
      </c>
      <c r="N97" s="17">
        <f t="shared" si="8"/>
        <v>-8.5454011089183552</v>
      </c>
    </row>
    <row r="98" spans="1:14" x14ac:dyDescent="0.2">
      <c r="A98" s="24" t="s">
        <v>42</v>
      </c>
      <c r="B98" s="7">
        <v>70861.392594952893</v>
      </c>
      <c r="C98" s="25">
        <v>0.86684957721525302</v>
      </c>
      <c r="E98" s="16">
        <f t="shared" si="20"/>
        <v>875.38343047674482</v>
      </c>
      <c r="F98" s="22">
        <f t="shared" si="19"/>
        <v>875.47038792859178</v>
      </c>
      <c r="H98" s="42">
        <f t="shared" si="18"/>
        <v>875.3652882660059</v>
      </c>
      <c r="I98" s="40">
        <v>905.69490225171103</v>
      </c>
      <c r="J98" s="43">
        <v>7.0398416336121001E-3</v>
      </c>
      <c r="K98" s="17">
        <f t="shared" si="6"/>
        <v>-3.4626508475786579</v>
      </c>
      <c r="L98" s="17">
        <f t="shared" si="7"/>
        <v>-3.4523742595831379</v>
      </c>
      <c r="N98" s="17">
        <f t="shared" si="8"/>
        <v>-3.4647951423553138</v>
      </c>
    </row>
    <row r="99" spans="1:14" x14ac:dyDescent="0.2">
      <c r="A99" s="24" t="s">
        <v>42</v>
      </c>
      <c r="B99" s="7">
        <v>70126.210563853805</v>
      </c>
      <c r="C99" s="25">
        <v>0.881959769538044</v>
      </c>
      <c r="E99" s="16">
        <f t="shared" si="20"/>
        <v>851.15306726218409</v>
      </c>
      <c r="F99" s="22">
        <f t="shared" si="19"/>
        <v>851.22768214427253</v>
      </c>
      <c r="H99" s="42">
        <f t="shared" si="18"/>
        <v>851.13559402121746</v>
      </c>
      <c r="I99" s="40">
        <v>880.69316335275505</v>
      </c>
      <c r="J99" s="43">
        <v>7.5412382047554899E-3</v>
      </c>
      <c r="K99" s="17">
        <f t="shared" si="6"/>
        <v>-3.470597384509162</v>
      </c>
      <c r="L99" s="17">
        <f t="shared" si="7"/>
        <v>-3.4615276061344673</v>
      </c>
      <c r="N99" s="17">
        <f t="shared" si="8"/>
        <v>-3.4727215662421003</v>
      </c>
    </row>
    <row r="100" spans="1:14" x14ac:dyDescent="0.2">
      <c r="A100" s="26" t="s">
        <v>43</v>
      </c>
      <c r="B100" s="27">
        <v>412</v>
      </c>
      <c r="C100" s="25"/>
      <c r="E100" s="16"/>
      <c r="F100" s="22"/>
      <c r="H100" s="42"/>
      <c r="I100" s="41"/>
      <c r="J100" s="6"/>
      <c r="K100" s="17"/>
      <c r="L100" s="17"/>
      <c r="N100" s="17"/>
    </row>
    <row r="101" spans="1:14" x14ac:dyDescent="0.2">
      <c r="A101" s="24" t="s">
        <v>44</v>
      </c>
      <c r="B101" s="7">
        <v>49687.7986676496</v>
      </c>
      <c r="C101" s="25">
        <v>0.89380870554267</v>
      </c>
      <c r="E101" s="16">
        <f>((B101-$B$100+73.638)/4514.2)/(C101*100%)*$B$114</f>
        <v>611.54275736989825</v>
      </c>
      <c r="F101" s="22">
        <f t="shared" si="19"/>
        <v>586.37083692289821</v>
      </c>
      <c r="H101" s="42">
        <f t="shared" ref="H101:H112" si="21">TREND($C$14:$C$19,$E$14:$E$19,B101-$B$87-$B$100)/(C101*100%)*$B$114</f>
        <v>581.48216291588483</v>
      </c>
      <c r="I101" s="40">
        <v>613.51332869558701</v>
      </c>
      <c r="J101" s="43">
        <v>6.8719680183155704E-3</v>
      </c>
      <c r="K101" s="17">
        <f t="shared" si="6"/>
        <v>-0.32222952556313089</v>
      </c>
      <c r="L101" s="17">
        <f t="shared" si="7"/>
        <v>-4.628895242322173</v>
      </c>
      <c r="N101" s="17">
        <f t="shared" si="8"/>
        <v>-5.5085379780317965</v>
      </c>
    </row>
    <row r="102" spans="1:14" x14ac:dyDescent="0.2">
      <c r="A102" s="24" t="s">
        <v>44</v>
      </c>
      <c r="B102" s="7">
        <v>55280.774956867601</v>
      </c>
      <c r="C102" s="25">
        <v>0.89563464011348504</v>
      </c>
      <c r="E102" s="16">
        <f t="shared" ref="E102:E112" si="22">((B102-$B$100+73.638)/4514.2)/(C102*100%)*$B$114</f>
        <v>679.46337884328602</v>
      </c>
      <c r="F102" s="22">
        <f t="shared" si="19"/>
        <v>654.4240795092046</v>
      </c>
      <c r="H102" s="42">
        <f t="shared" si="21"/>
        <v>649.46138601665155</v>
      </c>
      <c r="I102" s="40">
        <v>681.97355332319603</v>
      </c>
      <c r="J102" s="43">
        <v>7.4455024884929203E-3</v>
      </c>
      <c r="K102" s="17">
        <f t="shared" si="6"/>
        <v>-0.36943484491884249</v>
      </c>
      <c r="L102" s="17">
        <f t="shared" si="7"/>
        <v>-4.2097280153035541</v>
      </c>
      <c r="N102" s="17">
        <f t="shared" si="8"/>
        <v>-5.0060200662508549</v>
      </c>
    </row>
    <row r="103" spans="1:14" x14ac:dyDescent="0.2">
      <c r="A103" s="24" t="s">
        <v>45</v>
      </c>
      <c r="B103" s="7">
        <v>43062.309783621502</v>
      </c>
      <c r="C103" s="25">
        <v>0.85856797985988997</v>
      </c>
      <c r="E103" s="16">
        <f t="shared" si="22"/>
        <v>551.17041242179243</v>
      </c>
      <c r="F103" s="22">
        <f t="shared" si="19"/>
        <v>524.86481665480915</v>
      </c>
      <c r="H103" s="42">
        <f t="shared" si="21"/>
        <v>519.87926833638141</v>
      </c>
      <c r="I103" s="40">
        <v>552.847773103289</v>
      </c>
      <c r="J103" s="43">
        <v>5.1283290938851098E-3</v>
      </c>
      <c r="K103" s="17">
        <f t="shared" si="6"/>
        <v>-0.30432705451775632</v>
      </c>
      <c r="L103" s="17">
        <f t="shared" si="7"/>
        <v>-5.3314597512607946</v>
      </c>
      <c r="N103" s="17">
        <f t="shared" si="8"/>
        <v>-6.3415694325351808</v>
      </c>
    </row>
    <row r="104" spans="1:14" x14ac:dyDescent="0.2">
      <c r="A104" s="24" t="s">
        <v>45</v>
      </c>
      <c r="B104" s="7">
        <v>43413.623273187899</v>
      </c>
      <c r="C104" s="25">
        <v>0.875085490195186</v>
      </c>
      <c r="E104" s="16">
        <f t="shared" si="22"/>
        <v>545.21355593627936</v>
      </c>
      <c r="F104" s="22">
        <f t="shared" si="19"/>
        <v>519.40971329241916</v>
      </c>
      <c r="H104" s="42">
        <f t="shared" si="21"/>
        <v>514.51286942241086</v>
      </c>
      <c r="I104" s="40">
        <v>546.79637374129197</v>
      </c>
      <c r="J104" s="43">
        <v>1.0146178871189401E-2</v>
      </c>
      <c r="K104" s="17">
        <f t="shared" si="6"/>
        <v>-0.29031152798364701</v>
      </c>
      <c r="L104" s="17">
        <f t="shared" si="7"/>
        <v>-5.2726508087950634</v>
      </c>
      <c r="N104" s="17">
        <f t="shared" si="8"/>
        <v>-6.2745766408374664</v>
      </c>
    </row>
    <row r="105" spans="1:14" x14ac:dyDescent="0.2">
      <c r="A105" s="24" t="s">
        <v>46</v>
      </c>
      <c r="B105" s="7">
        <v>55442.1346750253</v>
      </c>
      <c r="C105" s="25">
        <v>0.87196228646687701</v>
      </c>
      <c r="E105" s="16">
        <f t="shared" si="22"/>
        <v>699.95938385924308</v>
      </c>
      <c r="F105" s="22">
        <f t="shared" si="19"/>
        <v>674.2427177004688</v>
      </c>
      <c r="H105" s="42">
        <f t="shared" si="21"/>
        <v>669.14280636102455</v>
      </c>
      <c r="I105" s="40">
        <v>702.84625263445901</v>
      </c>
      <c r="J105" s="43">
        <v>7.4227416088564402E-3</v>
      </c>
      <c r="K105" s="17">
        <f t="shared" si="6"/>
        <v>-0.41243375569865748</v>
      </c>
      <c r="L105" s="17">
        <f t="shared" si="7"/>
        <v>-4.2423201887213082</v>
      </c>
      <c r="N105" s="17">
        <f t="shared" si="8"/>
        <v>-5.0368091763135965</v>
      </c>
    </row>
    <row r="106" spans="1:14" x14ac:dyDescent="0.2">
      <c r="A106" s="24" t="s">
        <v>46</v>
      </c>
      <c r="B106" s="7">
        <v>56401.650375805002</v>
      </c>
      <c r="C106" s="25">
        <v>0.87422422712466996</v>
      </c>
      <c r="E106" s="16">
        <f t="shared" si="22"/>
        <v>710.30510780704503</v>
      </c>
      <c r="F106" s="22">
        <f t="shared" si="19"/>
        <v>684.66926987297154</v>
      </c>
      <c r="H106" s="42">
        <f t="shared" si="21"/>
        <v>679.56779259643611</v>
      </c>
      <c r="I106" s="40">
        <v>713.17688288760303</v>
      </c>
      <c r="J106" s="43">
        <v>5.7548951071291401E-3</v>
      </c>
      <c r="K106" s="17">
        <f t="shared" si="6"/>
        <v>-0.40430162320303964</v>
      </c>
      <c r="L106" s="17">
        <f t="shared" si="7"/>
        <v>-4.1637056413997584</v>
      </c>
      <c r="N106" s="17">
        <f t="shared" si="8"/>
        <v>-4.9456567331945109</v>
      </c>
    </row>
    <row r="107" spans="1:14" x14ac:dyDescent="0.2">
      <c r="A107" s="24" t="s">
        <v>47</v>
      </c>
      <c r="B107" s="7">
        <v>58048.982701960798</v>
      </c>
      <c r="C107" s="25">
        <v>0.84818585270059299</v>
      </c>
      <c r="E107" s="16">
        <f t="shared" si="22"/>
        <v>753.62262615038844</v>
      </c>
      <c r="F107" s="22">
        <f t="shared" si="19"/>
        <v>727.22508240240234</v>
      </c>
      <c r="H107" s="42">
        <f t="shared" si="21"/>
        <v>721.94087464830386</v>
      </c>
      <c r="I107" s="40">
        <v>757.02305145202104</v>
      </c>
      <c r="J107" s="43">
        <v>5.8253678981083001E-3</v>
      </c>
      <c r="K107" s="17">
        <f t="shared" ref="K107:K112" si="23">100-(I107/E107*100)</f>
        <v>-0.45121061704350041</v>
      </c>
      <c r="L107" s="17">
        <f t="shared" ref="L107:L112" si="24">100-(I107/F107*100)</f>
        <v>-4.0974891777908056</v>
      </c>
      <c r="N107" s="17">
        <f t="shared" ref="N107:N112" si="25">100-(I107/H107*100)</f>
        <v>-4.8594252016562365</v>
      </c>
    </row>
    <row r="108" spans="1:14" x14ac:dyDescent="0.2">
      <c r="A108" s="24" t="s">
        <v>47</v>
      </c>
      <c r="B108" s="7">
        <v>55878.334149703202</v>
      </c>
      <c r="C108" s="25">
        <v>0.84389685595259201</v>
      </c>
      <c r="E108" s="16">
        <f t="shared" si="22"/>
        <v>728.96301897067656</v>
      </c>
      <c r="F108" s="22">
        <f t="shared" si="19"/>
        <v>702.39782469993156</v>
      </c>
      <c r="H108" s="42">
        <f t="shared" si="21"/>
        <v>697.12135419767719</v>
      </c>
      <c r="I108" s="40">
        <v>732.22100164922006</v>
      </c>
      <c r="J108" s="43">
        <v>8.6794349582471203E-3</v>
      </c>
      <c r="K108" s="17">
        <f t="shared" si="23"/>
        <v>-0.44693387644601046</v>
      </c>
      <c r="L108" s="17">
        <f t="shared" si="24"/>
        <v>-4.2459096398866478</v>
      </c>
      <c r="N108" s="17">
        <f t="shared" si="25"/>
        <v>-5.0349407947686871</v>
      </c>
    </row>
    <row r="109" spans="1:14" x14ac:dyDescent="0.2">
      <c r="A109" s="24" t="s">
        <v>48</v>
      </c>
      <c r="B109" s="7">
        <v>106989.899799936</v>
      </c>
      <c r="C109" s="25">
        <v>0.87265141507739097</v>
      </c>
      <c r="E109" s="16">
        <f t="shared" si="22"/>
        <v>1353.6785040750951</v>
      </c>
      <c r="F109" s="22">
        <f t="shared" si="19"/>
        <v>1328.7512120768672</v>
      </c>
      <c r="H109" s="42">
        <f t="shared" si="21"/>
        <v>1322.860882638515</v>
      </c>
      <c r="I109" s="40">
        <v>1361.98486463674</v>
      </c>
      <c r="J109" s="43">
        <v>8.7434332606529195E-3</v>
      </c>
      <c r="K109" s="17">
        <f t="shared" si="23"/>
        <v>-0.61361398121042043</v>
      </c>
      <c r="L109" s="17">
        <f t="shared" si="24"/>
        <v>-2.5011192658050447</v>
      </c>
      <c r="N109" s="17">
        <f t="shared" si="25"/>
        <v>-2.9575280750754587</v>
      </c>
    </row>
    <row r="110" spans="1:14" x14ac:dyDescent="0.2">
      <c r="A110" s="24" t="s">
        <v>48</v>
      </c>
      <c r="B110" s="7">
        <v>120875.990429143</v>
      </c>
      <c r="C110" s="25">
        <v>0.87126180284720101</v>
      </c>
      <c r="E110" s="16">
        <f t="shared" si="22"/>
        <v>1532.3683591242127</v>
      </c>
      <c r="F110" s="22">
        <f t="shared" si="19"/>
        <v>1507.6088132117413</v>
      </c>
      <c r="H110" s="42">
        <f t="shared" si="21"/>
        <v>1501.4947376145369</v>
      </c>
      <c r="I110" s="40">
        <v>1542.15837495854</v>
      </c>
      <c r="J110" s="43">
        <v>9.78657574618794E-3</v>
      </c>
      <c r="K110" s="17">
        <f t="shared" si="23"/>
        <v>-0.63888136139294716</v>
      </c>
      <c r="L110" s="17">
        <f t="shared" si="24"/>
        <v>-2.291679475738519</v>
      </c>
      <c r="N110" s="17">
        <f t="shared" si="25"/>
        <v>-2.7082104469181303</v>
      </c>
    </row>
    <row r="111" spans="1:14" x14ac:dyDescent="0.2">
      <c r="A111" s="24" t="s">
        <v>49</v>
      </c>
      <c r="B111" s="7">
        <v>27930.529836503501</v>
      </c>
      <c r="C111" s="25">
        <v>0.88636680296289205</v>
      </c>
      <c r="E111" s="16">
        <f t="shared" si="22"/>
        <v>344.79546806701433</v>
      </c>
      <c r="F111" s="22">
        <f t="shared" si="19"/>
        <v>319.0926208644903</v>
      </c>
      <c r="H111" s="42">
        <f t="shared" si="21"/>
        <v>314.49303245938643</v>
      </c>
      <c r="I111" s="40">
        <v>344.61799494529299</v>
      </c>
      <c r="J111" s="43">
        <v>3.9162780222854396E-3</v>
      </c>
      <c r="K111" s="17">
        <f t="shared" si="23"/>
        <v>5.1471999535351642E-2</v>
      </c>
      <c r="L111" s="17">
        <f t="shared" si="24"/>
        <v>-7.9993620697492105</v>
      </c>
      <c r="N111" s="17">
        <f t="shared" si="25"/>
        <v>-9.578896629386179</v>
      </c>
    </row>
    <row r="112" spans="1:14" x14ac:dyDescent="0.2">
      <c r="A112" s="24" t="s">
        <v>49</v>
      </c>
      <c r="B112" s="7">
        <v>27484.916480048301</v>
      </c>
      <c r="C112" s="25">
        <v>0.87850211178793902</v>
      </c>
      <c r="E112" s="16">
        <f t="shared" si="22"/>
        <v>342.26391488778347</v>
      </c>
      <c r="F112" s="22">
        <f t="shared" si="19"/>
        <v>316.32436179905318</v>
      </c>
      <c r="H112" s="42">
        <f t="shared" si="21"/>
        <v>311.69041807698005</v>
      </c>
      <c r="I112" s="40">
        <v>342.08820933465802</v>
      </c>
      <c r="J112" s="43">
        <v>5.2073724309849804E-3</v>
      </c>
      <c r="K112" s="17">
        <f t="shared" si="23"/>
        <v>5.1336277498919003E-2</v>
      </c>
      <c r="L112" s="17">
        <f t="shared" si="24"/>
        <v>-8.1447560311436007</v>
      </c>
      <c r="N112" s="17">
        <f t="shared" si="25"/>
        <v>-9.7525587874088586</v>
      </c>
    </row>
    <row r="113" spans="1:10" x14ac:dyDescent="0.2">
      <c r="I113" s="36"/>
      <c r="J113" s="6"/>
    </row>
    <row r="114" spans="1:10" ht="32" x14ac:dyDescent="0.2">
      <c r="A114" s="24" t="s">
        <v>82</v>
      </c>
      <c r="B114" s="3">
        <v>50</v>
      </c>
      <c r="J114" s="6"/>
    </row>
    <row r="116" spans="1:10" x14ac:dyDescent="0.2">
      <c r="A116" s="369"/>
      <c r="B116" s="1"/>
      <c r="C116" s="1"/>
    </row>
  </sheetData>
  <mergeCells count="2">
    <mergeCell ref="K40:N40"/>
    <mergeCell ref="E40:H40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9EDD58-2387-8C42-B64A-BD338418F2B5}">
  <dimension ref="A1:AE89"/>
  <sheetViews>
    <sheetView zoomScaleNormal="100" workbookViewId="0">
      <selection sqref="A1:XFD1"/>
    </sheetView>
  </sheetViews>
  <sheetFormatPr baseColWidth="10" defaultRowHeight="16" x14ac:dyDescent="0.2"/>
  <cols>
    <col min="9" max="9" width="5.83203125" customWidth="1"/>
    <col min="10" max="10" width="10.6640625" customWidth="1"/>
    <col min="11" max="11" width="11.33203125" customWidth="1"/>
    <col min="12" max="12" width="9" customWidth="1"/>
    <col min="13" max="13" width="11" bestFit="1" customWidth="1"/>
    <col min="15" max="15" width="9" customWidth="1"/>
    <col min="16" max="16" width="9.1640625" customWidth="1"/>
    <col min="17" max="17" width="7.1640625" customWidth="1"/>
    <col min="18" max="18" width="10.1640625" customWidth="1"/>
    <col min="19" max="19" width="8.6640625" customWidth="1"/>
    <col min="20" max="23" width="11.83203125" bestFit="1" customWidth="1"/>
  </cols>
  <sheetData>
    <row r="1" spans="1:25" s="135" customFormat="1" ht="30" x14ac:dyDescent="0.2">
      <c r="A1" s="119" t="s">
        <v>2</v>
      </c>
      <c r="B1" s="120" t="s">
        <v>3</v>
      </c>
      <c r="C1" s="120" t="s">
        <v>4</v>
      </c>
      <c r="D1" s="121" t="s">
        <v>88</v>
      </c>
      <c r="E1" s="120" t="s">
        <v>89</v>
      </c>
      <c r="F1" s="141" t="s">
        <v>50</v>
      </c>
      <c r="G1" s="141"/>
      <c r="H1" s="141" t="s">
        <v>57</v>
      </c>
      <c r="I1" s="141"/>
      <c r="J1" s="141"/>
      <c r="K1" s="141"/>
      <c r="L1" s="141"/>
      <c r="M1" s="141"/>
      <c r="N1" s="141"/>
      <c r="O1" s="141"/>
      <c r="P1" s="141"/>
      <c r="Q1" s="141"/>
      <c r="R1" s="141"/>
      <c r="S1" s="141"/>
      <c r="T1" s="141"/>
      <c r="U1" s="141"/>
      <c r="V1" s="141"/>
      <c r="W1" s="141"/>
      <c r="X1" s="141"/>
      <c r="Y1" s="141"/>
    </row>
    <row r="2" spans="1:25" s="135" customFormat="1" ht="14" x14ac:dyDescent="0.2">
      <c r="A2" s="109">
        <v>43838</v>
      </c>
      <c r="B2" s="110">
        <v>1</v>
      </c>
      <c r="C2" s="111">
        <v>0</v>
      </c>
      <c r="D2" s="111">
        <v>542</v>
      </c>
      <c r="E2" s="111">
        <f>D2-$D$2</f>
        <v>0</v>
      </c>
      <c r="F2" s="213" t="s">
        <v>51</v>
      </c>
      <c r="G2" s="213"/>
      <c r="H2" s="146"/>
      <c r="I2" s="146" t="s">
        <v>62</v>
      </c>
      <c r="J2" s="146" t="s">
        <v>63</v>
      </c>
      <c r="K2" s="146" t="s">
        <v>64</v>
      </c>
      <c r="L2" s="146" t="s">
        <v>65</v>
      </c>
      <c r="M2" s="146" t="s">
        <v>66</v>
      </c>
      <c r="N2" s="146"/>
      <c r="O2" s="146" t="s">
        <v>67</v>
      </c>
      <c r="P2" s="146" t="s">
        <v>270</v>
      </c>
      <c r="Q2" s="146" t="s">
        <v>271</v>
      </c>
      <c r="R2" s="146" t="s">
        <v>68</v>
      </c>
      <c r="S2" s="146" t="s">
        <v>69</v>
      </c>
      <c r="T2" s="146" t="s">
        <v>70</v>
      </c>
      <c r="U2" s="146" t="s">
        <v>71</v>
      </c>
      <c r="V2" s="146" t="s">
        <v>72</v>
      </c>
      <c r="W2" s="146" t="s">
        <v>73</v>
      </c>
      <c r="X2" s="178" t="s">
        <v>272</v>
      </c>
      <c r="Y2" s="178" t="s">
        <v>273</v>
      </c>
    </row>
    <row r="3" spans="1:25" s="135" customFormat="1" ht="14" x14ac:dyDescent="0.2">
      <c r="A3" s="109">
        <v>43838</v>
      </c>
      <c r="B3" s="110">
        <v>1</v>
      </c>
      <c r="C3" s="113">
        <v>0.25</v>
      </c>
      <c r="D3" s="111">
        <v>5778</v>
      </c>
      <c r="E3" s="111">
        <f t="shared" ref="E3:E7" si="0">D3-$D$2</f>
        <v>5236</v>
      </c>
      <c r="F3" s="133" t="s">
        <v>52</v>
      </c>
      <c r="G3" s="133">
        <v>0.9999825030871059</v>
      </c>
      <c r="H3" s="133" t="s">
        <v>58</v>
      </c>
      <c r="I3" s="133">
        <v>1</v>
      </c>
      <c r="J3" s="147">
        <v>7093544304.431344</v>
      </c>
      <c r="K3" s="147">
        <v>7093544304.431344</v>
      </c>
      <c r="L3" s="147">
        <v>85727.158907400066</v>
      </c>
      <c r="M3" s="147">
        <v>8.7856695061053443E-8</v>
      </c>
      <c r="N3" s="147" t="s">
        <v>61</v>
      </c>
      <c r="O3" s="147">
        <v>-358.72139303481526</v>
      </c>
      <c r="P3" s="147">
        <v>190.69385931122889</v>
      </c>
      <c r="Q3" s="147">
        <f>P3*SQRT(G7)</f>
        <v>426.40443231168905</v>
      </c>
      <c r="R3" s="147">
        <v>-1.8811376220004594</v>
      </c>
      <c r="S3" s="147">
        <v>0.15651892912140564</v>
      </c>
      <c r="T3" s="147">
        <v>-965.59436104012707</v>
      </c>
      <c r="U3" s="147">
        <v>248.15157497049654</v>
      </c>
      <c r="V3" s="147">
        <v>-965.59436104012707</v>
      </c>
      <c r="W3" s="147">
        <v>248.15157497049654</v>
      </c>
      <c r="X3" s="162">
        <f>3.3*Q3/O4</f>
        <v>6.4868322601765033E-2</v>
      </c>
      <c r="Y3" s="162">
        <f>10*Q3/O4</f>
        <v>0.19657067455080313</v>
      </c>
    </row>
    <row r="4" spans="1:25" s="135" customFormat="1" ht="14" x14ac:dyDescent="0.2">
      <c r="A4" s="109">
        <v>43838</v>
      </c>
      <c r="B4" s="110">
        <v>1</v>
      </c>
      <c r="C4" s="113">
        <v>0.5</v>
      </c>
      <c r="D4" s="111">
        <v>11162</v>
      </c>
      <c r="E4" s="111">
        <f t="shared" si="0"/>
        <v>10620</v>
      </c>
      <c r="F4" s="133" t="s">
        <v>53</v>
      </c>
      <c r="G4" s="133">
        <v>0.9999650064803538</v>
      </c>
      <c r="H4" s="133" t="s">
        <v>59</v>
      </c>
      <c r="I4" s="133">
        <v>3</v>
      </c>
      <c r="J4" s="147">
        <v>248236.76865671872</v>
      </c>
      <c r="K4" s="147">
        <v>82745.589552239573</v>
      </c>
      <c r="L4" s="147"/>
      <c r="M4" s="147"/>
      <c r="N4" s="147" t="s">
        <v>74</v>
      </c>
      <c r="O4" s="147">
        <v>21692.169154228854</v>
      </c>
      <c r="P4" s="147">
        <v>74.087299834936715</v>
      </c>
      <c r="Q4" s="147"/>
      <c r="R4" s="147">
        <v>292.79200622182293</v>
      </c>
      <c r="S4" s="147">
        <v>8.7856695061053443E-8</v>
      </c>
      <c r="T4" s="147">
        <v>21456.390300600713</v>
      </c>
      <c r="U4" s="147">
        <v>21927.948007856994</v>
      </c>
      <c r="V4" s="147">
        <v>21456.390300600713</v>
      </c>
      <c r="W4" s="147">
        <v>21927.948007856994</v>
      </c>
    </row>
    <row r="5" spans="1:25" s="135" customFormat="1" ht="14" x14ac:dyDescent="0.2">
      <c r="A5" s="109">
        <v>43838</v>
      </c>
      <c r="B5" s="110">
        <v>1</v>
      </c>
      <c r="C5" s="113">
        <v>1.25</v>
      </c>
      <c r="D5" s="111">
        <v>27177</v>
      </c>
      <c r="E5" s="111">
        <f t="shared" si="0"/>
        <v>26635</v>
      </c>
      <c r="F5" s="133" t="s">
        <v>54</v>
      </c>
      <c r="G5" s="133">
        <v>0.99995334197380503</v>
      </c>
      <c r="H5" s="133" t="s">
        <v>60</v>
      </c>
      <c r="I5" s="133">
        <v>4</v>
      </c>
      <c r="J5" s="147">
        <v>7093792541.2000008</v>
      </c>
      <c r="K5" s="147"/>
      <c r="L5" s="147"/>
      <c r="M5" s="147"/>
      <c r="N5" s="212"/>
      <c r="O5" s="212"/>
      <c r="P5" s="212"/>
      <c r="Q5" s="212"/>
      <c r="R5" s="212"/>
      <c r="S5" s="212"/>
      <c r="T5" s="212"/>
      <c r="U5" s="212"/>
      <c r="V5" s="212"/>
      <c r="W5" s="212"/>
    </row>
    <row r="6" spans="1:25" s="135" customFormat="1" ht="14" x14ac:dyDescent="0.2">
      <c r="A6" s="109">
        <v>43838</v>
      </c>
      <c r="B6" s="110">
        <v>1</v>
      </c>
      <c r="C6" s="114">
        <v>2.5</v>
      </c>
      <c r="D6" s="111">
        <v>54031</v>
      </c>
      <c r="E6" s="111">
        <f t="shared" si="0"/>
        <v>53489</v>
      </c>
      <c r="F6" s="133" t="s">
        <v>55</v>
      </c>
      <c r="G6" s="133">
        <v>287.6553311729848</v>
      </c>
      <c r="H6" s="137"/>
      <c r="I6" s="137"/>
      <c r="J6" s="212"/>
      <c r="K6" s="212"/>
      <c r="L6" s="212"/>
      <c r="M6" s="212"/>
      <c r="N6" s="212"/>
      <c r="O6" s="212"/>
      <c r="P6" s="212"/>
      <c r="Q6" s="212"/>
      <c r="R6" s="212"/>
      <c r="S6" s="212"/>
      <c r="T6" s="212"/>
      <c r="U6" s="212"/>
      <c r="V6" s="212"/>
      <c r="W6" s="212"/>
    </row>
    <row r="7" spans="1:25" s="135" customFormat="1" ht="14" x14ac:dyDescent="0.2">
      <c r="A7" s="109">
        <v>43838</v>
      </c>
      <c r="B7" s="110">
        <v>1</v>
      </c>
      <c r="C7" s="112">
        <v>5</v>
      </c>
      <c r="D7" s="111">
        <v>108844</v>
      </c>
      <c r="E7" s="129">
        <f t="shared" si="0"/>
        <v>108302</v>
      </c>
      <c r="F7" s="148" t="s">
        <v>56</v>
      </c>
      <c r="G7" s="148">
        <v>5</v>
      </c>
      <c r="H7" s="141"/>
      <c r="I7" s="141"/>
      <c r="J7" s="186"/>
      <c r="K7" s="186"/>
      <c r="L7" s="186"/>
      <c r="M7" s="186"/>
      <c r="N7" s="186"/>
      <c r="O7" s="186"/>
      <c r="P7" s="186"/>
      <c r="Q7" s="186"/>
      <c r="R7" s="186"/>
      <c r="S7" s="186"/>
      <c r="T7" s="186"/>
      <c r="U7" s="186"/>
      <c r="V7" s="186"/>
      <c r="W7" s="186"/>
      <c r="X7" s="141"/>
      <c r="Y7" s="141"/>
    </row>
    <row r="8" spans="1:25" s="135" customFormat="1" ht="14" x14ac:dyDescent="0.2">
      <c r="A8" s="109">
        <v>43838</v>
      </c>
      <c r="B8" s="110">
        <v>2</v>
      </c>
      <c r="C8" s="111">
        <v>0</v>
      </c>
      <c r="D8" s="111">
        <v>714</v>
      </c>
      <c r="E8" s="226">
        <f>D8-$D$8</f>
        <v>0</v>
      </c>
      <c r="F8" s="213" t="s">
        <v>51</v>
      </c>
      <c r="G8" s="213"/>
      <c r="H8" s="146"/>
      <c r="I8" s="146" t="s">
        <v>62</v>
      </c>
      <c r="J8" s="214" t="s">
        <v>63</v>
      </c>
      <c r="K8" s="214" t="s">
        <v>64</v>
      </c>
      <c r="L8" s="214" t="s">
        <v>65</v>
      </c>
      <c r="M8" s="214" t="s">
        <v>66</v>
      </c>
      <c r="N8" s="214"/>
      <c r="O8" s="214" t="s">
        <v>67</v>
      </c>
      <c r="P8" s="214" t="s">
        <v>270</v>
      </c>
      <c r="Q8" s="214" t="s">
        <v>271</v>
      </c>
      <c r="R8" s="214" t="s">
        <v>68</v>
      </c>
      <c r="S8" s="214" t="s">
        <v>69</v>
      </c>
      <c r="T8" s="214" t="s">
        <v>70</v>
      </c>
      <c r="U8" s="214" t="s">
        <v>71</v>
      </c>
      <c r="V8" s="214" t="s">
        <v>72</v>
      </c>
      <c r="W8" s="214" t="s">
        <v>73</v>
      </c>
    </row>
    <row r="9" spans="1:25" s="135" customFormat="1" ht="14" x14ac:dyDescent="0.2">
      <c r="A9" s="109">
        <v>43838</v>
      </c>
      <c r="B9" s="110">
        <v>2</v>
      </c>
      <c r="C9" s="113">
        <v>0.25</v>
      </c>
      <c r="D9" s="111">
        <v>5265</v>
      </c>
      <c r="E9" s="226">
        <f t="shared" ref="E9:E13" si="1">D9-$D$8</f>
        <v>4551</v>
      </c>
      <c r="F9" s="133" t="s">
        <v>52</v>
      </c>
      <c r="G9" s="133">
        <v>0.99995315605579871</v>
      </c>
      <c r="H9" s="133" t="s">
        <v>58</v>
      </c>
      <c r="I9" s="133">
        <v>1</v>
      </c>
      <c r="J9" s="147">
        <v>5597999555.5880594</v>
      </c>
      <c r="K9" s="147">
        <v>5597999555.5880594</v>
      </c>
      <c r="L9" s="147">
        <v>32018.964831466928</v>
      </c>
      <c r="M9" s="147">
        <v>3.8486727797644852E-7</v>
      </c>
      <c r="N9" s="147" t="s">
        <v>61</v>
      </c>
      <c r="O9" s="147">
        <v>-361.91044776119088</v>
      </c>
      <c r="P9" s="147">
        <v>277.18968642014823</v>
      </c>
      <c r="Q9" s="147">
        <f>P9*SQRT(G13)</f>
        <v>619.8149814973018</v>
      </c>
      <c r="R9" s="147">
        <v>-1.3056418239624823</v>
      </c>
      <c r="S9" s="147">
        <v>0.28277586975631003</v>
      </c>
      <c r="T9" s="147">
        <v>-1244.0517411717415</v>
      </c>
      <c r="U9" s="147">
        <v>520.23084564935982</v>
      </c>
      <c r="V9" s="147">
        <v>-1244.0517411717415</v>
      </c>
      <c r="W9" s="147">
        <v>520.23084564935982</v>
      </c>
      <c r="X9" s="162">
        <f>3.3*Q9/O10</f>
        <v>0.10614223783684512</v>
      </c>
      <c r="Y9" s="162">
        <f>10*Q9/O10</f>
        <v>0.32164314496013674</v>
      </c>
    </row>
    <row r="10" spans="1:25" s="135" customFormat="1" ht="14" x14ac:dyDescent="0.2">
      <c r="A10" s="109">
        <v>43838</v>
      </c>
      <c r="B10" s="110">
        <v>2</v>
      </c>
      <c r="C10" s="113">
        <v>0.5</v>
      </c>
      <c r="D10" s="111">
        <v>10120</v>
      </c>
      <c r="E10" s="226">
        <f t="shared" si="1"/>
        <v>9406</v>
      </c>
      <c r="F10" s="133" t="s">
        <v>53</v>
      </c>
      <c r="G10" s="133">
        <v>0.99990631430595256</v>
      </c>
      <c r="H10" s="133" t="s">
        <v>59</v>
      </c>
      <c r="I10" s="133">
        <v>3</v>
      </c>
      <c r="J10" s="147">
        <v>524501.61194029998</v>
      </c>
      <c r="K10" s="147">
        <v>174833.87064676665</v>
      </c>
      <c r="L10" s="147"/>
      <c r="M10" s="147"/>
      <c r="N10" s="147" t="s">
        <v>74</v>
      </c>
      <c r="O10" s="147">
        <v>19270.268656716416</v>
      </c>
      <c r="P10" s="147">
        <v>107.69216944445334</v>
      </c>
      <c r="Q10" s="147"/>
      <c r="R10" s="147">
        <v>178.93843866387934</v>
      </c>
      <c r="S10" s="147">
        <v>3.8486727797644852E-7</v>
      </c>
      <c r="T10" s="147">
        <v>18927.54410995993</v>
      </c>
      <c r="U10" s="147">
        <v>19612.993203472903</v>
      </c>
      <c r="V10" s="147">
        <v>18927.54410995993</v>
      </c>
      <c r="W10" s="147">
        <v>19612.993203472903</v>
      </c>
    </row>
    <row r="11" spans="1:25" s="135" customFormat="1" ht="14" x14ac:dyDescent="0.2">
      <c r="A11" s="109">
        <v>43838</v>
      </c>
      <c r="B11" s="110">
        <v>2</v>
      </c>
      <c r="C11" s="113">
        <v>1.25</v>
      </c>
      <c r="D11" s="150">
        <v>24585</v>
      </c>
      <c r="E11" s="226">
        <f t="shared" si="1"/>
        <v>23871</v>
      </c>
      <c r="F11" s="133" t="s">
        <v>54</v>
      </c>
      <c r="G11" s="133">
        <v>0.99987508574127004</v>
      </c>
      <c r="H11" s="133" t="s">
        <v>60</v>
      </c>
      <c r="I11" s="133">
        <v>4</v>
      </c>
      <c r="J11" s="147">
        <v>5598524057.1999998</v>
      </c>
      <c r="K11" s="147"/>
      <c r="L11" s="147"/>
      <c r="M11" s="147"/>
      <c r="N11" s="212"/>
      <c r="O11" s="212"/>
      <c r="P11" s="212"/>
      <c r="Q11" s="212"/>
      <c r="R11" s="212"/>
      <c r="S11" s="212"/>
      <c r="T11" s="212"/>
      <c r="U11" s="212"/>
      <c r="V11" s="212"/>
      <c r="W11" s="212"/>
    </row>
    <row r="12" spans="1:25" s="135" customFormat="1" ht="14" x14ac:dyDescent="0.2">
      <c r="A12" s="109">
        <v>43838</v>
      </c>
      <c r="B12" s="110">
        <v>2</v>
      </c>
      <c r="C12" s="114">
        <v>2.5</v>
      </c>
      <c r="D12" s="150">
        <v>47890</v>
      </c>
      <c r="E12" s="226">
        <f t="shared" si="1"/>
        <v>47176</v>
      </c>
      <c r="F12" s="133" t="s">
        <v>55</v>
      </c>
      <c r="G12" s="133">
        <v>418.13140356443768</v>
      </c>
      <c r="H12" s="137"/>
      <c r="I12" s="137"/>
      <c r="J12" s="212"/>
      <c r="K12" s="212"/>
      <c r="L12" s="212"/>
      <c r="M12" s="212"/>
      <c r="N12" s="212"/>
      <c r="O12" s="212"/>
      <c r="P12" s="212"/>
      <c r="Q12" s="212"/>
      <c r="R12" s="212"/>
      <c r="S12" s="212"/>
      <c r="T12" s="212"/>
      <c r="U12" s="212"/>
      <c r="V12" s="212"/>
      <c r="W12" s="212"/>
    </row>
    <row r="13" spans="1:25" s="135" customFormat="1" ht="14" x14ac:dyDescent="0.2">
      <c r="A13" s="109">
        <v>43838</v>
      </c>
      <c r="B13" s="110">
        <v>2</v>
      </c>
      <c r="C13" s="112">
        <v>5</v>
      </c>
      <c r="D13" s="150">
        <v>96968</v>
      </c>
      <c r="E13" s="227">
        <f t="shared" si="1"/>
        <v>96254</v>
      </c>
      <c r="F13" s="148" t="s">
        <v>56</v>
      </c>
      <c r="G13" s="148">
        <v>5</v>
      </c>
      <c r="H13" s="141"/>
      <c r="I13" s="141"/>
      <c r="J13" s="186"/>
      <c r="K13" s="186"/>
      <c r="L13" s="186"/>
      <c r="M13" s="186"/>
      <c r="N13" s="186"/>
      <c r="O13" s="186"/>
      <c r="P13" s="186"/>
      <c r="Q13" s="186"/>
      <c r="R13" s="186"/>
      <c r="S13" s="186"/>
      <c r="T13" s="186"/>
      <c r="U13" s="186"/>
      <c r="V13" s="186"/>
      <c r="W13" s="186"/>
      <c r="X13" s="141"/>
      <c r="Y13" s="141"/>
    </row>
    <row r="14" spans="1:25" s="135" customFormat="1" ht="14" x14ac:dyDescent="0.2">
      <c r="A14" s="109">
        <v>43838</v>
      </c>
      <c r="B14" s="110">
        <v>3</v>
      </c>
      <c r="C14" s="111">
        <v>0</v>
      </c>
      <c r="D14" s="112">
        <v>679</v>
      </c>
      <c r="E14" s="116">
        <f t="shared" ref="E14:E19" si="2">D14-$D$14</f>
        <v>0</v>
      </c>
      <c r="F14" s="213" t="s">
        <v>51</v>
      </c>
      <c r="G14" s="213"/>
      <c r="H14" s="146"/>
      <c r="I14" s="146" t="s">
        <v>62</v>
      </c>
      <c r="J14" s="214" t="s">
        <v>63</v>
      </c>
      <c r="K14" s="214" t="s">
        <v>64</v>
      </c>
      <c r="L14" s="214" t="s">
        <v>65</v>
      </c>
      <c r="M14" s="214" t="s">
        <v>66</v>
      </c>
      <c r="N14" s="214"/>
      <c r="O14" s="214" t="s">
        <v>67</v>
      </c>
      <c r="P14" s="214" t="s">
        <v>270</v>
      </c>
      <c r="Q14" s="214" t="s">
        <v>271</v>
      </c>
      <c r="R14" s="214" t="s">
        <v>68</v>
      </c>
      <c r="S14" s="214" t="s">
        <v>69</v>
      </c>
      <c r="T14" s="214" t="s">
        <v>70</v>
      </c>
      <c r="U14" s="214" t="s">
        <v>71</v>
      </c>
      <c r="V14" s="214" t="s">
        <v>72</v>
      </c>
      <c r="W14" s="214" t="s">
        <v>73</v>
      </c>
    </row>
    <row r="15" spans="1:25" s="135" customFormat="1" ht="14" x14ac:dyDescent="0.2">
      <c r="A15" s="109">
        <v>43838</v>
      </c>
      <c r="B15" s="110">
        <v>3</v>
      </c>
      <c r="C15" s="113">
        <v>0.25</v>
      </c>
      <c r="D15" s="116">
        <v>5019</v>
      </c>
      <c r="E15" s="116">
        <f t="shared" si="2"/>
        <v>4340</v>
      </c>
      <c r="F15" s="133" t="s">
        <v>52</v>
      </c>
      <c r="G15" s="133">
        <v>0.99997485996688262</v>
      </c>
      <c r="H15" s="133" t="s">
        <v>58</v>
      </c>
      <c r="I15" s="133">
        <v>1</v>
      </c>
      <c r="J15" s="147">
        <v>4920183866.6999998</v>
      </c>
      <c r="K15" s="147">
        <v>4920183866.6999998</v>
      </c>
      <c r="L15" s="147">
        <v>59663.542532331587</v>
      </c>
      <c r="M15" s="147">
        <v>1.5131465356172463E-7</v>
      </c>
      <c r="N15" s="147" t="s">
        <v>61</v>
      </c>
      <c r="O15" s="147">
        <v>-106.00000000000728</v>
      </c>
      <c r="P15" s="147">
        <v>190.37084129122931</v>
      </c>
      <c r="Q15" s="147">
        <f>P15*SQRT(G19)</f>
        <v>425.6821420610126</v>
      </c>
      <c r="R15" s="147">
        <v>-0.55680796114068998</v>
      </c>
      <c r="S15" s="147">
        <v>0.61649953289931059</v>
      </c>
      <c r="T15" s="147">
        <v>-711.84498050103139</v>
      </c>
      <c r="U15" s="147">
        <v>499.84498050101683</v>
      </c>
      <c r="V15" s="147">
        <v>-711.84498050103139</v>
      </c>
      <c r="W15" s="147">
        <v>499.84498050101683</v>
      </c>
      <c r="X15" s="162">
        <f>3.3*Q15/O16</f>
        <v>7.7756618443559217E-2</v>
      </c>
      <c r="Y15" s="162">
        <f>10*Q15/O16</f>
        <v>0.235626116495634</v>
      </c>
    </row>
    <row r="16" spans="1:25" s="135" customFormat="1" ht="14" x14ac:dyDescent="0.2">
      <c r="A16" s="109">
        <v>43838</v>
      </c>
      <c r="B16" s="110">
        <v>3</v>
      </c>
      <c r="C16" s="113">
        <v>0.5</v>
      </c>
      <c r="D16" s="116">
        <v>9565</v>
      </c>
      <c r="E16" s="116">
        <f t="shared" si="2"/>
        <v>8886</v>
      </c>
      <c r="F16" s="133" t="s">
        <v>53</v>
      </c>
      <c r="G16" s="133">
        <v>0.99994972056578657</v>
      </c>
      <c r="H16" s="133" t="s">
        <v>59</v>
      </c>
      <c r="I16" s="133">
        <v>3</v>
      </c>
      <c r="J16" s="147">
        <v>247396.50000000047</v>
      </c>
      <c r="K16" s="147">
        <v>82465.50000000016</v>
      </c>
      <c r="L16" s="147"/>
      <c r="M16" s="147"/>
      <c r="N16" s="147" t="s">
        <v>74</v>
      </c>
      <c r="O16" s="147">
        <v>18066.000000000007</v>
      </c>
      <c r="P16" s="147">
        <v>73.961802700491816</v>
      </c>
      <c r="Q16" s="147"/>
      <c r="R16" s="147">
        <v>244.26121782291111</v>
      </c>
      <c r="S16" s="147">
        <v>1.5131465356172463E-7</v>
      </c>
      <c r="T16" s="147">
        <v>17830.620534263704</v>
      </c>
      <c r="U16" s="147">
        <v>18301.379465736311</v>
      </c>
      <c r="V16" s="147">
        <v>17830.620534263704</v>
      </c>
      <c r="W16" s="147">
        <v>18301.379465736311</v>
      </c>
    </row>
    <row r="17" spans="1:30" s="135" customFormat="1" ht="14" x14ac:dyDescent="0.2">
      <c r="A17" s="109">
        <v>43838</v>
      </c>
      <c r="B17" s="110">
        <v>3</v>
      </c>
      <c r="C17" s="113">
        <v>1.25</v>
      </c>
      <c r="D17" s="116">
        <v>23512</v>
      </c>
      <c r="E17" s="116">
        <f t="shared" si="2"/>
        <v>22833</v>
      </c>
      <c r="F17" s="133" t="s">
        <v>54</v>
      </c>
      <c r="G17" s="133">
        <v>0.99993296075438209</v>
      </c>
      <c r="H17" s="133" t="s">
        <v>60</v>
      </c>
      <c r="I17" s="133">
        <v>4</v>
      </c>
      <c r="J17" s="147">
        <v>4920431263.1999998</v>
      </c>
      <c r="K17" s="147"/>
      <c r="L17" s="147"/>
      <c r="M17" s="147"/>
      <c r="N17" s="212"/>
      <c r="O17" s="212"/>
      <c r="P17" s="212"/>
      <c r="Q17" s="212"/>
      <c r="R17" s="212"/>
      <c r="S17" s="212"/>
      <c r="T17" s="212"/>
      <c r="U17" s="212"/>
      <c r="V17" s="212"/>
      <c r="W17" s="212"/>
    </row>
    <row r="18" spans="1:30" s="135" customFormat="1" ht="14" x14ac:dyDescent="0.2">
      <c r="A18" s="109">
        <v>43838</v>
      </c>
      <c r="B18" s="110">
        <v>3</v>
      </c>
      <c r="C18" s="114">
        <v>2.5</v>
      </c>
      <c r="D18" s="116">
        <v>45411</v>
      </c>
      <c r="E18" s="116">
        <f t="shared" si="2"/>
        <v>44732</v>
      </c>
      <c r="F18" s="133" t="s">
        <v>55</v>
      </c>
      <c r="G18" s="133">
        <v>287.16806925561929</v>
      </c>
      <c r="H18" s="137"/>
      <c r="I18" s="137"/>
      <c r="J18" s="218"/>
      <c r="K18" s="218"/>
      <c r="L18" s="218"/>
      <c r="M18" s="212"/>
      <c r="N18" s="212"/>
      <c r="O18" s="212"/>
      <c r="P18" s="212"/>
      <c r="Q18" s="212"/>
      <c r="R18" s="212"/>
      <c r="S18" s="212"/>
      <c r="T18" s="212"/>
      <c r="U18" s="212"/>
      <c r="V18" s="212"/>
      <c r="W18" s="212"/>
      <c r="AB18" s="136"/>
      <c r="AC18" s="140"/>
      <c r="AD18" s="136"/>
    </row>
    <row r="19" spans="1:30" s="135" customFormat="1" ht="14" x14ac:dyDescent="0.2">
      <c r="A19" s="109">
        <v>43838</v>
      </c>
      <c r="B19" s="110">
        <v>3</v>
      </c>
      <c r="C19" s="112">
        <v>5</v>
      </c>
      <c r="D19" s="116">
        <v>90985</v>
      </c>
      <c r="E19" s="126">
        <f t="shared" si="2"/>
        <v>90306</v>
      </c>
      <c r="F19" s="148" t="s">
        <v>56</v>
      </c>
      <c r="G19" s="148">
        <v>5</v>
      </c>
      <c r="H19" s="141"/>
      <c r="I19" s="141"/>
      <c r="J19" s="221"/>
      <c r="K19" s="221"/>
      <c r="L19" s="221"/>
      <c r="M19" s="186"/>
      <c r="N19" s="186"/>
      <c r="O19" s="186"/>
      <c r="P19" s="186"/>
      <c r="Q19" s="186"/>
      <c r="R19" s="186"/>
      <c r="S19" s="186"/>
      <c r="T19" s="186"/>
      <c r="U19" s="186"/>
      <c r="V19" s="186"/>
      <c r="W19" s="186"/>
      <c r="X19" s="141"/>
      <c r="Y19" s="141"/>
      <c r="AB19" s="136"/>
      <c r="AC19" s="140"/>
      <c r="AD19" s="136"/>
    </row>
    <row r="20" spans="1:30" s="135" customFormat="1" ht="14" x14ac:dyDescent="0.2">
      <c r="A20" s="109">
        <v>43789</v>
      </c>
      <c r="B20" s="110">
        <v>1</v>
      </c>
      <c r="C20" s="111">
        <v>0</v>
      </c>
      <c r="D20" s="224">
        <v>85.250255982023404</v>
      </c>
      <c r="E20" s="116">
        <f>D20-$D$20</f>
        <v>0</v>
      </c>
      <c r="F20" s="213" t="s">
        <v>51</v>
      </c>
      <c r="G20" s="213"/>
      <c r="H20" s="146"/>
      <c r="I20" s="146" t="s">
        <v>62</v>
      </c>
      <c r="J20" s="214" t="s">
        <v>63</v>
      </c>
      <c r="K20" s="214" t="s">
        <v>64</v>
      </c>
      <c r="L20" s="214" t="s">
        <v>65</v>
      </c>
      <c r="M20" s="214" t="s">
        <v>66</v>
      </c>
      <c r="N20" s="214"/>
      <c r="O20" s="214" t="s">
        <v>67</v>
      </c>
      <c r="P20" s="214" t="s">
        <v>270</v>
      </c>
      <c r="Q20" s="214" t="s">
        <v>271</v>
      </c>
      <c r="R20" s="214" t="s">
        <v>68</v>
      </c>
      <c r="S20" s="214" t="s">
        <v>69</v>
      </c>
      <c r="T20" s="214" t="s">
        <v>70</v>
      </c>
      <c r="U20" s="214" t="s">
        <v>71</v>
      </c>
      <c r="V20" s="214" t="s">
        <v>72</v>
      </c>
      <c r="W20" s="214" t="s">
        <v>73</v>
      </c>
      <c r="Y20" s="137"/>
      <c r="Z20" s="137"/>
      <c r="AA20" s="137"/>
      <c r="AB20" s="137"/>
      <c r="AC20" s="137"/>
    </row>
    <row r="21" spans="1:30" s="135" customFormat="1" ht="14" x14ac:dyDescent="0.2">
      <c r="A21" s="109">
        <v>43789</v>
      </c>
      <c r="B21" s="110">
        <v>1</v>
      </c>
      <c r="C21" s="113">
        <v>0.25</v>
      </c>
      <c r="D21" s="224">
        <v>2015.89224940074</v>
      </c>
      <c r="E21" s="116">
        <f t="shared" ref="E21:E25" si="3">D21-$D$20</f>
        <v>1930.6419934187165</v>
      </c>
      <c r="F21" s="133" t="s">
        <v>52</v>
      </c>
      <c r="G21" s="133">
        <v>0.99988705224808672</v>
      </c>
      <c r="H21" s="133" t="s">
        <v>58</v>
      </c>
      <c r="I21" s="133">
        <v>1</v>
      </c>
      <c r="J21" s="147">
        <v>778222218.19485378</v>
      </c>
      <c r="K21" s="147">
        <v>778222218.19485378</v>
      </c>
      <c r="L21" s="147">
        <v>13278.226852129252</v>
      </c>
      <c r="M21" s="147">
        <v>1.4409300094046564E-6</v>
      </c>
      <c r="N21" s="147" t="s">
        <v>61</v>
      </c>
      <c r="O21" s="147">
        <v>338.03793214731195</v>
      </c>
      <c r="P21" s="147">
        <v>160.48928850982975</v>
      </c>
      <c r="Q21" s="147">
        <f>P21*SQRT(G25)</f>
        <v>358.86495876855525</v>
      </c>
      <c r="R21" s="147">
        <v>2.1062959109984938</v>
      </c>
      <c r="S21" s="147">
        <v>0.12580930038754029</v>
      </c>
      <c r="T21" s="147">
        <v>-172.71061110840697</v>
      </c>
      <c r="U21" s="147">
        <v>848.78647540303086</v>
      </c>
      <c r="V21" s="147">
        <v>-172.71061110840697</v>
      </c>
      <c r="W21" s="147">
        <v>848.78647540303086</v>
      </c>
      <c r="X21" s="162">
        <f>3.3*Q21/O22</f>
        <v>0.16482452821152727</v>
      </c>
      <c r="Y21" s="162">
        <f>10*Q21/O22</f>
        <v>0.49946826730765836</v>
      </c>
      <c r="Z21" s="145"/>
      <c r="AA21" s="145"/>
      <c r="AB21" s="137"/>
      <c r="AC21" s="137"/>
    </row>
    <row r="22" spans="1:30" s="135" customFormat="1" ht="14" x14ac:dyDescent="0.2">
      <c r="A22" s="109">
        <v>43789</v>
      </c>
      <c r="B22" s="110">
        <v>1</v>
      </c>
      <c r="C22" s="113">
        <v>0.5</v>
      </c>
      <c r="D22" s="224">
        <v>3924.2889632950801</v>
      </c>
      <c r="E22" s="116">
        <f t="shared" si="3"/>
        <v>3839.0387073130569</v>
      </c>
      <c r="F22" s="133" t="s">
        <v>53</v>
      </c>
      <c r="G22" s="133">
        <v>0.99977411725336807</v>
      </c>
      <c r="H22" s="133" t="s">
        <v>59</v>
      </c>
      <c r="I22" s="133">
        <v>3</v>
      </c>
      <c r="J22" s="147">
        <v>175826.68835110179</v>
      </c>
      <c r="K22" s="147">
        <v>58608.896117033932</v>
      </c>
      <c r="L22" s="147"/>
      <c r="M22" s="147"/>
      <c r="N22" s="147" t="s">
        <v>74</v>
      </c>
      <c r="O22" s="147">
        <v>7184.9401104696117</v>
      </c>
      <c r="P22" s="147">
        <v>62.352390795749507</v>
      </c>
      <c r="Q22" s="147"/>
      <c r="R22" s="147">
        <v>115.23118871264518</v>
      </c>
      <c r="S22" s="147">
        <v>1.4409300094046564E-6</v>
      </c>
      <c r="T22" s="147">
        <v>6986.5069747560729</v>
      </c>
      <c r="U22" s="147">
        <v>7383.3732461831505</v>
      </c>
      <c r="V22" s="147">
        <v>6986.5069747560729</v>
      </c>
      <c r="W22" s="147">
        <v>7383.3732461831505</v>
      </c>
      <c r="X22" s="137"/>
      <c r="Y22" s="133"/>
      <c r="Z22" s="133"/>
      <c r="AA22" s="133"/>
      <c r="AB22" s="137"/>
      <c r="AC22" s="137"/>
    </row>
    <row r="23" spans="1:30" s="135" customFormat="1" ht="14" x14ac:dyDescent="0.2">
      <c r="A23" s="109">
        <v>43789</v>
      </c>
      <c r="B23" s="110">
        <v>1</v>
      </c>
      <c r="C23" s="113">
        <v>1.25</v>
      </c>
      <c r="D23" s="224">
        <v>9607.9803542288591</v>
      </c>
      <c r="E23" s="116">
        <f t="shared" si="3"/>
        <v>9522.730098246835</v>
      </c>
      <c r="F23" s="133" t="s">
        <v>54</v>
      </c>
      <c r="G23" s="133">
        <v>0.99969882300449076</v>
      </c>
      <c r="H23" s="133" t="s">
        <v>60</v>
      </c>
      <c r="I23" s="133">
        <v>4</v>
      </c>
      <c r="J23" s="147">
        <v>778398044.88320494</v>
      </c>
      <c r="K23" s="147"/>
      <c r="L23" s="147"/>
      <c r="M23" s="147"/>
      <c r="N23" s="212"/>
      <c r="O23" s="212"/>
      <c r="P23" s="212"/>
      <c r="Q23" s="212"/>
      <c r="R23" s="212"/>
      <c r="S23" s="212"/>
      <c r="T23" s="212"/>
      <c r="U23" s="212"/>
      <c r="V23" s="212"/>
      <c r="W23" s="212"/>
      <c r="X23" s="137"/>
      <c r="Y23" s="133"/>
      <c r="Z23" s="133"/>
      <c r="AA23" s="133"/>
      <c r="AB23" s="137"/>
      <c r="AC23" s="137"/>
    </row>
    <row r="24" spans="1:30" s="135" customFormat="1" ht="14" x14ac:dyDescent="0.2">
      <c r="A24" s="109">
        <v>43789</v>
      </c>
      <c r="B24" s="110">
        <v>1</v>
      </c>
      <c r="C24" s="114">
        <v>2.5</v>
      </c>
      <c r="D24" s="224">
        <v>18631.906462466301</v>
      </c>
      <c r="E24" s="116">
        <f t="shared" si="3"/>
        <v>18546.656206484276</v>
      </c>
      <c r="F24" s="133" t="s">
        <v>55</v>
      </c>
      <c r="G24" s="133">
        <v>242.09274280125362</v>
      </c>
      <c r="H24" s="133"/>
      <c r="I24" s="133"/>
      <c r="J24" s="212"/>
      <c r="K24" s="212"/>
      <c r="L24" s="212"/>
      <c r="M24" s="212"/>
      <c r="N24" s="212"/>
      <c r="O24" s="212"/>
      <c r="P24" s="212"/>
      <c r="Q24" s="212"/>
      <c r="R24" s="212"/>
      <c r="S24" s="212"/>
      <c r="T24" s="212"/>
      <c r="U24" s="212"/>
      <c r="V24" s="212"/>
      <c r="W24" s="212"/>
      <c r="X24" s="137"/>
      <c r="Y24" s="133"/>
      <c r="Z24" s="133"/>
      <c r="AA24" s="133"/>
      <c r="AB24" s="137"/>
      <c r="AC24" s="137"/>
    </row>
    <row r="25" spans="1:30" s="135" customFormat="1" ht="14" x14ac:dyDescent="0.2">
      <c r="A25" s="109">
        <v>43789</v>
      </c>
      <c r="B25" s="110">
        <v>1</v>
      </c>
      <c r="C25" s="112">
        <v>5</v>
      </c>
      <c r="D25" s="224">
        <v>36193.303960716999</v>
      </c>
      <c r="E25" s="126">
        <f t="shared" si="3"/>
        <v>36108.053704734979</v>
      </c>
      <c r="F25" s="148" t="s">
        <v>56</v>
      </c>
      <c r="G25" s="148">
        <v>5</v>
      </c>
      <c r="H25" s="148"/>
      <c r="I25" s="148"/>
      <c r="J25" s="186"/>
      <c r="K25" s="186"/>
      <c r="L25" s="186"/>
      <c r="M25" s="186"/>
      <c r="N25" s="186"/>
      <c r="O25" s="186"/>
      <c r="P25" s="186"/>
      <c r="Q25" s="186"/>
      <c r="R25" s="186"/>
      <c r="S25" s="186"/>
      <c r="T25" s="186"/>
      <c r="U25" s="186"/>
      <c r="V25" s="186"/>
      <c r="W25" s="186"/>
      <c r="X25" s="141"/>
      <c r="Y25" s="148"/>
      <c r="Z25" s="133"/>
      <c r="AA25" s="133"/>
      <c r="AB25" s="137"/>
      <c r="AC25" s="137"/>
    </row>
    <row r="26" spans="1:30" s="135" customFormat="1" ht="14" x14ac:dyDescent="0.2">
      <c r="A26" s="109">
        <v>43888</v>
      </c>
      <c r="B26" s="110">
        <v>1</v>
      </c>
      <c r="C26" s="111">
        <v>0</v>
      </c>
      <c r="D26" s="224">
        <v>113.000449191794</v>
      </c>
      <c r="E26" s="116">
        <f>D26-$D$26</f>
        <v>0</v>
      </c>
      <c r="F26" s="213" t="s">
        <v>51</v>
      </c>
      <c r="G26" s="213"/>
      <c r="H26" s="146"/>
      <c r="I26" s="146" t="s">
        <v>62</v>
      </c>
      <c r="J26" s="214" t="s">
        <v>63</v>
      </c>
      <c r="K26" s="214" t="s">
        <v>64</v>
      </c>
      <c r="L26" s="214" t="s">
        <v>65</v>
      </c>
      <c r="M26" s="214" t="s">
        <v>66</v>
      </c>
      <c r="N26" s="214"/>
      <c r="O26" s="214" t="s">
        <v>67</v>
      </c>
      <c r="P26" s="214" t="s">
        <v>270</v>
      </c>
      <c r="Q26" s="214" t="s">
        <v>271</v>
      </c>
      <c r="R26" s="214" t="s">
        <v>68</v>
      </c>
      <c r="S26" s="214" t="s">
        <v>69</v>
      </c>
      <c r="T26" s="214" t="s">
        <v>70</v>
      </c>
      <c r="U26" s="214" t="s">
        <v>71</v>
      </c>
      <c r="V26" s="214" t="s">
        <v>72</v>
      </c>
      <c r="W26" s="214" t="s">
        <v>73</v>
      </c>
      <c r="Y26" s="137"/>
      <c r="Z26" s="137"/>
      <c r="AA26" s="137"/>
      <c r="AB26" s="137"/>
      <c r="AC26" s="137"/>
    </row>
    <row r="27" spans="1:30" s="135" customFormat="1" ht="14" x14ac:dyDescent="0.2">
      <c r="A27" s="109">
        <v>43888</v>
      </c>
      <c r="B27" s="110">
        <v>1</v>
      </c>
      <c r="C27" s="113">
        <v>0.25</v>
      </c>
      <c r="D27" s="224">
        <v>2734.2617516380801</v>
      </c>
      <c r="E27" s="116">
        <f t="shared" ref="E27:E31" si="4">D27-$D$26</f>
        <v>2621.2613024462862</v>
      </c>
      <c r="F27" s="133" t="s">
        <v>52</v>
      </c>
      <c r="G27" s="133">
        <v>0.99996383193309246</v>
      </c>
      <c r="H27" s="133" t="s">
        <v>58</v>
      </c>
      <c r="I27" s="133">
        <v>1</v>
      </c>
      <c r="J27" s="147">
        <v>1854738805.8832238</v>
      </c>
      <c r="K27" s="147">
        <v>1854738805.8832238</v>
      </c>
      <c r="L27" s="147">
        <v>41470.798706904163</v>
      </c>
      <c r="M27" s="147">
        <v>2.6110756061119767E-7</v>
      </c>
      <c r="N27" s="147" t="s">
        <v>61</v>
      </c>
      <c r="O27" s="147">
        <v>-260.42045856072218</v>
      </c>
      <c r="P27" s="147">
        <v>140.19562476056402</v>
      </c>
      <c r="Q27" s="147">
        <f>P27*SQRT(G31)</f>
        <v>313.48694711267382</v>
      </c>
      <c r="R27" s="147">
        <v>-1.8575505405784711</v>
      </c>
      <c r="S27" s="147">
        <v>0.16021887721209882</v>
      </c>
      <c r="T27" s="147">
        <v>-706.58550659692037</v>
      </c>
      <c r="U27" s="147">
        <v>185.74458947547606</v>
      </c>
      <c r="V27" s="147">
        <v>-706.58550659692037</v>
      </c>
      <c r="W27" s="147">
        <v>185.74458947547606</v>
      </c>
      <c r="X27" s="162">
        <f>3.3*Q27/O28</f>
        <v>9.3265427121812502E-2</v>
      </c>
      <c r="Y27" s="162">
        <f>10*Q27/O28</f>
        <v>0.28262250642973485</v>
      </c>
    </row>
    <row r="28" spans="1:30" s="135" customFormat="1" ht="14" x14ac:dyDescent="0.2">
      <c r="A28" s="109">
        <v>43888</v>
      </c>
      <c r="B28" s="110">
        <v>1</v>
      </c>
      <c r="C28" s="113">
        <v>0.5</v>
      </c>
      <c r="D28" s="224">
        <v>5449.5400399339296</v>
      </c>
      <c r="E28" s="116">
        <f t="shared" si="4"/>
        <v>5336.5395907421353</v>
      </c>
      <c r="F28" s="133" t="s">
        <v>53</v>
      </c>
      <c r="G28" s="133">
        <v>0.99992766517431397</v>
      </c>
      <c r="H28" s="133" t="s">
        <v>59</v>
      </c>
      <c r="I28" s="133">
        <v>3</v>
      </c>
      <c r="J28" s="147">
        <v>134171.91351859173</v>
      </c>
      <c r="K28" s="147">
        <v>44723.971172863909</v>
      </c>
      <c r="L28" s="147"/>
      <c r="M28" s="147"/>
      <c r="N28" s="147" t="s">
        <v>74</v>
      </c>
      <c r="O28" s="147">
        <v>11092.072994215427</v>
      </c>
      <c r="P28" s="147">
        <v>54.468011317711941</v>
      </c>
      <c r="Q28" s="147"/>
      <c r="R28" s="147">
        <v>203.64380350726151</v>
      </c>
      <c r="S28" s="147">
        <v>2.6110756061119857E-7</v>
      </c>
      <c r="T28" s="147">
        <v>10918.731472841224</v>
      </c>
      <c r="U28" s="147">
        <v>11265.414515589629</v>
      </c>
      <c r="V28" s="147">
        <v>10918.731472841224</v>
      </c>
      <c r="W28" s="147">
        <v>11265.414515589629</v>
      </c>
    </row>
    <row r="29" spans="1:30" s="135" customFormat="1" ht="14" x14ac:dyDescent="0.2">
      <c r="A29" s="109">
        <v>43888</v>
      </c>
      <c r="B29" s="110">
        <v>1</v>
      </c>
      <c r="C29" s="113">
        <v>1.25</v>
      </c>
      <c r="D29" s="224">
        <v>13728.5954444814</v>
      </c>
      <c r="E29" s="116">
        <f t="shared" si="4"/>
        <v>13615.594995289606</v>
      </c>
      <c r="F29" s="133" t="s">
        <v>54</v>
      </c>
      <c r="G29" s="133">
        <v>0.999903553565752</v>
      </c>
      <c r="H29" s="133" t="s">
        <v>60</v>
      </c>
      <c r="I29" s="133">
        <v>4</v>
      </c>
      <c r="J29" s="147">
        <v>1854872977.7967424</v>
      </c>
      <c r="K29" s="147"/>
      <c r="L29" s="147"/>
      <c r="M29" s="147"/>
      <c r="N29" s="212"/>
      <c r="O29" s="212"/>
      <c r="P29" s="212"/>
      <c r="Q29" s="212"/>
      <c r="R29" s="212"/>
      <c r="S29" s="212"/>
      <c r="T29" s="212"/>
      <c r="U29" s="212"/>
      <c r="V29" s="212"/>
      <c r="W29" s="212"/>
    </row>
    <row r="30" spans="1:30" s="135" customFormat="1" ht="14" x14ac:dyDescent="0.2">
      <c r="A30" s="109">
        <v>43888</v>
      </c>
      <c r="B30" s="110">
        <v>1</v>
      </c>
      <c r="C30" s="114">
        <v>2.5</v>
      </c>
      <c r="D30" s="224">
        <v>27268.2530919358</v>
      </c>
      <c r="E30" s="116">
        <f t="shared" si="4"/>
        <v>27155.252642744006</v>
      </c>
      <c r="F30" s="133" t="s">
        <v>55</v>
      </c>
      <c r="G30" s="133">
        <v>211.48042739900046</v>
      </c>
      <c r="H30" s="137"/>
      <c r="I30" s="137"/>
      <c r="J30" s="212"/>
      <c r="K30" s="212"/>
      <c r="L30" s="212"/>
      <c r="M30" s="212"/>
      <c r="N30" s="212"/>
      <c r="O30" s="212"/>
      <c r="P30" s="212"/>
      <c r="Q30" s="212"/>
      <c r="R30" s="212"/>
      <c r="S30" s="212"/>
      <c r="T30" s="212"/>
      <c r="U30" s="212"/>
      <c r="V30" s="212"/>
      <c r="W30" s="212"/>
    </row>
    <row r="31" spans="1:30" s="135" customFormat="1" ht="14" x14ac:dyDescent="0.2">
      <c r="A31" s="109">
        <v>43888</v>
      </c>
      <c r="B31" s="110">
        <v>1</v>
      </c>
      <c r="C31" s="112">
        <v>5</v>
      </c>
      <c r="D31" s="224">
        <v>55456.943070212699</v>
      </c>
      <c r="E31" s="116">
        <f t="shared" si="4"/>
        <v>55343.942621020906</v>
      </c>
      <c r="F31" s="133" t="s">
        <v>56</v>
      </c>
      <c r="G31" s="133">
        <v>5</v>
      </c>
      <c r="H31" s="137"/>
      <c r="I31" s="137"/>
      <c r="J31" s="212"/>
      <c r="K31" s="212"/>
      <c r="L31" s="212"/>
      <c r="M31" s="212"/>
      <c r="N31" s="212"/>
      <c r="O31" s="212"/>
      <c r="P31" s="212"/>
      <c r="Q31" s="212"/>
      <c r="R31" s="212"/>
      <c r="S31" s="212"/>
      <c r="T31" s="212"/>
      <c r="U31" s="212"/>
      <c r="V31" s="212"/>
      <c r="W31" s="212"/>
      <c r="X31" s="137"/>
      <c r="Y31" s="137"/>
    </row>
    <row r="32" spans="1:30" s="135" customFormat="1" ht="14" x14ac:dyDescent="0.2">
      <c r="A32" s="109">
        <v>43888</v>
      </c>
      <c r="B32" s="110">
        <v>2</v>
      </c>
      <c r="C32" s="111">
        <v>0</v>
      </c>
      <c r="D32" s="225">
        <v>161.25091342644299</v>
      </c>
      <c r="E32" s="228">
        <f>D32-$D$32</f>
        <v>0</v>
      </c>
      <c r="F32" s="229" t="s">
        <v>51</v>
      </c>
      <c r="G32" s="229"/>
      <c r="H32" s="230"/>
      <c r="I32" s="230" t="s">
        <v>62</v>
      </c>
      <c r="J32" s="231" t="s">
        <v>63</v>
      </c>
      <c r="K32" s="231" t="s">
        <v>64</v>
      </c>
      <c r="L32" s="231" t="s">
        <v>65</v>
      </c>
      <c r="M32" s="231" t="s">
        <v>66</v>
      </c>
      <c r="N32" s="231"/>
      <c r="O32" s="231" t="s">
        <v>67</v>
      </c>
      <c r="P32" s="231" t="s">
        <v>270</v>
      </c>
      <c r="Q32" s="231" t="s">
        <v>271</v>
      </c>
      <c r="R32" s="231" t="s">
        <v>68</v>
      </c>
      <c r="S32" s="231" t="s">
        <v>69</v>
      </c>
      <c r="T32" s="231" t="s">
        <v>70</v>
      </c>
      <c r="U32" s="231" t="s">
        <v>71</v>
      </c>
      <c r="V32" s="231" t="s">
        <v>72</v>
      </c>
      <c r="W32" s="231" t="s">
        <v>73</v>
      </c>
      <c r="X32" s="141"/>
      <c r="Y32" s="141"/>
    </row>
    <row r="33" spans="1:31" s="135" customFormat="1" ht="14" x14ac:dyDescent="0.2">
      <c r="A33" s="109">
        <v>43888</v>
      </c>
      <c r="B33" s="110">
        <v>2</v>
      </c>
      <c r="C33" s="113">
        <v>0.25</v>
      </c>
      <c r="D33" s="224">
        <v>2444.9594076839799</v>
      </c>
      <c r="E33" s="116">
        <f t="shared" ref="E33:E37" si="5">D33-$D$32</f>
        <v>2283.708494257537</v>
      </c>
      <c r="F33" s="133" t="s">
        <v>52</v>
      </c>
      <c r="G33" s="133">
        <v>0.99999394009555131</v>
      </c>
      <c r="H33" s="133" t="s">
        <v>58</v>
      </c>
      <c r="I33" s="133">
        <v>1</v>
      </c>
      <c r="J33" s="147">
        <v>1352561944.5210533</v>
      </c>
      <c r="K33" s="147">
        <v>1352561944.5210533</v>
      </c>
      <c r="L33" s="147">
        <v>247526.40539857361</v>
      </c>
      <c r="M33" s="147">
        <v>1.7907383199714466E-8</v>
      </c>
      <c r="N33" s="147" t="s">
        <v>61</v>
      </c>
      <c r="O33" s="147">
        <v>-31.800455632812373</v>
      </c>
      <c r="P33" s="147">
        <v>49.004063662797044</v>
      </c>
      <c r="Q33" s="147">
        <f>P33*SQRT(G37)</f>
        <v>109.57641752374153</v>
      </c>
      <c r="R33" s="147">
        <v>-0.64893507305098608</v>
      </c>
      <c r="S33" s="147">
        <v>0.56262987969769374</v>
      </c>
      <c r="T33" s="147">
        <v>-187.75325698036849</v>
      </c>
      <c r="U33" s="147">
        <v>124.15234571474375</v>
      </c>
      <c r="V33" s="147">
        <v>-187.75325698036849</v>
      </c>
      <c r="W33" s="147">
        <v>124.15234571474375</v>
      </c>
      <c r="X33" s="162">
        <f>3.3*Q33/O34</f>
        <v>3.8175181965903672E-2</v>
      </c>
      <c r="Y33" s="162">
        <f>10*Q33/O34</f>
        <v>0.1156823695936475</v>
      </c>
    </row>
    <row r="34" spans="1:31" s="135" customFormat="1" ht="14" x14ac:dyDescent="0.2">
      <c r="A34" s="109">
        <v>43888</v>
      </c>
      <c r="B34" s="110">
        <v>2</v>
      </c>
      <c r="C34" s="113">
        <v>0.5</v>
      </c>
      <c r="D34" s="224">
        <v>4824.3145829090399</v>
      </c>
      <c r="E34" s="116">
        <f t="shared" si="5"/>
        <v>4663.0636694825971</v>
      </c>
      <c r="F34" s="133" t="s">
        <v>53</v>
      </c>
      <c r="G34" s="133">
        <v>0.99998788022782514</v>
      </c>
      <c r="H34" s="133" t="s">
        <v>59</v>
      </c>
      <c r="I34" s="133">
        <v>3</v>
      </c>
      <c r="J34" s="147">
        <v>16392.941298643942</v>
      </c>
      <c r="K34" s="147">
        <v>5464.3137662146473</v>
      </c>
      <c r="L34" s="147"/>
      <c r="M34" s="147"/>
      <c r="N34" s="147" t="s">
        <v>74</v>
      </c>
      <c r="O34" s="147">
        <v>9472.1795472072281</v>
      </c>
      <c r="P34" s="147">
        <v>19.038781693492041</v>
      </c>
      <c r="Q34" s="147"/>
      <c r="R34" s="147">
        <v>497.52025626960517</v>
      </c>
      <c r="S34" s="147">
        <v>1.7907383199714466E-8</v>
      </c>
      <c r="T34" s="147">
        <v>9411.5896467496714</v>
      </c>
      <c r="U34" s="147">
        <v>9532.7694476647848</v>
      </c>
      <c r="V34" s="147">
        <v>9411.5896467496714</v>
      </c>
      <c r="W34" s="147">
        <v>9532.7694476647848</v>
      </c>
    </row>
    <row r="35" spans="1:31" s="135" customFormat="1" ht="14" x14ac:dyDescent="0.2">
      <c r="A35" s="109">
        <v>43888</v>
      </c>
      <c r="B35" s="110">
        <v>2</v>
      </c>
      <c r="C35" s="113">
        <v>1.25</v>
      </c>
      <c r="D35" s="224">
        <v>12037.821214260701</v>
      </c>
      <c r="E35" s="116">
        <f t="shared" si="5"/>
        <v>11876.570300834257</v>
      </c>
      <c r="F35" s="133" t="s">
        <v>54</v>
      </c>
      <c r="G35" s="133">
        <v>0.99998384030376686</v>
      </c>
      <c r="H35" s="133" t="s">
        <v>60</v>
      </c>
      <c r="I35" s="133">
        <v>4</v>
      </c>
      <c r="J35" s="147">
        <v>1352578337.462352</v>
      </c>
      <c r="K35" s="147"/>
      <c r="L35" s="147"/>
      <c r="M35" s="147"/>
      <c r="N35" s="212"/>
      <c r="O35" s="212"/>
      <c r="P35" s="212"/>
      <c r="Q35" s="212"/>
      <c r="R35" s="212"/>
      <c r="S35" s="212"/>
      <c r="T35" s="212"/>
      <c r="U35" s="212"/>
      <c r="V35" s="212"/>
      <c r="W35" s="212"/>
    </row>
    <row r="36" spans="1:31" s="135" customFormat="1" ht="14" x14ac:dyDescent="0.2">
      <c r="A36" s="109">
        <v>43888</v>
      </c>
      <c r="B36" s="110">
        <v>2</v>
      </c>
      <c r="C36" s="114">
        <v>2.5</v>
      </c>
      <c r="D36" s="224">
        <v>23881.704289535199</v>
      </c>
      <c r="E36" s="116">
        <f t="shared" si="5"/>
        <v>23720.453376108755</v>
      </c>
      <c r="F36" s="133" t="s">
        <v>55</v>
      </c>
      <c r="G36" s="133">
        <v>73.920996788562363</v>
      </c>
      <c r="J36" s="217"/>
      <c r="K36" s="217"/>
      <c r="L36" s="217"/>
      <c r="M36" s="217"/>
      <c r="N36" s="217"/>
      <c r="O36" s="217"/>
      <c r="P36" s="217"/>
      <c r="Q36" s="217"/>
      <c r="R36" s="217"/>
      <c r="S36" s="217"/>
      <c r="T36" s="217"/>
      <c r="U36" s="217"/>
      <c r="V36" s="217"/>
      <c r="W36" s="217"/>
    </row>
    <row r="37" spans="1:31" s="135" customFormat="1" ht="14" x14ac:dyDescent="0.2">
      <c r="A37" s="123">
        <v>43888</v>
      </c>
      <c r="B37" s="124">
        <v>2</v>
      </c>
      <c r="C37" s="125">
        <v>5</v>
      </c>
      <c r="D37" s="225">
        <v>47444.1584930479</v>
      </c>
      <c r="E37" s="126">
        <f t="shared" si="5"/>
        <v>47282.90757962146</v>
      </c>
      <c r="F37" s="148" t="s">
        <v>56</v>
      </c>
      <c r="G37" s="148">
        <v>5</v>
      </c>
      <c r="H37" s="141"/>
      <c r="I37" s="141"/>
      <c r="J37" s="186"/>
      <c r="K37" s="186"/>
      <c r="L37" s="186"/>
      <c r="M37" s="186"/>
      <c r="N37" s="186"/>
      <c r="O37" s="186"/>
      <c r="P37" s="186"/>
      <c r="Q37" s="186"/>
      <c r="R37" s="186"/>
      <c r="S37" s="186"/>
      <c r="T37" s="186"/>
      <c r="U37" s="186"/>
      <c r="V37" s="186"/>
      <c r="W37" s="186"/>
      <c r="X37" s="141"/>
      <c r="Y37" s="141"/>
    </row>
    <row r="38" spans="1:31" x14ac:dyDescent="0.2">
      <c r="D38" s="2"/>
      <c r="E38" s="2"/>
    </row>
    <row r="45" spans="1:31" x14ac:dyDescent="0.2">
      <c r="Y45" s="13"/>
      <c r="Z45" s="13"/>
      <c r="AA45" s="13"/>
      <c r="AB45" s="13"/>
      <c r="AC45" s="13"/>
      <c r="AD45" s="13"/>
      <c r="AE45" s="13"/>
    </row>
    <row r="46" spans="1:31" x14ac:dyDescent="0.2">
      <c r="G46" s="13"/>
      <c r="H46" s="13"/>
      <c r="I46" s="13"/>
      <c r="J46" s="13"/>
      <c r="K46" s="13"/>
      <c r="L46" s="13"/>
      <c r="M46" s="13"/>
      <c r="N46" s="13"/>
      <c r="Y46" s="13"/>
      <c r="Z46" s="13"/>
      <c r="AA46" s="13"/>
      <c r="AB46" s="122"/>
      <c r="AC46" s="209"/>
      <c r="AD46" s="122"/>
      <c r="AE46" s="13"/>
    </row>
    <row r="47" spans="1:31" x14ac:dyDescent="0.2">
      <c r="G47" s="13"/>
      <c r="H47" s="13"/>
      <c r="I47" s="13"/>
      <c r="J47" s="122"/>
      <c r="K47" s="209"/>
      <c r="L47" s="122"/>
      <c r="M47" s="13"/>
      <c r="N47" s="13"/>
      <c r="Y47" s="13"/>
      <c r="Z47" s="13"/>
      <c r="AA47" s="13"/>
      <c r="AB47" s="122"/>
      <c r="AC47" s="209"/>
      <c r="AD47" s="122"/>
      <c r="AE47" s="13"/>
    </row>
    <row r="48" spans="1:31" x14ac:dyDescent="0.2">
      <c r="G48" s="13"/>
      <c r="H48" s="13"/>
      <c r="I48" s="13"/>
      <c r="J48" s="122"/>
      <c r="K48" s="209"/>
      <c r="L48" s="122"/>
      <c r="M48" s="13"/>
      <c r="N48" s="13"/>
      <c r="Y48" s="13"/>
      <c r="Z48" s="13"/>
      <c r="AA48" s="13"/>
      <c r="AB48" s="13"/>
      <c r="AC48" s="13"/>
      <c r="AD48" s="13"/>
      <c r="AE48" s="13"/>
    </row>
    <row r="49" spans="7:31" x14ac:dyDescent="0.2">
      <c r="G49" s="13"/>
      <c r="H49" s="13"/>
      <c r="I49" s="13"/>
      <c r="J49" s="13"/>
      <c r="K49" s="13"/>
      <c r="L49" s="13"/>
      <c r="M49" s="13"/>
      <c r="N49" s="13"/>
      <c r="Y49" s="13"/>
      <c r="Z49" s="13"/>
      <c r="AA49" s="13"/>
      <c r="AB49" s="13"/>
      <c r="AC49" s="13"/>
      <c r="AD49" s="13"/>
      <c r="AE49" s="13"/>
    </row>
    <row r="50" spans="7:31" x14ac:dyDescent="0.2">
      <c r="G50" s="13"/>
      <c r="H50" s="13"/>
      <c r="I50" s="13"/>
      <c r="J50" s="13"/>
      <c r="K50" s="13"/>
      <c r="L50" s="13"/>
      <c r="M50" s="13"/>
      <c r="N50" s="13"/>
      <c r="Y50" s="64"/>
      <c r="Z50" s="64"/>
      <c r="AA50" s="64"/>
      <c r="AB50" s="13"/>
      <c r="AC50" s="13"/>
      <c r="AD50" s="13"/>
      <c r="AE50" s="13"/>
    </row>
    <row r="51" spans="7:31" x14ac:dyDescent="0.2">
      <c r="G51" s="64"/>
      <c r="H51" s="64"/>
      <c r="I51" s="64"/>
      <c r="J51" s="13"/>
      <c r="K51" s="13"/>
      <c r="L51" s="13"/>
      <c r="M51" s="13"/>
      <c r="N51" s="13"/>
      <c r="Y51" s="31"/>
      <c r="Z51" s="31"/>
      <c r="AA51" s="31"/>
      <c r="AB51" s="13"/>
      <c r="AC51" s="13"/>
      <c r="AD51" s="13"/>
      <c r="AE51" s="13"/>
    </row>
    <row r="52" spans="7:31" x14ac:dyDescent="0.2">
      <c r="G52" s="31"/>
      <c r="H52" s="31"/>
      <c r="I52" s="31"/>
      <c r="J52" s="13"/>
      <c r="K52" s="13"/>
      <c r="L52" s="13"/>
      <c r="M52" s="13"/>
      <c r="N52" s="13"/>
      <c r="Y52" s="31"/>
      <c r="Z52" s="31"/>
      <c r="AA52" s="31"/>
      <c r="AB52" s="13"/>
      <c r="AC52" s="13"/>
      <c r="AD52" s="13"/>
      <c r="AE52" s="13"/>
    </row>
    <row r="53" spans="7:31" x14ac:dyDescent="0.2">
      <c r="G53" s="31"/>
      <c r="H53" s="31"/>
      <c r="I53" s="31"/>
      <c r="J53" s="13"/>
      <c r="K53" s="13"/>
      <c r="L53" s="13"/>
      <c r="M53" s="13"/>
      <c r="N53" s="13"/>
      <c r="Y53" s="31"/>
      <c r="Z53" s="31"/>
      <c r="AA53" s="31"/>
      <c r="AB53" s="13"/>
      <c r="AC53" s="13"/>
      <c r="AD53" s="13"/>
      <c r="AE53" s="13"/>
    </row>
    <row r="54" spans="7:31" x14ac:dyDescent="0.2">
      <c r="G54" s="31"/>
      <c r="H54" s="31"/>
      <c r="I54" s="31"/>
      <c r="J54" s="13"/>
      <c r="K54" s="13"/>
      <c r="L54" s="13"/>
      <c r="M54" s="13"/>
      <c r="N54" s="13"/>
      <c r="Y54" s="31"/>
      <c r="Z54" s="31"/>
      <c r="AA54" s="31"/>
      <c r="AB54" s="13"/>
      <c r="AC54" s="13"/>
      <c r="AD54" s="13"/>
      <c r="AE54" s="13"/>
    </row>
    <row r="55" spans="7:31" x14ac:dyDescent="0.2">
      <c r="G55" s="31"/>
      <c r="H55" s="31"/>
      <c r="I55" s="31"/>
      <c r="J55" s="13"/>
      <c r="K55" s="13"/>
      <c r="L55" s="13"/>
      <c r="M55" s="13"/>
      <c r="N55" s="13"/>
      <c r="Y55" s="31"/>
      <c r="Z55" s="31"/>
      <c r="AA55" s="31"/>
      <c r="AB55" s="13"/>
      <c r="AC55" s="13"/>
      <c r="AD55" s="13"/>
      <c r="AE55" s="13"/>
    </row>
    <row r="56" spans="7:31" x14ac:dyDescent="0.2">
      <c r="G56" s="31"/>
      <c r="H56" s="31"/>
      <c r="I56" s="31"/>
      <c r="J56" s="13"/>
      <c r="K56" s="13"/>
      <c r="L56" s="13"/>
      <c r="M56" s="13"/>
      <c r="N56" s="13"/>
    </row>
    <row r="76" spans="6:30" x14ac:dyDescent="0.2">
      <c r="F76" s="13"/>
      <c r="G76" s="13"/>
      <c r="H76" s="13"/>
      <c r="I76" s="13"/>
      <c r="J76" s="13"/>
      <c r="K76" s="13"/>
      <c r="L76" s="13"/>
      <c r="M76" s="13"/>
    </row>
    <row r="77" spans="6:30" x14ac:dyDescent="0.2">
      <c r="F77" s="13"/>
      <c r="G77" s="13"/>
      <c r="H77" s="13"/>
      <c r="I77" s="13"/>
      <c r="J77" s="13"/>
      <c r="K77" s="13"/>
      <c r="L77" s="13"/>
      <c r="M77" s="13"/>
      <c r="Y77" s="13"/>
      <c r="Z77" s="13"/>
      <c r="AA77" s="13"/>
      <c r="AB77" s="122"/>
      <c r="AC77" s="209"/>
      <c r="AD77" s="122"/>
    </row>
    <row r="78" spans="6:30" x14ac:dyDescent="0.2">
      <c r="F78" s="13"/>
      <c r="G78" s="13"/>
      <c r="H78" s="13"/>
      <c r="I78" s="13"/>
      <c r="J78" s="122"/>
      <c r="K78" s="209"/>
      <c r="L78" s="122"/>
      <c r="M78" s="13"/>
      <c r="Y78" s="13"/>
      <c r="Z78" s="13"/>
      <c r="AA78" s="13"/>
      <c r="AB78" s="122"/>
      <c r="AC78" s="209"/>
      <c r="AD78" s="122"/>
    </row>
    <row r="79" spans="6:30" x14ac:dyDescent="0.2">
      <c r="F79" s="13"/>
      <c r="G79" s="13"/>
      <c r="H79" s="13"/>
      <c r="I79" s="13"/>
      <c r="J79" s="122"/>
      <c r="K79" s="209"/>
      <c r="L79" s="122"/>
      <c r="M79" s="13"/>
      <c r="Y79" s="13"/>
      <c r="Z79" s="13"/>
      <c r="AA79" s="13"/>
      <c r="AB79" s="13"/>
      <c r="AC79" s="13"/>
      <c r="AD79" s="13"/>
    </row>
    <row r="80" spans="6:30" x14ac:dyDescent="0.2">
      <c r="F80" s="13"/>
      <c r="G80" s="13"/>
      <c r="H80" s="13"/>
      <c r="I80" s="13"/>
      <c r="J80" s="13"/>
      <c r="K80" s="13"/>
      <c r="L80" s="13"/>
      <c r="M80" s="13"/>
      <c r="Y80" s="13"/>
      <c r="Z80" s="13"/>
      <c r="AA80" s="13"/>
      <c r="AB80" s="13"/>
      <c r="AC80" s="13"/>
      <c r="AD80" s="13"/>
    </row>
    <row r="81" spans="6:30" x14ac:dyDescent="0.2">
      <c r="F81" s="13"/>
      <c r="G81" s="13"/>
      <c r="H81" s="13"/>
      <c r="I81" s="13"/>
      <c r="J81" s="13"/>
      <c r="K81" s="13"/>
      <c r="L81" s="13"/>
      <c r="M81" s="13"/>
      <c r="Y81" s="64"/>
      <c r="Z81" s="64"/>
      <c r="AA81" s="64"/>
      <c r="AB81" s="13"/>
      <c r="AC81" s="13"/>
      <c r="AD81" s="13"/>
    </row>
    <row r="82" spans="6:30" x14ac:dyDescent="0.2">
      <c r="F82" s="13"/>
      <c r="G82" s="64"/>
      <c r="H82" s="64"/>
      <c r="I82" s="64"/>
      <c r="J82" s="13"/>
      <c r="K82" s="13"/>
      <c r="L82" s="13"/>
      <c r="M82" s="13"/>
      <c r="Y82" s="31"/>
      <c r="Z82" s="31"/>
      <c r="AA82" s="31"/>
      <c r="AB82" s="13"/>
      <c r="AC82" s="13"/>
      <c r="AD82" s="13"/>
    </row>
    <row r="83" spans="6:30" x14ac:dyDescent="0.2">
      <c r="F83" s="13"/>
      <c r="G83" s="31"/>
      <c r="H83" s="31"/>
      <c r="I83" s="31"/>
      <c r="J83" s="13"/>
      <c r="K83" s="13"/>
      <c r="L83" s="13"/>
      <c r="M83" s="13"/>
      <c r="Y83" s="31"/>
      <c r="Z83" s="31"/>
      <c r="AA83" s="31"/>
      <c r="AB83" s="13"/>
      <c r="AC83" s="13"/>
      <c r="AD83" s="13"/>
    </row>
    <row r="84" spans="6:30" x14ac:dyDescent="0.2">
      <c r="F84" s="13"/>
      <c r="G84" s="31"/>
      <c r="H84" s="31"/>
      <c r="I84" s="31"/>
      <c r="J84" s="13"/>
      <c r="K84" s="13"/>
      <c r="L84" s="13"/>
      <c r="M84" s="13"/>
      <c r="Y84" s="31"/>
      <c r="Z84" s="31"/>
      <c r="AA84" s="31"/>
      <c r="AB84" s="13"/>
      <c r="AC84" s="13"/>
      <c r="AD84" s="13"/>
    </row>
    <row r="85" spans="6:30" x14ac:dyDescent="0.2">
      <c r="F85" s="13"/>
      <c r="G85" s="31"/>
      <c r="H85" s="31"/>
      <c r="I85" s="31"/>
      <c r="J85" s="13"/>
      <c r="K85" s="13"/>
      <c r="L85" s="13"/>
      <c r="M85" s="13"/>
      <c r="Y85" s="31"/>
      <c r="Z85" s="31"/>
      <c r="AA85" s="31"/>
      <c r="AB85" s="13"/>
      <c r="AC85" s="13"/>
      <c r="AD85" s="13"/>
    </row>
    <row r="86" spans="6:30" x14ac:dyDescent="0.2">
      <c r="F86" s="13"/>
      <c r="G86" s="31"/>
      <c r="H86" s="31"/>
      <c r="I86" s="31"/>
      <c r="J86" s="13"/>
      <c r="K86" s="13"/>
      <c r="L86" s="13"/>
      <c r="M86" s="13"/>
      <c r="Y86" s="31"/>
      <c r="Z86" s="31"/>
      <c r="AA86" s="31"/>
      <c r="AB86" s="13"/>
      <c r="AC86" s="13"/>
      <c r="AD86" s="13"/>
    </row>
    <row r="87" spans="6:30" x14ac:dyDescent="0.2">
      <c r="F87" s="13"/>
      <c r="G87" s="31"/>
      <c r="H87" s="31"/>
      <c r="I87" s="31"/>
      <c r="J87" s="13"/>
      <c r="K87" s="13"/>
      <c r="L87" s="13"/>
      <c r="M87" s="13"/>
    </row>
    <row r="88" spans="6:30" x14ac:dyDescent="0.2">
      <c r="F88" s="13"/>
      <c r="G88" s="13"/>
      <c r="H88" s="13"/>
      <c r="I88" s="13"/>
      <c r="J88" s="13"/>
      <c r="K88" s="13"/>
      <c r="L88" s="13"/>
      <c r="M88" s="13"/>
    </row>
    <row r="89" spans="6:30" x14ac:dyDescent="0.2">
      <c r="F89" s="13"/>
      <c r="G89" s="13"/>
      <c r="H89" s="13"/>
      <c r="I89" s="13"/>
      <c r="J89" s="13"/>
      <c r="K89" s="13"/>
      <c r="L89" s="13"/>
      <c r="M89" s="1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4D068-E049-F949-8CEB-21316497FEF2}">
  <dimension ref="A1:AE90"/>
  <sheetViews>
    <sheetView zoomScaleNormal="88" workbookViewId="0">
      <selection activeCell="H46" sqref="H46"/>
    </sheetView>
  </sheetViews>
  <sheetFormatPr baseColWidth="10" defaultRowHeight="16" x14ac:dyDescent="0.2"/>
  <cols>
    <col min="1" max="5" width="10.83203125" style="370"/>
    <col min="8" max="8" width="10.1640625" customWidth="1"/>
    <col min="9" max="9" width="7.33203125" customWidth="1"/>
    <col min="16" max="16" width="8.6640625" customWidth="1"/>
    <col min="17" max="17" width="8.33203125" customWidth="1"/>
    <col min="18" max="18" width="7.5" customWidth="1"/>
  </cols>
  <sheetData>
    <row r="1" spans="1:25" s="137" customFormat="1" ht="30" x14ac:dyDescent="0.2">
      <c r="A1" s="119" t="s">
        <v>2</v>
      </c>
      <c r="B1" s="120" t="s">
        <v>3</v>
      </c>
      <c r="C1" s="120" t="s">
        <v>4</v>
      </c>
      <c r="D1" s="121" t="s">
        <v>234</v>
      </c>
      <c r="E1" s="120" t="s">
        <v>233</v>
      </c>
      <c r="F1" s="141" t="s">
        <v>50</v>
      </c>
      <c r="G1" s="141"/>
      <c r="H1" s="141" t="s">
        <v>57</v>
      </c>
      <c r="I1" s="141"/>
      <c r="J1" s="141"/>
      <c r="K1" s="141"/>
      <c r="L1" s="141"/>
      <c r="M1" s="141"/>
      <c r="N1" s="141"/>
      <c r="O1" s="141"/>
      <c r="P1" s="141"/>
      <c r="Q1" s="141"/>
      <c r="R1" s="141"/>
      <c r="S1" s="141"/>
      <c r="T1" s="141"/>
      <c r="U1" s="141"/>
      <c r="V1" s="141"/>
      <c r="W1" s="141"/>
      <c r="X1" s="141"/>
    </row>
    <row r="2" spans="1:25" s="137" customFormat="1" ht="14" x14ac:dyDescent="0.2">
      <c r="A2" s="109">
        <v>43838</v>
      </c>
      <c r="B2" s="110">
        <v>1</v>
      </c>
      <c r="C2" s="151">
        <v>0</v>
      </c>
      <c r="D2" s="232">
        <v>139.75068602963</v>
      </c>
      <c r="E2" s="116">
        <f>D2-$D$2</f>
        <v>0</v>
      </c>
      <c r="F2" s="213" t="s">
        <v>51</v>
      </c>
      <c r="G2" s="213"/>
      <c r="H2" s="146"/>
      <c r="I2" s="146" t="s">
        <v>62</v>
      </c>
      <c r="J2" s="146" t="s">
        <v>63</v>
      </c>
      <c r="K2" s="146" t="s">
        <v>64</v>
      </c>
      <c r="L2" s="146" t="s">
        <v>65</v>
      </c>
      <c r="M2" s="146" t="s">
        <v>66</v>
      </c>
      <c r="N2" s="146"/>
      <c r="O2" s="146" t="s">
        <v>67</v>
      </c>
      <c r="P2" s="146" t="s">
        <v>270</v>
      </c>
      <c r="Q2" s="146" t="s">
        <v>271</v>
      </c>
      <c r="R2" s="146" t="s">
        <v>68</v>
      </c>
      <c r="S2" s="146" t="s">
        <v>69</v>
      </c>
      <c r="T2" s="146" t="s">
        <v>70</v>
      </c>
      <c r="U2" s="146" t="s">
        <v>71</v>
      </c>
      <c r="V2" s="146" t="s">
        <v>72</v>
      </c>
      <c r="W2" s="146" t="s">
        <v>73</v>
      </c>
      <c r="X2" s="178" t="s">
        <v>272</v>
      </c>
      <c r="Y2" s="178" t="s">
        <v>273</v>
      </c>
    </row>
    <row r="3" spans="1:25" s="137" customFormat="1" ht="14" x14ac:dyDescent="0.2">
      <c r="A3" s="109">
        <v>43838</v>
      </c>
      <c r="B3" s="110">
        <v>1</v>
      </c>
      <c r="C3" s="151">
        <v>0.25</v>
      </c>
      <c r="D3" s="232">
        <v>14178.2857208032</v>
      </c>
      <c r="E3" s="116">
        <f t="shared" ref="E3:E7" si="0">D3-$D$2</f>
        <v>14038.535034773569</v>
      </c>
      <c r="F3" s="133" t="s">
        <v>52</v>
      </c>
      <c r="G3" s="133">
        <v>0.999978092460723</v>
      </c>
      <c r="H3" s="133" t="s">
        <v>58</v>
      </c>
      <c r="I3" s="133">
        <v>1</v>
      </c>
      <c r="J3" s="233">
        <v>53798323928.093369</v>
      </c>
      <c r="K3" s="233">
        <v>53798323928.093369</v>
      </c>
      <c r="L3" s="233">
        <v>68467.329408927093</v>
      </c>
      <c r="M3" s="233">
        <v>1.2309001617162635E-7</v>
      </c>
      <c r="N3" s="233" t="s">
        <v>61</v>
      </c>
      <c r="O3" s="233">
        <v>-1473.226016191431</v>
      </c>
      <c r="P3" s="233">
        <v>587.63405916270403</v>
      </c>
      <c r="Q3" s="233">
        <f>P3*SQRT(G7)</f>
        <v>1313.9897021819395</v>
      </c>
      <c r="R3" s="233">
        <v>-2.5070466784899619</v>
      </c>
      <c r="S3" s="233">
        <v>8.7163846365065425E-2</v>
      </c>
      <c r="T3" s="233">
        <v>-3343.3398566326468</v>
      </c>
      <c r="U3" s="233">
        <v>396.8878242497849</v>
      </c>
      <c r="V3" s="233">
        <v>-3343.3398566326468</v>
      </c>
      <c r="W3" s="233">
        <v>396.8878242497849</v>
      </c>
      <c r="X3" s="162">
        <f>3.3*Q3/O4</f>
        <v>7.2585552876507267E-2</v>
      </c>
      <c r="Y3" s="162">
        <f>10*Q3/O4</f>
        <v>0.21995622083790081</v>
      </c>
    </row>
    <row r="4" spans="1:25" s="137" customFormat="1" ht="14" x14ac:dyDescent="0.2">
      <c r="A4" s="109">
        <v>43838</v>
      </c>
      <c r="B4" s="110">
        <v>1</v>
      </c>
      <c r="C4" s="151">
        <v>0.5</v>
      </c>
      <c r="D4" s="232">
        <v>29070.5547925108</v>
      </c>
      <c r="E4" s="116">
        <f t="shared" si="0"/>
        <v>28930.80410648117</v>
      </c>
      <c r="F4" s="133" t="s">
        <v>53</v>
      </c>
      <c r="G4" s="133">
        <v>0.99995618540138631</v>
      </c>
      <c r="H4" s="133" t="s">
        <v>59</v>
      </c>
      <c r="I4" s="133">
        <v>3</v>
      </c>
      <c r="J4" s="233">
        <v>2357255.2511919159</v>
      </c>
      <c r="K4" s="233">
        <v>785751.75039730535</v>
      </c>
      <c r="L4" s="233"/>
      <c r="M4" s="233"/>
      <c r="N4" s="233" t="s">
        <v>74</v>
      </c>
      <c r="O4" s="233">
        <v>59738.692416901402</v>
      </c>
      <c r="P4" s="233">
        <v>228.30426156173866</v>
      </c>
      <c r="Q4" s="233"/>
      <c r="R4" s="233">
        <v>261.66262516631429</v>
      </c>
      <c r="S4" s="233">
        <v>1.2309001617162635E-7</v>
      </c>
      <c r="T4" s="233">
        <v>59012.12636321372</v>
      </c>
      <c r="U4" s="233">
        <v>60465.258470589084</v>
      </c>
      <c r="V4" s="233">
        <v>59012.12636321372</v>
      </c>
      <c r="W4" s="233">
        <v>60465.258470589084</v>
      </c>
    </row>
    <row r="5" spans="1:25" s="137" customFormat="1" ht="14" x14ac:dyDescent="0.2">
      <c r="A5" s="109">
        <v>43838</v>
      </c>
      <c r="B5" s="110">
        <v>1</v>
      </c>
      <c r="C5" s="151">
        <v>1.25</v>
      </c>
      <c r="D5" s="232">
        <v>72576.952896102302</v>
      </c>
      <c r="E5" s="116">
        <f t="shared" si="0"/>
        <v>72437.202210072675</v>
      </c>
      <c r="F5" s="133" t="s">
        <v>54</v>
      </c>
      <c r="G5" s="133">
        <v>0.99994158053518178</v>
      </c>
      <c r="H5" s="133" t="s">
        <v>60</v>
      </c>
      <c r="I5" s="133">
        <v>4</v>
      </c>
      <c r="J5" s="233">
        <v>53800681183.344559</v>
      </c>
      <c r="K5" s="233"/>
      <c r="L5" s="233"/>
      <c r="M5" s="233"/>
      <c r="N5" s="234"/>
      <c r="O5" s="234"/>
      <c r="P5" s="234"/>
      <c r="Q5" s="234"/>
      <c r="R5" s="234"/>
      <c r="S5" s="234"/>
      <c r="T5" s="234"/>
      <c r="U5" s="234"/>
      <c r="V5" s="234"/>
      <c r="W5" s="234"/>
    </row>
    <row r="6" spans="1:25" s="137" customFormat="1" ht="14" x14ac:dyDescent="0.2">
      <c r="A6" s="109">
        <v>43838</v>
      </c>
      <c r="B6" s="110">
        <v>1</v>
      </c>
      <c r="C6" s="151">
        <v>2.5</v>
      </c>
      <c r="D6" s="232">
        <v>147098.76350998101</v>
      </c>
      <c r="E6" s="116">
        <f t="shared" si="0"/>
        <v>146959.01282395137</v>
      </c>
      <c r="F6" s="133" t="s">
        <v>55</v>
      </c>
      <c r="G6" s="133">
        <v>886.42639310734955</v>
      </c>
      <c r="J6" s="234"/>
      <c r="K6" s="234"/>
      <c r="L6" s="234"/>
      <c r="M6" s="234"/>
      <c r="N6" s="234"/>
      <c r="O6" s="234"/>
      <c r="P6" s="234"/>
      <c r="Q6" s="234"/>
      <c r="R6" s="234"/>
      <c r="S6" s="234"/>
      <c r="T6" s="234"/>
      <c r="U6" s="234"/>
      <c r="V6" s="234"/>
      <c r="W6" s="234"/>
    </row>
    <row r="7" spans="1:25" s="137" customFormat="1" ht="14" x14ac:dyDescent="0.2">
      <c r="A7" s="123">
        <v>43838</v>
      </c>
      <c r="B7" s="124">
        <v>1</v>
      </c>
      <c r="C7" s="152">
        <v>5</v>
      </c>
      <c r="D7" s="235">
        <v>297925.64439035702</v>
      </c>
      <c r="E7" s="126">
        <f t="shared" si="0"/>
        <v>297785.89370432741</v>
      </c>
      <c r="F7" s="148" t="s">
        <v>56</v>
      </c>
      <c r="G7" s="148">
        <v>5</v>
      </c>
      <c r="H7" s="141"/>
      <c r="I7" s="141"/>
      <c r="J7" s="236"/>
      <c r="K7" s="236"/>
      <c r="L7" s="236"/>
      <c r="M7" s="236"/>
      <c r="N7" s="236"/>
      <c r="O7" s="236"/>
      <c r="P7" s="236"/>
      <c r="Q7" s="236"/>
      <c r="R7" s="236"/>
      <c r="S7" s="236"/>
      <c r="T7" s="236"/>
      <c r="U7" s="236"/>
      <c r="V7" s="236"/>
      <c r="W7" s="236"/>
      <c r="X7" s="141"/>
      <c r="Y7" s="141"/>
    </row>
    <row r="8" spans="1:25" s="137" customFormat="1" ht="14" x14ac:dyDescent="0.2">
      <c r="A8" s="109">
        <v>43838</v>
      </c>
      <c r="B8" s="110">
        <v>2</v>
      </c>
      <c r="C8" s="151">
        <v>0</v>
      </c>
      <c r="D8" s="232">
        <v>186.00122282060701</v>
      </c>
      <c r="E8" s="116">
        <f>D8-$D$8</f>
        <v>0</v>
      </c>
      <c r="F8" s="213" t="s">
        <v>51</v>
      </c>
      <c r="G8" s="213"/>
      <c r="H8" s="146"/>
      <c r="I8" s="146" t="s">
        <v>62</v>
      </c>
      <c r="J8" s="237" t="s">
        <v>63</v>
      </c>
      <c r="K8" s="237" t="s">
        <v>64</v>
      </c>
      <c r="L8" s="237" t="s">
        <v>65</v>
      </c>
      <c r="M8" s="237" t="s">
        <v>66</v>
      </c>
      <c r="N8" s="237"/>
      <c r="O8" s="237" t="s">
        <v>67</v>
      </c>
      <c r="P8" s="237" t="s">
        <v>270</v>
      </c>
      <c r="Q8" s="237" t="s">
        <v>271</v>
      </c>
      <c r="R8" s="237" t="s">
        <v>68</v>
      </c>
      <c r="S8" s="237" t="s">
        <v>69</v>
      </c>
      <c r="T8" s="237" t="s">
        <v>70</v>
      </c>
      <c r="U8" s="237" t="s">
        <v>71</v>
      </c>
      <c r="V8" s="237" t="s">
        <v>72</v>
      </c>
      <c r="W8" s="237" t="s">
        <v>73</v>
      </c>
    </row>
    <row r="9" spans="1:25" s="137" customFormat="1" ht="14" x14ac:dyDescent="0.2">
      <c r="A9" s="109">
        <v>43838</v>
      </c>
      <c r="B9" s="110">
        <v>2</v>
      </c>
      <c r="C9" s="151">
        <v>0.25</v>
      </c>
      <c r="D9" s="232">
        <v>12956.1227240914</v>
      </c>
      <c r="E9" s="116">
        <f t="shared" ref="E9:E13" si="1">D9-$D$8</f>
        <v>12770.121501270793</v>
      </c>
      <c r="F9" s="133" t="s">
        <v>52</v>
      </c>
      <c r="G9" s="133">
        <v>0.99998861387848592</v>
      </c>
      <c r="H9" s="133" t="s">
        <v>58</v>
      </c>
      <c r="I9" s="133">
        <v>1</v>
      </c>
      <c r="J9" s="233">
        <v>41650607059.616302</v>
      </c>
      <c r="K9" s="233">
        <v>41650607059.616302</v>
      </c>
      <c r="L9" s="233">
        <v>131737.07828573647</v>
      </c>
      <c r="M9" s="233">
        <v>4.6120800566486307E-8</v>
      </c>
      <c r="N9" s="233" t="s">
        <v>61</v>
      </c>
      <c r="O9" s="233">
        <v>-472.52526515444333</v>
      </c>
      <c r="P9" s="233">
        <v>372.75281774293171</v>
      </c>
      <c r="Q9" s="233">
        <f>P9*SQRT(G13)</f>
        <v>833.50063927778513</v>
      </c>
      <c r="R9" s="233">
        <v>-1.2676638315322395</v>
      </c>
      <c r="S9" s="233">
        <v>0.29436955035115681</v>
      </c>
      <c r="T9" s="233">
        <v>-1658.7910927645282</v>
      </c>
      <c r="U9" s="233">
        <v>713.74056245564157</v>
      </c>
      <c r="V9" s="233">
        <v>-1658.7910927645282</v>
      </c>
      <c r="W9" s="233">
        <v>713.74056245564157</v>
      </c>
      <c r="X9" s="162">
        <f>3.3*Q9/O10</f>
        <v>5.2328449861344481E-2</v>
      </c>
      <c r="Y9" s="162">
        <f>10*Q9/O10</f>
        <v>0.1585710601858924</v>
      </c>
    </row>
    <row r="10" spans="1:25" s="137" customFormat="1" ht="14" x14ac:dyDescent="0.2">
      <c r="A10" s="109">
        <v>43838</v>
      </c>
      <c r="B10" s="110">
        <v>2</v>
      </c>
      <c r="C10" s="151">
        <v>0.5</v>
      </c>
      <c r="D10" s="232">
        <v>25817.313711413201</v>
      </c>
      <c r="E10" s="116">
        <f t="shared" si="1"/>
        <v>25631.312488592594</v>
      </c>
      <c r="F10" s="133" t="s">
        <v>53</v>
      </c>
      <c r="G10" s="133">
        <v>0.99997722788661558</v>
      </c>
      <c r="H10" s="133" t="s">
        <v>59</v>
      </c>
      <c r="I10" s="133">
        <v>3</v>
      </c>
      <c r="J10" s="233">
        <v>948493.94570471358</v>
      </c>
      <c r="K10" s="233">
        <v>316164.64856823784</v>
      </c>
      <c r="L10" s="233"/>
      <c r="M10" s="233"/>
      <c r="N10" s="233" t="s">
        <v>74</v>
      </c>
      <c r="O10" s="233">
        <v>52563.225490242345</v>
      </c>
      <c r="P10" s="233">
        <v>144.81981681101743</v>
      </c>
      <c r="Q10" s="233"/>
      <c r="R10" s="233">
        <v>362.95602803333679</v>
      </c>
      <c r="S10" s="233">
        <v>4.6120800566486307E-8</v>
      </c>
      <c r="T10" s="233">
        <v>52102.344199300256</v>
      </c>
      <c r="U10" s="233">
        <v>53024.106781184433</v>
      </c>
      <c r="V10" s="233">
        <v>52102.344199300256</v>
      </c>
      <c r="W10" s="233">
        <v>53024.106781184433</v>
      </c>
    </row>
    <row r="11" spans="1:25" s="137" customFormat="1" ht="14" x14ac:dyDescent="0.2">
      <c r="A11" s="109">
        <v>43838</v>
      </c>
      <c r="B11" s="110">
        <v>2</v>
      </c>
      <c r="C11" s="151">
        <v>1.25</v>
      </c>
      <c r="D11" s="232">
        <v>65986.3670011215</v>
      </c>
      <c r="E11" s="116">
        <f t="shared" si="1"/>
        <v>65800.365778300897</v>
      </c>
      <c r="F11" s="133" t="s">
        <v>54</v>
      </c>
      <c r="G11" s="133">
        <v>0.99996963718215415</v>
      </c>
      <c r="H11" s="133" t="s">
        <v>60</v>
      </c>
      <c r="I11" s="133">
        <v>4</v>
      </c>
      <c r="J11" s="233">
        <v>41651555553.562004</v>
      </c>
      <c r="K11" s="233"/>
      <c r="L11" s="233"/>
      <c r="M11" s="233"/>
      <c r="N11" s="234"/>
      <c r="O11" s="234"/>
      <c r="P11" s="234"/>
      <c r="Q11" s="234"/>
      <c r="R11" s="234"/>
      <c r="S11" s="234"/>
      <c r="T11" s="234"/>
      <c r="U11" s="234"/>
      <c r="V11" s="234"/>
      <c r="W11" s="234"/>
    </row>
    <row r="12" spans="1:25" s="137" customFormat="1" ht="14" x14ac:dyDescent="0.2">
      <c r="A12" s="109">
        <v>43838</v>
      </c>
      <c r="B12" s="110">
        <v>2</v>
      </c>
      <c r="C12" s="151">
        <v>2.5</v>
      </c>
      <c r="D12" s="232">
        <v>130394.749148424</v>
      </c>
      <c r="E12" s="116">
        <f t="shared" si="1"/>
        <v>130208.7479256034</v>
      </c>
      <c r="F12" s="133" t="s">
        <v>55</v>
      </c>
      <c r="G12" s="133">
        <v>562.28520216011179</v>
      </c>
      <c r="J12" s="234"/>
      <c r="K12" s="234"/>
      <c r="L12" s="234"/>
      <c r="M12" s="234"/>
      <c r="N12" s="234"/>
      <c r="O12" s="234"/>
      <c r="P12" s="234"/>
      <c r="Q12" s="234"/>
      <c r="R12" s="234"/>
      <c r="S12" s="234"/>
      <c r="T12" s="234"/>
      <c r="U12" s="234"/>
      <c r="V12" s="234"/>
      <c r="W12" s="234"/>
    </row>
    <row r="13" spans="1:25" s="137" customFormat="1" ht="14" x14ac:dyDescent="0.2">
      <c r="A13" s="123">
        <v>43838</v>
      </c>
      <c r="B13" s="124">
        <v>2</v>
      </c>
      <c r="C13" s="152">
        <v>5</v>
      </c>
      <c r="D13" s="235">
        <v>262763.469360583</v>
      </c>
      <c r="E13" s="126">
        <f t="shared" si="1"/>
        <v>262577.46813776239</v>
      </c>
      <c r="F13" s="148" t="s">
        <v>56</v>
      </c>
      <c r="G13" s="148">
        <v>5</v>
      </c>
      <c r="H13" s="141"/>
      <c r="I13" s="141"/>
      <c r="J13" s="236"/>
      <c r="K13" s="236"/>
      <c r="L13" s="236"/>
      <c r="M13" s="236"/>
      <c r="N13" s="236"/>
      <c r="O13" s="236"/>
      <c r="P13" s="236"/>
      <c r="Q13" s="236"/>
      <c r="R13" s="236"/>
      <c r="S13" s="236"/>
      <c r="T13" s="236"/>
      <c r="U13" s="236"/>
      <c r="V13" s="236"/>
      <c r="W13" s="236"/>
      <c r="X13" s="141"/>
      <c r="Y13" s="141"/>
    </row>
    <row r="14" spans="1:25" s="137" customFormat="1" ht="14" x14ac:dyDescent="0.2">
      <c r="A14" s="109">
        <v>43838</v>
      </c>
      <c r="B14" s="110">
        <v>3</v>
      </c>
      <c r="C14" s="151">
        <v>0</v>
      </c>
      <c r="D14" s="232">
        <v>255.75230159457601</v>
      </c>
      <c r="E14" s="116">
        <f>D14-$D$14</f>
        <v>0</v>
      </c>
      <c r="F14" s="213" t="s">
        <v>51</v>
      </c>
      <c r="G14" s="213"/>
      <c r="H14" s="146"/>
      <c r="I14" s="146" t="s">
        <v>62</v>
      </c>
      <c r="J14" s="237" t="s">
        <v>63</v>
      </c>
      <c r="K14" s="237" t="s">
        <v>64</v>
      </c>
      <c r="L14" s="237" t="s">
        <v>65</v>
      </c>
      <c r="M14" s="237" t="s">
        <v>66</v>
      </c>
      <c r="N14" s="237"/>
      <c r="O14" s="237" t="s">
        <v>67</v>
      </c>
      <c r="P14" s="237" t="s">
        <v>270</v>
      </c>
      <c r="Q14" s="237" t="s">
        <v>271</v>
      </c>
      <c r="R14" s="237" t="s">
        <v>68</v>
      </c>
      <c r="S14" s="237" t="s">
        <v>69</v>
      </c>
      <c r="T14" s="237" t="s">
        <v>70</v>
      </c>
      <c r="U14" s="237" t="s">
        <v>71</v>
      </c>
      <c r="V14" s="237" t="s">
        <v>72</v>
      </c>
      <c r="W14" s="237" t="s">
        <v>73</v>
      </c>
    </row>
    <row r="15" spans="1:25" s="137" customFormat="1" ht="14" x14ac:dyDescent="0.2">
      <c r="A15" s="109">
        <v>43838</v>
      </c>
      <c r="B15" s="110">
        <v>3</v>
      </c>
      <c r="C15" s="151">
        <v>0.25</v>
      </c>
      <c r="D15" s="232">
        <v>12306.298776722901</v>
      </c>
      <c r="E15" s="116">
        <f t="shared" ref="E15:E19" si="2">D15-$D$14</f>
        <v>12050.546475128325</v>
      </c>
      <c r="F15" s="133" t="s">
        <v>52</v>
      </c>
      <c r="G15" s="133">
        <v>0.99998938688594252</v>
      </c>
      <c r="H15" s="133" t="s">
        <v>58</v>
      </c>
      <c r="I15" s="133">
        <v>1</v>
      </c>
      <c r="J15" s="233">
        <v>37143855602.508087</v>
      </c>
      <c r="K15" s="233">
        <v>37143855602.508087</v>
      </c>
      <c r="L15" s="233">
        <v>141332.32832614882</v>
      </c>
      <c r="M15" s="233">
        <v>4.1504712831566894E-8</v>
      </c>
      <c r="N15" s="233" t="s">
        <v>61</v>
      </c>
      <c r="O15" s="233">
        <v>34.049140289062052</v>
      </c>
      <c r="P15" s="233">
        <v>339.84979731424073</v>
      </c>
      <c r="Q15" s="233">
        <f>P15*SQRT(G19)</f>
        <v>759.92724893416778</v>
      </c>
      <c r="R15" s="233">
        <v>0.10018879092512346</v>
      </c>
      <c r="S15" s="233">
        <v>0.92651448994397712</v>
      </c>
      <c r="T15" s="233">
        <v>-1047.5045915250607</v>
      </c>
      <c r="U15" s="233">
        <v>1115.6028721031848</v>
      </c>
      <c r="V15" s="233">
        <v>-1047.5045915250607</v>
      </c>
      <c r="W15" s="233">
        <v>1115.6028721031848</v>
      </c>
      <c r="X15" s="162">
        <f>3.3*Q15/O16</f>
        <v>5.0520905569773317E-2</v>
      </c>
      <c r="Y15" s="162">
        <f>10*Q15/O16</f>
        <v>0.15309365324173732</v>
      </c>
    </row>
    <row r="16" spans="1:25" s="137" customFormat="1" ht="14" x14ac:dyDescent="0.2">
      <c r="A16" s="109">
        <v>43838</v>
      </c>
      <c r="B16" s="110">
        <v>3</v>
      </c>
      <c r="C16" s="151">
        <v>0.5</v>
      </c>
      <c r="D16" s="232">
        <v>24860.8642985189</v>
      </c>
      <c r="E16" s="116">
        <f t="shared" si="2"/>
        <v>24605.111996924323</v>
      </c>
      <c r="F16" s="133" t="s">
        <v>53</v>
      </c>
      <c r="G16" s="133">
        <v>0.99997877388452328</v>
      </c>
      <c r="H16" s="133" t="s">
        <v>59</v>
      </c>
      <c r="I16" s="133">
        <v>3</v>
      </c>
      <c r="J16" s="233">
        <v>788436.50371609686</v>
      </c>
      <c r="K16" s="233">
        <v>262812.16790536564</v>
      </c>
      <c r="L16" s="233"/>
      <c r="M16" s="233"/>
      <c r="N16" s="233" t="s">
        <v>74</v>
      </c>
      <c r="O16" s="233">
        <v>49638.063554093293</v>
      </c>
      <c r="P16" s="233">
        <v>132.0365213825215</v>
      </c>
      <c r="Q16" s="233"/>
      <c r="R16" s="233">
        <v>375.94192148009887</v>
      </c>
      <c r="S16" s="233">
        <v>4.1504712831566894E-8</v>
      </c>
      <c r="T16" s="233">
        <v>49217.864414456977</v>
      </c>
      <c r="U16" s="233">
        <v>50058.262693729608</v>
      </c>
      <c r="V16" s="233">
        <v>49217.864414456977</v>
      </c>
      <c r="W16" s="233">
        <v>50058.262693729608</v>
      </c>
    </row>
    <row r="17" spans="1:30" s="137" customFormat="1" ht="14" x14ac:dyDescent="0.2">
      <c r="A17" s="109">
        <v>43838</v>
      </c>
      <c r="B17" s="110">
        <v>3</v>
      </c>
      <c r="C17" s="151">
        <v>1.25</v>
      </c>
      <c r="D17" s="232">
        <v>63062.134047467604</v>
      </c>
      <c r="E17" s="116">
        <f t="shared" si="2"/>
        <v>62806.381745873026</v>
      </c>
      <c r="F17" s="133" t="s">
        <v>54</v>
      </c>
      <c r="G17" s="133">
        <v>0.99997169851269774</v>
      </c>
      <c r="H17" s="133" t="s">
        <v>60</v>
      </c>
      <c r="I17" s="133">
        <v>4</v>
      </c>
      <c r="J17" s="233">
        <v>37144644039.011803</v>
      </c>
      <c r="K17" s="233"/>
      <c r="L17" s="233"/>
      <c r="M17" s="233"/>
      <c r="N17" s="234"/>
      <c r="O17" s="234"/>
      <c r="P17" s="234"/>
      <c r="Q17" s="234"/>
      <c r="R17" s="234"/>
      <c r="S17" s="234"/>
      <c r="T17" s="234"/>
      <c r="U17" s="234"/>
      <c r="V17" s="234"/>
      <c r="W17" s="234"/>
    </row>
    <row r="18" spans="1:30" s="137" customFormat="1" ht="14" x14ac:dyDescent="0.2">
      <c r="A18" s="109">
        <v>43838</v>
      </c>
      <c r="B18" s="110">
        <v>3</v>
      </c>
      <c r="C18" s="151">
        <v>2.5</v>
      </c>
      <c r="D18" s="232">
        <v>124490.909891406</v>
      </c>
      <c r="E18" s="116">
        <f t="shared" si="2"/>
        <v>124235.15758981142</v>
      </c>
      <c r="F18" s="133" t="s">
        <v>55</v>
      </c>
      <c r="G18" s="133">
        <v>512.65209246170605</v>
      </c>
      <c r="J18" s="238"/>
      <c r="K18" s="238"/>
      <c r="L18" s="238"/>
      <c r="M18" s="234"/>
      <c r="N18" s="234"/>
      <c r="O18" s="234"/>
      <c r="P18" s="234"/>
      <c r="Q18" s="234"/>
      <c r="R18" s="234"/>
      <c r="S18" s="234"/>
      <c r="T18" s="234"/>
      <c r="U18" s="234"/>
      <c r="V18" s="234"/>
      <c r="W18" s="234"/>
      <c r="AB18" s="144"/>
      <c r="AC18" s="220"/>
      <c r="AD18" s="144"/>
    </row>
    <row r="19" spans="1:30" s="137" customFormat="1" ht="14" x14ac:dyDescent="0.2">
      <c r="A19" s="123">
        <v>43838</v>
      </c>
      <c r="B19" s="124">
        <v>3</v>
      </c>
      <c r="C19" s="152">
        <v>5</v>
      </c>
      <c r="D19" s="235">
        <v>248290.40395918899</v>
      </c>
      <c r="E19" s="126">
        <f t="shared" si="2"/>
        <v>248034.65165759443</v>
      </c>
      <c r="F19" s="148" t="s">
        <v>56</v>
      </c>
      <c r="G19" s="148">
        <v>5</v>
      </c>
      <c r="H19" s="141"/>
      <c r="I19" s="141"/>
      <c r="J19" s="239"/>
      <c r="K19" s="239"/>
      <c r="L19" s="239"/>
      <c r="M19" s="236"/>
      <c r="N19" s="236"/>
      <c r="O19" s="236"/>
      <c r="P19" s="236"/>
      <c r="Q19" s="236"/>
      <c r="R19" s="236"/>
      <c r="S19" s="236"/>
      <c r="T19" s="236"/>
      <c r="U19" s="236"/>
      <c r="V19" s="236"/>
      <c r="W19" s="236"/>
      <c r="X19" s="141"/>
      <c r="Y19" s="141"/>
      <c r="AB19" s="144"/>
      <c r="AC19" s="220"/>
      <c r="AD19" s="144"/>
    </row>
    <row r="20" spans="1:30" s="137" customFormat="1" ht="14" x14ac:dyDescent="0.2">
      <c r="A20" s="109">
        <v>43789</v>
      </c>
      <c r="B20" s="110">
        <v>1</v>
      </c>
      <c r="C20" s="151">
        <v>0</v>
      </c>
      <c r="D20" s="176">
        <v>95.750322184838694</v>
      </c>
      <c r="E20" s="116">
        <f>D20-$D$20</f>
        <v>0</v>
      </c>
      <c r="F20" s="213" t="s">
        <v>51</v>
      </c>
      <c r="G20" s="213"/>
      <c r="H20" s="146"/>
      <c r="I20" s="146" t="s">
        <v>62</v>
      </c>
      <c r="J20" s="237" t="s">
        <v>63</v>
      </c>
      <c r="K20" s="237" t="s">
        <v>64</v>
      </c>
      <c r="L20" s="237" t="s">
        <v>65</v>
      </c>
      <c r="M20" s="237" t="s">
        <v>66</v>
      </c>
      <c r="N20" s="237"/>
      <c r="O20" s="237" t="s">
        <v>67</v>
      </c>
      <c r="P20" s="237" t="s">
        <v>270</v>
      </c>
      <c r="Q20" s="237" t="s">
        <v>271</v>
      </c>
      <c r="R20" s="237" t="s">
        <v>68</v>
      </c>
      <c r="S20" s="237" t="s">
        <v>69</v>
      </c>
      <c r="T20" s="237" t="s">
        <v>70</v>
      </c>
      <c r="U20" s="237" t="s">
        <v>71</v>
      </c>
      <c r="V20" s="237" t="s">
        <v>72</v>
      </c>
      <c r="W20" s="237" t="s">
        <v>73</v>
      </c>
    </row>
    <row r="21" spans="1:30" s="137" customFormat="1" ht="14" x14ac:dyDescent="0.2">
      <c r="A21" s="109">
        <v>43789</v>
      </c>
      <c r="B21" s="110">
        <v>1</v>
      </c>
      <c r="C21" s="151">
        <v>0.25</v>
      </c>
      <c r="D21" s="176">
        <v>12118.139568926201</v>
      </c>
      <c r="E21" s="116">
        <f t="shared" ref="E21:E25" si="3">D21-$D$20</f>
        <v>12022.389246741363</v>
      </c>
      <c r="F21" s="133" t="s">
        <v>52</v>
      </c>
      <c r="G21" s="133">
        <v>0.99977858333363689</v>
      </c>
      <c r="H21" s="133" t="s">
        <v>58</v>
      </c>
      <c r="I21" s="133">
        <v>1</v>
      </c>
      <c r="J21" s="233">
        <v>28281459885.781994</v>
      </c>
      <c r="K21" s="233">
        <v>28281459885.781994</v>
      </c>
      <c r="L21" s="233">
        <v>6772.3078642522059</v>
      </c>
      <c r="M21" s="233">
        <v>3.9548944243985901E-6</v>
      </c>
      <c r="N21" s="233" t="s">
        <v>61</v>
      </c>
      <c r="O21" s="233">
        <v>2851.0625850412325</v>
      </c>
      <c r="P21" s="233">
        <v>1354.7115906678632</v>
      </c>
      <c r="Q21" s="233">
        <f>P21*SQRT(G25)</f>
        <v>3029.227206640212</v>
      </c>
      <c r="R21" s="233">
        <v>2.1045531792015444</v>
      </c>
      <c r="S21" s="233">
        <v>0.12601799742085953</v>
      </c>
      <c r="T21" s="233">
        <v>-1460.2343114047253</v>
      </c>
      <c r="U21" s="233">
        <v>7162.3594814871904</v>
      </c>
      <c r="V21" s="233">
        <v>-1460.2343114047253</v>
      </c>
      <c r="W21" s="233">
        <v>7162.3594814871904</v>
      </c>
      <c r="X21" s="162">
        <f>3.3*Q21/O22</f>
        <v>0.23079348072826047</v>
      </c>
      <c r="Y21" s="162">
        <f>10*Q21/O22</f>
        <v>0.69937418402503171</v>
      </c>
      <c r="Z21" s="145"/>
      <c r="AA21" s="145"/>
    </row>
    <row r="22" spans="1:30" s="137" customFormat="1" ht="14" x14ac:dyDescent="0.2">
      <c r="A22" s="109">
        <v>43789</v>
      </c>
      <c r="B22" s="110">
        <v>1</v>
      </c>
      <c r="C22" s="151">
        <v>0.5</v>
      </c>
      <c r="D22" s="176">
        <v>23733.452605531202</v>
      </c>
      <c r="E22" s="116">
        <f t="shared" si="3"/>
        <v>23637.702283346363</v>
      </c>
      <c r="F22" s="133" t="s">
        <v>53</v>
      </c>
      <c r="G22" s="133">
        <v>0.99955721569261402</v>
      </c>
      <c r="H22" s="133" t="s">
        <v>59</v>
      </c>
      <c r="I22" s="133">
        <v>3</v>
      </c>
      <c r="J22" s="233">
        <v>12528133.888478274</v>
      </c>
      <c r="K22" s="233">
        <v>4176044.6294927578</v>
      </c>
      <c r="L22" s="233"/>
      <c r="M22" s="233"/>
      <c r="N22" s="233" t="s">
        <v>74</v>
      </c>
      <c r="O22" s="233">
        <v>43313.39754645263</v>
      </c>
      <c r="P22" s="233">
        <v>526.32488623488666</v>
      </c>
      <c r="Q22" s="233"/>
      <c r="R22" s="233">
        <v>82.294032980843809</v>
      </c>
      <c r="S22" s="233">
        <v>3.9548944243985901E-6</v>
      </c>
      <c r="T22" s="233">
        <v>41638.396856875544</v>
      </c>
      <c r="U22" s="233">
        <v>44988.398236029716</v>
      </c>
      <c r="V22" s="233">
        <v>41638.396856875544</v>
      </c>
      <c r="W22" s="233">
        <v>44988.398236029716</v>
      </c>
      <c r="Y22" s="133"/>
      <c r="Z22" s="133"/>
      <c r="AA22" s="133"/>
    </row>
    <row r="23" spans="1:30" s="137" customFormat="1" ht="14" x14ac:dyDescent="0.2">
      <c r="A23" s="109">
        <v>43789</v>
      </c>
      <c r="B23" s="110">
        <v>1</v>
      </c>
      <c r="C23" s="151">
        <v>1.25</v>
      </c>
      <c r="D23" s="176">
        <v>58870.093986030901</v>
      </c>
      <c r="E23" s="116">
        <f t="shared" si="3"/>
        <v>58774.343663846063</v>
      </c>
      <c r="F23" s="133" t="s">
        <v>54</v>
      </c>
      <c r="G23" s="133">
        <v>0.9994096209234854</v>
      </c>
      <c r="H23" s="133" t="s">
        <v>60</v>
      </c>
      <c r="I23" s="133">
        <v>4</v>
      </c>
      <c r="J23" s="233">
        <v>28293988019.670471</v>
      </c>
      <c r="K23" s="233"/>
      <c r="L23" s="233"/>
      <c r="M23" s="233"/>
      <c r="N23" s="234"/>
      <c r="O23" s="234"/>
      <c r="P23" s="234"/>
      <c r="Q23" s="234"/>
      <c r="R23" s="234"/>
      <c r="S23" s="234"/>
      <c r="T23" s="234"/>
      <c r="U23" s="234"/>
      <c r="V23" s="234"/>
      <c r="W23" s="234"/>
      <c r="Y23" s="133"/>
      <c r="Z23" s="133"/>
      <c r="AA23" s="133"/>
    </row>
    <row r="24" spans="1:30" s="137" customFormat="1" ht="14" x14ac:dyDescent="0.2">
      <c r="A24" s="109">
        <v>43789</v>
      </c>
      <c r="B24" s="110">
        <v>1</v>
      </c>
      <c r="C24" s="151">
        <v>2.5</v>
      </c>
      <c r="D24" s="176">
        <v>113272.455066942</v>
      </c>
      <c r="E24" s="116">
        <f t="shared" si="3"/>
        <v>113176.70474475715</v>
      </c>
      <c r="F24" s="133" t="s">
        <v>55</v>
      </c>
      <c r="G24" s="133">
        <v>2043.5372836072156</v>
      </c>
      <c r="H24" s="133"/>
      <c r="I24" s="133"/>
      <c r="J24" s="234"/>
      <c r="K24" s="234"/>
      <c r="L24" s="234"/>
      <c r="M24" s="234"/>
      <c r="N24" s="234"/>
      <c r="O24" s="234"/>
      <c r="P24" s="234"/>
      <c r="Q24" s="234"/>
      <c r="R24" s="234"/>
      <c r="S24" s="234"/>
      <c r="T24" s="234"/>
      <c r="U24" s="234"/>
      <c r="V24" s="234"/>
      <c r="W24" s="234"/>
      <c r="Y24" s="133"/>
      <c r="Z24" s="133"/>
      <c r="AA24" s="133"/>
    </row>
    <row r="25" spans="1:30" s="137" customFormat="1" ht="14" x14ac:dyDescent="0.2">
      <c r="A25" s="123">
        <v>43789</v>
      </c>
      <c r="B25" s="124">
        <v>1</v>
      </c>
      <c r="C25" s="152">
        <v>5</v>
      </c>
      <c r="D25" s="125">
        <v>218217.2</v>
      </c>
      <c r="E25" s="126">
        <f t="shared" si="3"/>
        <v>218121.44967781517</v>
      </c>
      <c r="F25" s="148" t="s">
        <v>56</v>
      </c>
      <c r="G25" s="148">
        <v>5</v>
      </c>
      <c r="H25" s="148"/>
      <c r="I25" s="148"/>
      <c r="J25" s="236"/>
      <c r="K25" s="236"/>
      <c r="L25" s="236"/>
      <c r="M25" s="236"/>
      <c r="N25" s="236"/>
      <c r="O25" s="236"/>
      <c r="P25" s="236"/>
      <c r="Q25" s="236"/>
      <c r="R25" s="236"/>
      <c r="S25" s="236"/>
      <c r="T25" s="236"/>
      <c r="U25" s="236"/>
      <c r="V25" s="236"/>
      <c r="W25" s="236"/>
      <c r="X25" s="141"/>
      <c r="Y25" s="148"/>
      <c r="Z25" s="133"/>
      <c r="AA25" s="133"/>
    </row>
    <row r="26" spans="1:30" s="137" customFormat="1" ht="14" x14ac:dyDescent="0.2">
      <c r="A26" s="109">
        <v>43888</v>
      </c>
      <c r="B26" s="110">
        <v>1</v>
      </c>
      <c r="C26" s="151">
        <v>0</v>
      </c>
      <c r="D26" s="176">
        <v>114.75046150310899</v>
      </c>
      <c r="E26" s="116">
        <f>D26-$D$26</f>
        <v>0</v>
      </c>
      <c r="F26" s="213" t="s">
        <v>51</v>
      </c>
      <c r="G26" s="213"/>
      <c r="H26" s="146"/>
      <c r="I26" s="146" t="s">
        <v>62</v>
      </c>
      <c r="J26" s="237" t="s">
        <v>63</v>
      </c>
      <c r="K26" s="237" t="s">
        <v>64</v>
      </c>
      <c r="L26" s="237" t="s">
        <v>65</v>
      </c>
      <c r="M26" s="237" t="s">
        <v>66</v>
      </c>
      <c r="N26" s="237"/>
      <c r="O26" s="237" t="s">
        <v>67</v>
      </c>
      <c r="P26" s="237" t="s">
        <v>270</v>
      </c>
      <c r="Q26" s="237" t="s">
        <v>271</v>
      </c>
      <c r="R26" s="237" t="s">
        <v>68</v>
      </c>
      <c r="S26" s="237" t="s">
        <v>69</v>
      </c>
      <c r="T26" s="237" t="s">
        <v>70</v>
      </c>
      <c r="U26" s="237" t="s">
        <v>71</v>
      </c>
      <c r="V26" s="237" t="s">
        <v>72</v>
      </c>
      <c r="W26" s="237" t="s">
        <v>73</v>
      </c>
    </row>
    <row r="27" spans="1:30" s="137" customFormat="1" ht="14" x14ac:dyDescent="0.2">
      <c r="A27" s="109">
        <v>43888</v>
      </c>
      <c r="B27" s="110">
        <v>1</v>
      </c>
      <c r="C27" s="151">
        <v>0.25</v>
      </c>
      <c r="D27" s="176">
        <v>16442.459533455702</v>
      </c>
      <c r="E27" s="116">
        <f t="shared" ref="E27:E31" si="4">D27-$D$26</f>
        <v>16327.709071952593</v>
      </c>
      <c r="F27" s="133" t="s">
        <v>52</v>
      </c>
      <c r="G27" s="133">
        <v>0.99999786527202561</v>
      </c>
      <c r="H27" s="133" t="s">
        <v>58</v>
      </c>
      <c r="I27" s="133">
        <v>1</v>
      </c>
      <c r="J27" s="233">
        <v>67318275263.351265</v>
      </c>
      <c r="K27" s="233">
        <v>67318275263.351265</v>
      </c>
      <c r="L27" s="233">
        <v>702663.39077532617</v>
      </c>
      <c r="M27" s="233">
        <v>3.744100781458961E-9</v>
      </c>
      <c r="N27" s="233" t="s">
        <v>61</v>
      </c>
      <c r="O27" s="233">
        <v>-434.021916114958</v>
      </c>
      <c r="P27" s="233">
        <v>205.19043285025899</v>
      </c>
      <c r="Q27" s="233">
        <f>P27*SQRT(G31)</f>
        <v>458.81975618578502</v>
      </c>
      <c r="R27" s="233">
        <v>-2.1152151690799954</v>
      </c>
      <c r="S27" s="233">
        <v>0.12474762006629481</v>
      </c>
      <c r="T27" s="233">
        <v>-1087.0294510188296</v>
      </c>
      <c r="U27" s="233">
        <v>218.98561878891371</v>
      </c>
      <c r="V27" s="233">
        <v>-1087.0294510188296</v>
      </c>
      <c r="W27" s="233">
        <v>218.98561878891371</v>
      </c>
      <c r="X27" s="162">
        <f>3.3*Q27/O28</f>
        <v>2.2657825085820305E-2</v>
      </c>
      <c r="Y27" s="162">
        <f>10*Q27/O28</f>
        <v>6.8660076017637295E-2</v>
      </c>
    </row>
    <row r="28" spans="1:30" s="137" customFormat="1" ht="14" x14ac:dyDescent="0.2">
      <c r="A28" s="109">
        <v>43888</v>
      </c>
      <c r="B28" s="110">
        <v>1</v>
      </c>
      <c r="C28" s="151">
        <v>0.5</v>
      </c>
      <c r="D28" s="176">
        <v>33212.068442055897</v>
      </c>
      <c r="E28" s="116">
        <f t="shared" si="4"/>
        <v>33097.317980552791</v>
      </c>
      <c r="F28" s="133" t="s">
        <v>53</v>
      </c>
      <c r="G28" s="133">
        <v>0.99999573054860824</v>
      </c>
      <c r="H28" s="133" t="s">
        <v>59</v>
      </c>
      <c r="I28" s="133">
        <v>3</v>
      </c>
      <c r="J28" s="233">
        <v>287413.33110753744</v>
      </c>
      <c r="K28" s="233">
        <v>95804.443702512479</v>
      </c>
      <c r="L28" s="233"/>
      <c r="M28" s="233"/>
      <c r="N28" s="233" t="s">
        <v>74</v>
      </c>
      <c r="O28" s="233">
        <v>66824.824963480103</v>
      </c>
      <c r="P28" s="233">
        <v>79.719426607369641</v>
      </c>
      <c r="Q28" s="233"/>
      <c r="R28" s="233">
        <v>838.25019580989431</v>
      </c>
      <c r="S28" s="233">
        <v>3.744100781458961E-9</v>
      </c>
      <c r="T28" s="233">
        <v>66571.122168814138</v>
      </c>
      <c r="U28" s="233">
        <v>67078.527758146069</v>
      </c>
      <c r="V28" s="233">
        <v>66571.122168814138</v>
      </c>
      <c r="W28" s="233">
        <v>67078.527758146069</v>
      </c>
    </row>
    <row r="29" spans="1:30" s="137" customFormat="1" ht="14" x14ac:dyDescent="0.2">
      <c r="A29" s="109">
        <v>43888</v>
      </c>
      <c r="B29" s="110">
        <v>1</v>
      </c>
      <c r="C29" s="151">
        <v>1.25</v>
      </c>
      <c r="D29" s="176">
        <v>82795.485508233105</v>
      </c>
      <c r="E29" s="116">
        <f t="shared" si="4"/>
        <v>82680.735046729998</v>
      </c>
      <c r="F29" s="133" t="s">
        <v>54</v>
      </c>
      <c r="G29" s="133">
        <v>0.99999430739814432</v>
      </c>
      <c r="H29" s="133" t="s">
        <v>60</v>
      </c>
      <c r="I29" s="133">
        <v>4</v>
      </c>
      <c r="J29" s="233">
        <v>67318562676.682373</v>
      </c>
      <c r="K29" s="233"/>
      <c r="L29" s="233"/>
      <c r="M29" s="233"/>
      <c r="N29" s="234"/>
      <c r="O29" s="234"/>
      <c r="P29" s="234"/>
      <c r="Q29" s="234"/>
      <c r="R29" s="234"/>
      <c r="S29" s="234"/>
      <c r="T29" s="234"/>
      <c r="U29" s="234"/>
      <c r="V29" s="234"/>
      <c r="W29" s="234"/>
    </row>
    <row r="30" spans="1:30" s="137" customFormat="1" ht="14" x14ac:dyDescent="0.2">
      <c r="A30" s="109">
        <v>43888</v>
      </c>
      <c r="B30" s="110">
        <v>1</v>
      </c>
      <c r="C30" s="151">
        <v>2.5</v>
      </c>
      <c r="D30" s="176">
        <v>167047.63594980101</v>
      </c>
      <c r="E30" s="116">
        <f t="shared" si="4"/>
        <v>166932.88548829791</v>
      </c>
      <c r="F30" s="133" t="s">
        <v>55</v>
      </c>
      <c r="G30" s="133">
        <v>309.52292920317308</v>
      </c>
      <c r="J30" s="234"/>
      <c r="K30" s="234"/>
      <c r="L30" s="234"/>
      <c r="M30" s="234"/>
      <c r="N30" s="234"/>
      <c r="O30" s="234"/>
      <c r="P30" s="234"/>
      <c r="Q30" s="234"/>
      <c r="R30" s="234"/>
      <c r="S30" s="234"/>
      <c r="T30" s="234"/>
      <c r="U30" s="234"/>
      <c r="V30" s="234"/>
      <c r="W30" s="234"/>
    </row>
    <row r="31" spans="1:30" s="137" customFormat="1" ht="14" x14ac:dyDescent="0.2">
      <c r="A31" s="123">
        <v>43888</v>
      </c>
      <c r="B31" s="124">
        <v>1</v>
      </c>
      <c r="C31" s="152">
        <v>5</v>
      </c>
      <c r="D31" s="181">
        <v>333741.83044645598</v>
      </c>
      <c r="E31" s="126">
        <f t="shared" si="4"/>
        <v>333627.07998495287</v>
      </c>
      <c r="F31" s="148" t="s">
        <v>56</v>
      </c>
      <c r="G31" s="148">
        <v>5</v>
      </c>
      <c r="H31" s="141"/>
      <c r="I31" s="141"/>
      <c r="J31" s="236"/>
      <c r="K31" s="236"/>
      <c r="L31" s="236"/>
      <c r="M31" s="236"/>
      <c r="N31" s="236"/>
      <c r="O31" s="236"/>
      <c r="P31" s="236"/>
      <c r="Q31" s="236"/>
      <c r="R31" s="236"/>
      <c r="S31" s="236"/>
      <c r="T31" s="236"/>
      <c r="U31" s="236"/>
      <c r="V31" s="236"/>
      <c r="W31" s="236"/>
      <c r="X31" s="141"/>
      <c r="Y31" s="141"/>
    </row>
    <row r="32" spans="1:30" s="137" customFormat="1" ht="14" x14ac:dyDescent="0.2">
      <c r="A32" s="109">
        <v>43888</v>
      </c>
      <c r="B32" s="110">
        <v>2</v>
      </c>
      <c r="C32" s="151">
        <v>0</v>
      </c>
      <c r="D32" s="176">
        <v>191.25128616244001</v>
      </c>
      <c r="E32" s="116">
        <f>D32-$D$32</f>
        <v>0</v>
      </c>
      <c r="F32" s="213" t="s">
        <v>51</v>
      </c>
      <c r="G32" s="213"/>
      <c r="H32" s="146"/>
      <c r="I32" s="146" t="s">
        <v>62</v>
      </c>
      <c r="J32" s="237" t="s">
        <v>63</v>
      </c>
      <c r="K32" s="237" t="s">
        <v>64</v>
      </c>
      <c r="L32" s="237" t="s">
        <v>65</v>
      </c>
      <c r="M32" s="237" t="s">
        <v>66</v>
      </c>
      <c r="N32" s="237"/>
      <c r="O32" s="237" t="s">
        <v>67</v>
      </c>
      <c r="P32" s="237" t="s">
        <v>270</v>
      </c>
      <c r="Q32" s="237" t="s">
        <v>271</v>
      </c>
      <c r="R32" s="237" t="s">
        <v>68</v>
      </c>
      <c r="S32" s="237" t="s">
        <v>69</v>
      </c>
      <c r="T32" s="237" t="s">
        <v>70</v>
      </c>
      <c r="U32" s="237" t="s">
        <v>71</v>
      </c>
      <c r="V32" s="237" t="s">
        <v>72</v>
      </c>
      <c r="W32" s="237" t="s">
        <v>73</v>
      </c>
    </row>
    <row r="33" spans="1:30" s="137" customFormat="1" ht="14" x14ac:dyDescent="0.2">
      <c r="A33" s="109">
        <v>43888</v>
      </c>
      <c r="B33" s="110">
        <v>2</v>
      </c>
      <c r="C33" s="151">
        <v>0.25</v>
      </c>
      <c r="D33" s="176">
        <v>15027.900459092099</v>
      </c>
      <c r="E33" s="116">
        <f t="shared" ref="E33:E37" si="5">D33-$D$32</f>
        <v>14836.649172929659</v>
      </c>
      <c r="F33" s="133" t="s">
        <v>52</v>
      </c>
      <c r="G33" s="133">
        <v>0.99999090453967643</v>
      </c>
      <c r="H33" s="133" t="s">
        <v>58</v>
      </c>
      <c r="I33" s="133">
        <v>1</v>
      </c>
      <c r="J33" s="233">
        <v>52327703269.574898</v>
      </c>
      <c r="K33" s="233">
        <v>52327703269.574898</v>
      </c>
      <c r="L33" s="233">
        <v>164915.18646516986</v>
      </c>
      <c r="M33" s="233">
        <v>3.2928374351541439E-8</v>
      </c>
      <c r="N33" s="233" t="s">
        <v>61</v>
      </c>
      <c r="O33" s="233">
        <v>260.052584584133</v>
      </c>
      <c r="P33" s="233">
        <v>373.42190703890492</v>
      </c>
      <c r="Q33" s="233">
        <f>P33*SQRT(G37)</f>
        <v>834.99676842659869</v>
      </c>
      <c r="R33" s="233">
        <v>0.69640420040230644</v>
      </c>
      <c r="S33" s="233">
        <v>0.53628296946992149</v>
      </c>
      <c r="T33" s="233">
        <v>-928.34258378382674</v>
      </c>
      <c r="U33" s="233">
        <v>1448.4477529520927</v>
      </c>
      <c r="V33" s="233">
        <v>-928.34258378382674</v>
      </c>
      <c r="W33" s="233">
        <v>1448.4477529520927</v>
      </c>
      <c r="X33" s="162">
        <f>3.3*Q33/O34</f>
        <v>4.6769374138213873E-2</v>
      </c>
      <c r="Y33" s="162">
        <f>10*Q33/O34</f>
        <v>0.14172537617640565</v>
      </c>
    </row>
    <row r="34" spans="1:30" s="137" customFormat="1" ht="14" x14ac:dyDescent="0.2">
      <c r="A34" s="109">
        <v>43888</v>
      </c>
      <c r="B34" s="110">
        <v>2</v>
      </c>
      <c r="C34" s="151">
        <v>0.5</v>
      </c>
      <c r="D34" s="176">
        <v>29763.726443068499</v>
      </c>
      <c r="E34" s="116">
        <f t="shared" si="5"/>
        <v>29572.475156906061</v>
      </c>
      <c r="F34" s="133" t="s">
        <v>53</v>
      </c>
      <c r="G34" s="133">
        <v>0.99998180916208024</v>
      </c>
      <c r="H34" s="133" t="s">
        <v>59</v>
      </c>
      <c r="I34" s="133">
        <v>3</v>
      </c>
      <c r="J34" s="233">
        <v>951902.08478392358</v>
      </c>
      <c r="K34" s="233">
        <v>317300.69492797455</v>
      </c>
      <c r="L34" s="233"/>
      <c r="M34" s="233"/>
      <c r="N34" s="233" t="s">
        <v>74</v>
      </c>
      <c r="O34" s="233">
        <v>58916.53216621402</v>
      </c>
      <c r="P34" s="233">
        <v>145.07976760055078</v>
      </c>
      <c r="Q34" s="233"/>
      <c r="R34" s="233">
        <v>406.09750856804067</v>
      </c>
      <c r="S34" s="233">
        <v>3.2928374351541439E-8</v>
      </c>
      <c r="T34" s="233">
        <v>58454.82359584223</v>
      </c>
      <c r="U34" s="233">
        <v>59378.240736585809</v>
      </c>
      <c r="V34" s="233">
        <v>58454.82359584223</v>
      </c>
      <c r="W34" s="233">
        <v>59378.240736585809</v>
      </c>
    </row>
    <row r="35" spans="1:30" s="137" customFormat="1" ht="14" x14ac:dyDescent="0.2">
      <c r="A35" s="109">
        <v>43888</v>
      </c>
      <c r="B35" s="110">
        <v>2</v>
      </c>
      <c r="C35" s="151">
        <v>1.25</v>
      </c>
      <c r="D35" s="176">
        <v>74847.648696233402</v>
      </c>
      <c r="E35" s="116">
        <f t="shared" si="5"/>
        <v>74656.39741007096</v>
      </c>
      <c r="F35" s="133" t="s">
        <v>54</v>
      </c>
      <c r="G35" s="133">
        <v>0.99997574554944035</v>
      </c>
      <c r="H35" s="133" t="s">
        <v>60</v>
      </c>
      <c r="I35" s="133">
        <v>4</v>
      </c>
      <c r="J35" s="133">
        <v>52328655171.659683</v>
      </c>
      <c r="K35" s="133"/>
      <c r="L35" s="133"/>
      <c r="M35" s="133"/>
    </row>
    <row r="36" spans="1:30" s="137" customFormat="1" ht="14" x14ac:dyDescent="0.2">
      <c r="A36" s="109">
        <v>43888</v>
      </c>
      <c r="B36" s="110">
        <v>2</v>
      </c>
      <c r="C36" s="151">
        <v>2.5</v>
      </c>
      <c r="D36" s="176">
        <v>147168.952440211</v>
      </c>
      <c r="E36" s="116">
        <f t="shared" si="5"/>
        <v>146977.70115404855</v>
      </c>
      <c r="F36" s="133" t="s">
        <v>55</v>
      </c>
      <c r="G36" s="133">
        <v>563.29450106314243</v>
      </c>
    </row>
    <row r="37" spans="1:30" s="141" customFormat="1" ht="14" x14ac:dyDescent="0.2">
      <c r="A37" s="123">
        <v>43888</v>
      </c>
      <c r="B37" s="124">
        <v>2</v>
      </c>
      <c r="C37" s="152">
        <v>5</v>
      </c>
      <c r="D37" s="181">
        <v>295155.34689416102</v>
      </c>
      <c r="E37" s="126">
        <f t="shared" si="5"/>
        <v>294964.09560799861</v>
      </c>
      <c r="F37" s="148" t="s">
        <v>56</v>
      </c>
      <c r="G37" s="148">
        <v>5</v>
      </c>
    </row>
    <row r="38" spans="1:30" x14ac:dyDescent="0.2">
      <c r="D38" s="371"/>
      <c r="E38" s="371"/>
    </row>
    <row r="46" spans="1:30" x14ac:dyDescent="0.2">
      <c r="G46" s="13"/>
      <c r="H46" s="13"/>
      <c r="I46" s="13"/>
      <c r="J46" s="122"/>
      <c r="K46" s="209"/>
      <c r="L46" s="122"/>
      <c r="M46" s="13"/>
      <c r="N46" s="13"/>
      <c r="Y46" s="13"/>
      <c r="Z46" s="13"/>
      <c r="AA46" s="13"/>
      <c r="AB46" s="122"/>
      <c r="AC46" s="209"/>
      <c r="AD46" s="122"/>
    </row>
    <row r="47" spans="1:30" x14ac:dyDescent="0.2">
      <c r="G47" s="13"/>
      <c r="H47" s="13"/>
      <c r="I47" s="13"/>
      <c r="J47" s="122"/>
      <c r="K47" s="209"/>
      <c r="L47" s="122"/>
      <c r="M47" s="13"/>
      <c r="N47" s="13"/>
      <c r="Y47" s="13"/>
      <c r="Z47" s="13"/>
      <c r="AA47" s="13"/>
      <c r="AB47" s="122"/>
      <c r="AC47" s="209"/>
      <c r="AD47" s="122"/>
    </row>
    <row r="48" spans="1:30" x14ac:dyDescent="0.2">
      <c r="G48" s="13"/>
      <c r="H48" s="13"/>
      <c r="I48" s="13"/>
      <c r="J48" s="13"/>
      <c r="K48" s="13"/>
      <c r="L48" s="13"/>
      <c r="M48" s="13"/>
      <c r="N48" s="13"/>
      <c r="Y48" s="13"/>
      <c r="Z48" s="13"/>
      <c r="AA48" s="13"/>
      <c r="AB48" s="13"/>
      <c r="AC48" s="13"/>
      <c r="AD48" s="13"/>
    </row>
    <row r="49" spans="7:30" x14ac:dyDescent="0.2">
      <c r="G49" s="13"/>
      <c r="H49" s="13"/>
      <c r="I49" s="13"/>
      <c r="J49" s="13"/>
      <c r="K49" s="13"/>
      <c r="L49" s="13"/>
      <c r="M49" s="13"/>
      <c r="N49" s="13"/>
      <c r="Y49" s="13"/>
      <c r="Z49" s="13"/>
      <c r="AA49" s="13"/>
      <c r="AB49" s="13"/>
      <c r="AC49" s="13"/>
      <c r="AD49" s="13"/>
    </row>
    <row r="50" spans="7:30" x14ac:dyDescent="0.2">
      <c r="G50" s="64"/>
      <c r="H50" s="64"/>
      <c r="I50" s="64"/>
      <c r="J50" s="13"/>
      <c r="K50" s="13"/>
      <c r="L50" s="13"/>
      <c r="M50" s="13"/>
      <c r="N50" s="13"/>
      <c r="Y50" s="64"/>
      <c r="Z50" s="64"/>
      <c r="AA50" s="64"/>
      <c r="AB50" s="13"/>
      <c r="AC50" s="13"/>
      <c r="AD50" s="13"/>
    </row>
    <row r="51" spans="7:30" x14ac:dyDescent="0.2">
      <c r="G51" s="31"/>
      <c r="H51" s="31"/>
      <c r="I51" s="31"/>
      <c r="J51" s="13"/>
      <c r="K51" s="13"/>
      <c r="L51" s="13"/>
      <c r="M51" s="13"/>
      <c r="N51" s="13"/>
      <c r="Y51" s="31"/>
      <c r="Z51" s="31"/>
      <c r="AA51" s="31"/>
      <c r="AB51" s="13"/>
      <c r="AC51" s="13"/>
      <c r="AD51" s="13"/>
    </row>
    <row r="52" spans="7:30" x14ac:dyDescent="0.2">
      <c r="G52" s="31"/>
      <c r="H52" s="31"/>
      <c r="I52" s="31"/>
      <c r="J52" s="13"/>
      <c r="K52" s="13"/>
      <c r="L52" s="13"/>
      <c r="M52" s="13"/>
      <c r="N52" s="13"/>
      <c r="Y52" s="31"/>
      <c r="Z52" s="31"/>
      <c r="AA52" s="31"/>
      <c r="AB52" s="13"/>
      <c r="AC52" s="13"/>
      <c r="AD52" s="13"/>
    </row>
    <row r="53" spans="7:30" x14ac:dyDescent="0.2">
      <c r="G53" s="31"/>
      <c r="H53" s="31"/>
      <c r="I53" s="31"/>
      <c r="J53" s="13"/>
      <c r="K53" s="13"/>
      <c r="L53" s="13"/>
      <c r="M53" s="13"/>
      <c r="N53" s="13"/>
      <c r="Y53" s="31"/>
      <c r="Z53" s="31"/>
      <c r="AA53" s="31"/>
      <c r="AB53" s="13"/>
      <c r="AC53" s="13"/>
      <c r="AD53" s="13"/>
    </row>
    <row r="54" spans="7:30" x14ac:dyDescent="0.2">
      <c r="G54" s="31"/>
      <c r="H54" s="31"/>
      <c r="I54" s="31"/>
      <c r="J54" s="13"/>
      <c r="K54" s="13"/>
      <c r="L54" s="13"/>
      <c r="M54" s="13"/>
      <c r="N54" s="13"/>
      <c r="Y54" s="31"/>
      <c r="Z54" s="31"/>
      <c r="AA54" s="31"/>
      <c r="AB54" s="13"/>
      <c r="AC54" s="13"/>
      <c r="AD54" s="13"/>
    </row>
    <row r="55" spans="7:30" x14ac:dyDescent="0.2">
      <c r="G55" s="31"/>
      <c r="H55" s="31"/>
      <c r="I55" s="31"/>
      <c r="J55" s="13"/>
      <c r="K55" s="13"/>
      <c r="L55" s="13"/>
      <c r="M55" s="13"/>
      <c r="N55" s="13"/>
      <c r="Y55" s="31"/>
      <c r="Z55" s="31"/>
      <c r="AA55" s="31"/>
      <c r="AB55" s="13"/>
      <c r="AC55" s="13"/>
      <c r="AD55" s="13"/>
    </row>
    <row r="74" spans="7:31" x14ac:dyDescent="0.2">
      <c r="G74" s="13"/>
      <c r="H74" s="13"/>
      <c r="I74" s="13"/>
      <c r="J74" s="13"/>
      <c r="K74" s="13"/>
      <c r="L74" s="13"/>
    </row>
    <row r="75" spans="7:31" x14ac:dyDescent="0.2">
      <c r="G75" s="13"/>
      <c r="H75" s="13"/>
      <c r="I75" s="13"/>
      <c r="J75" s="13"/>
      <c r="K75" s="13"/>
      <c r="L75" s="13"/>
    </row>
    <row r="76" spans="7:31" x14ac:dyDescent="0.2">
      <c r="G76" s="13"/>
      <c r="H76" s="13"/>
      <c r="I76" s="13"/>
      <c r="J76" s="13"/>
      <c r="K76" s="13"/>
      <c r="L76" s="13"/>
      <c r="Y76" s="13"/>
      <c r="Z76" s="13"/>
      <c r="AA76" s="13"/>
      <c r="AB76" s="13"/>
      <c r="AC76" s="13"/>
      <c r="AD76" s="13"/>
      <c r="AE76" s="13"/>
    </row>
    <row r="77" spans="7:31" x14ac:dyDescent="0.2">
      <c r="G77" s="13"/>
      <c r="H77" s="13"/>
      <c r="I77" s="13"/>
      <c r="J77" s="122"/>
      <c r="K77" s="209"/>
      <c r="L77" s="122"/>
      <c r="Y77" s="13"/>
      <c r="Z77" s="13"/>
      <c r="AA77" s="13"/>
      <c r="AB77" s="122"/>
      <c r="AC77" s="209"/>
      <c r="AD77" s="122"/>
      <c r="AE77" s="13"/>
    </row>
    <row r="78" spans="7:31" x14ac:dyDescent="0.2">
      <c r="G78" s="13"/>
      <c r="H78" s="13"/>
      <c r="I78" s="13"/>
      <c r="J78" s="122"/>
      <c r="K78" s="209"/>
      <c r="L78" s="122"/>
      <c r="Y78" s="13"/>
      <c r="Z78" s="13"/>
      <c r="AA78" s="13"/>
      <c r="AB78" s="122"/>
      <c r="AC78" s="209"/>
      <c r="AD78" s="122"/>
      <c r="AE78" s="13"/>
    </row>
    <row r="79" spans="7:31" x14ac:dyDescent="0.2">
      <c r="G79" s="13"/>
      <c r="H79" s="13"/>
      <c r="I79" s="13"/>
      <c r="J79" s="13"/>
      <c r="K79" s="13"/>
      <c r="L79" s="13"/>
      <c r="Y79" s="13"/>
      <c r="Z79" s="13"/>
      <c r="AA79" s="13"/>
      <c r="AB79" s="13"/>
      <c r="AC79" s="13"/>
      <c r="AD79" s="13"/>
      <c r="AE79" s="13"/>
    </row>
    <row r="80" spans="7:31" x14ac:dyDescent="0.2">
      <c r="G80" s="13"/>
      <c r="H80" s="13"/>
      <c r="I80" s="13"/>
      <c r="J80" s="13"/>
      <c r="K80" s="13"/>
      <c r="L80" s="13"/>
      <c r="Y80" s="13"/>
      <c r="Z80" s="13"/>
      <c r="AA80" s="13"/>
      <c r="AB80" s="13"/>
      <c r="AC80" s="13"/>
      <c r="AD80" s="13"/>
      <c r="AE80" s="13"/>
    </row>
    <row r="81" spans="7:31" x14ac:dyDescent="0.2">
      <c r="G81" s="64"/>
      <c r="H81" s="64"/>
      <c r="I81" s="64"/>
      <c r="J81" s="13"/>
      <c r="K81" s="13"/>
      <c r="L81" s="13"/>
      <c r="Y81" s="64"/>
      <c r="Z81" s="64"/>
      <c r="AA81" s="64"/>
      <c r="AB81" s="13"/>
      <c r="AC81" s="13"/>
      <c r="AD81" s="13"/>
      <c r="AE81" s="13"/>
    </row>
    <row r="82" spans="7:31" x14ac:dyDescent="0.2">
      <c r="G82" s="31"/>
      <c r="H82" s="31"/>
      <c r="I82" s="31"/>
      <c r="J82" s="13"/>
      <c r="K82" s="13"/>
      <c r="L82" s="13"/>
      <c r="Y82" s="31"/>
      <c r="Z82" s="31"/>
      <c r="AA82" s="31"/>
      <c r="AB82" s="13"/>
      <c r="AC82" s="13"/>
      <c r="AD82" s="13"/>
      <c r="AE82" s="13"/>
    </row>
    <row r="83" spans="7:31" x14ac:dyDescent="0.2">
      <c r="G83" s="31"/>
      <c r="H83" s="31"/>
      <c r="I83" s="31"/>
      <c r="J83" s="13"/>
      <c r="K83" s="13"/>
      <c r="L83" s="13"/>
      <c r="Y83" s="31"/>
      <c r="Z83" s="31"/>
      <c r="AA83" s="31"/>
      <c r="AB83" s="13"/>
      <c r="AC83" s="13"/>
      <c r="AD83" s="13"/>
      <c r="AE83" s="13"/>
    </row>
    <row r="84" spans="7:31" x14ac:dyDescent="0.2">
      <c r="G84" s="31"/>
      <c r="H84" s="31"/>
      <c r="I84" s="31"/>
      <c r="J84" s="13"/>
      <c r="K84" s="13"/>
      <c r="L84" s="13"/>
      <c r="Y84" s="31"/>
      <c r="Z84" s="31"/>
      <c r="AA84" s="31"/>
      <c r="AB84" s="13"/>
      <c r="AC84" s="13"/>
      <c r="AD84" s="13"/>
      <c r="AE84" s="13"/>
    </row>
    <row r="85" spans="7:31" x14ac:dyDescent="0.2">
      <c r="G85" s="31"/>
      <c r="H85" s="31"/>
      <c r="I85" s="31"/>
      <c r="J85" s="13"/>
      <c r="K85" s="13"/>
      <c r="L85" s="13"/>
      <c r="Y85" s="31"/>
      <c r="Z85" s="31"/>
      <c r="AA85" s="31"/>
      <c r="AB85" s="13"/>
      <c r="AC85" s="13"/>
      <c r="AD85" s="13"/>
      <c r="AE85" s="13"/>
    </row>
    <row r="86" spans="7:31" x14ac:dyDescent="0.2">
      <c r="G86" s="31"/>
      <c r="H86" s="31"/>
      <c r="I86" s="31"/>
      <c r="J86" s="13"/>
      <c r="K86" s="13"/>
      <c r="L86" s="13"/>
      <c r="Y86" s="31"/>
      <c r="Z86" s="31"/>
      <c r="AA86" s="31"/>
      <c r="AB86" s="13"/>
      <c r="AC86" s="13"/>
      <c r="AD86" s="13"/>
      <c r="AE86" s="13"/>
    </row>
    <row r="87" spans="7:31" x14ac:dyDescent="0.2">
      <c r="G87" s="13"/>
      <c r="H87" s="13"/>
      <c r="I87" s="13"/>
      <c r="J87" s="13"/>
      <c r="K87" s="13"/>
      <c r="L87" s="13"/>
      <c r="Y87" s="13"/>
      <c r="Z87" s="13"/>
      <c r="AA87" s="13"/>
      <c r="AB87" s="13"/>
      <c r="AC87" s="13"/>
      <c r="AD87" s="13"/>
      <c r="AE87" s="13"/>
    </row>
    <row r="88" spans="7:31" x14ac:dyDescent="0.2">
      <c r="G88" s="13"/>
      <c r="H88" s="13"/>
      <c r="I88" s="13"/>
      <c r="J88" s="13"/>
      <c r="K88" s="13"/>
      <c r="L88" s="13"/>
    </row>
    <row r="89" spans="7:31" x14ac:dyDescent="0.2">
      <c r="G89" s="13"/>
      <c r="H89" s="13"/>
      <c r="I89" s="13"/>
      <c r="J89" s="13"/>
      <c r="K89" s="13"/>
      <c r="L89" s="13"/>
    </row>
    <row r="90" spans="7:31" x14ac:dyDescent="0.2">
      <c r="G90" s="13"/>
      <c r="H90" s="13"/>
      <c r="I90" s="13"/>
      <c r="J90" s="13"/>
      <c r="K90" s="13"/>
      <c r="L90" s="1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0BEB7-48C9-4F40-A629-AED86476EC74}">
  <dimension ref="A1:AF88"/>
  <sheetViews>
    <sheetView workbookViewId="0">
      <selection activeCell="C12" sqref="C12"/>
    </sheetView>
  </sheetViews>
  <sheetFormatPr baseColWidth="10" defaultRowHeight="16" x14ac:dyDescent="0.2"/>
  <cols>
    <col min="3" max="3" width="8" customWidth="1"/>
    <col min="6" max="6" width="15.5" customWidth="1"/>
    <col min="24" max="24" width="9.83203125" customWidth="1"/>
    <col min="25" max="25" width="9" customWidth="1"/>
  </cols>
  <sheetData>
    <row r="1" spans="1:25" s="135" customFormat="1" ht="31" thickBot="1" x14ac:dyDescent="0.25">
      <c r="A1" s="240" t="s">
        <v>2</v>
      </c>
      <c r="B1" s="107" t="s">
        <v>3</v>
      </c>
      <c r="C1" s="107" t="s">
        <v>4</v>
      </c>
      <c r="D1" s="108" t="s">
        <v>235</v>
      </c>
      <c r="E1" s="107" t="s">
        <v>236</v>
      </c>
      <c r="F1" s="135" t="s">
        <v>50</v>
      </c>
      <c r="H1" s="135" t="s">
        <v>57</v>
      </c>
    </row>
    <row r="2" spans="1:25" s="150" customFormat="1" ht="14" x14ac:dyDescent="0.2">
      <c r="A2" s="109">
        <v>43838</v>
      </c>
      <c r="B2" s="110">
        <v>1</v>
      </c>
      <c r="C2" s="150">
        <v>0</v>
      </c>
      <c r="D2" s="115">
        <v>6</v>
      </c>
      <c r="E2" s="115">
        <f>D2-$D$2</f>
        <v>0</v>
      </c>
      <c r="F2" s="211" t="s">
        <v>51</v>
      </c>
      <c r="G2" s="211"/>
      <c r="H2" s="241"/>
      <c r="I2" s="241" t="s">
        <v>62</v>
      </c>
      <c r="J2" s="241" t="s">
        <v>63</v>
      </c>
      <c r="K2" s="241" t="s">
        <v>64</v>
      </c>
      <c r="L2" s="241" t="s">
        <v>65</v>
      </c>
      <c r="M2" s="241" t="s">
        <v>66</v>
      </c>
      <c r="N2" s="241"/>
      <c r="O2" s="241" t="s">
        <v>67</v>
      </c>
      <c r="P2" s="241" t="s">
        <v>270</v>
      </c>
      <c r="Q2" s="241" t="s">
        <v>271</v>
      </c>
      <c r="R2" s="241" t="s">
        <v>68</v>
      </c>
      <c r="S2" s="241" t="s">
        <v>69</v>
      </c>
      <c r="T2" s="241" t="s">
        <v>70</v>
      </c>
      <c r="U2" s="241" t="s">
        <v>71</v>
      </c>
      <c r="V2" s="241" t="s">
        <v>72</v>
      </c>
      <c r="W2" s="241" t="s">
        <v>73</v>
      </c>
      <c r="X2" s="178" t="s">
        <v>272</v>
      </c>
      <c r="Y2" s="178" t="s">
        <v>273</v>
      </c>
    </row>
    <row r="3" spans="1:25" s="150" customFormat="1" ht="14" x14ac:dyDescent="0.2">
      <c r="A3" s="109">
        <v>43838</v>
      </c>
      <c r="B3" s="110">
        <v>1</v>
      </c>
      <c r="C3" s="150">
        <v>0.5</v>
      </c>
      <c r="D3" s="115">
        <v>5378</v>
      </c>
      <c r="E3" s="115">
        <f t="shared" ref="E3:E7" si="0">D3-$D$2</f>
        <v>5372</v>
      </c>
      <c r="F3" s="115" t="s">
        <v>52</v>
      </c>
      <c r="G3" s="115">
        <v>0.99998900262999313</v>
      </c>
      <c r="H3" s="115" t="s">
        <v>58</v>
      </c>
      <c r="I3" s="115">
        <v>1</v>
      </c>
      <c r="J3" s="115">
        <v>7750021950.2701502</v>
      </c>
      <c r="K3" s="115">
        <v>7750021950.2701502</v>
      </c>
      <c r="L3" s="115">
        <v>136393.99738563059</v>
      </c>
      <c r="M3" s="115">
        <v>4.377905640349361E-8</v>
      </c>
      <c r="N3" s="115" t="s">
        <v>61</v>
      </c>
      <c r="O3" s="115">
        <v>-390.87064676617592</v>
      </c>
      <c r="P3" s="115">
        <v>158.02220528593875</v>
      </c>
      <c r="Q3" s="115">
        <f>P3*SQRT(G7)</f>
        <v>353.34839297378568</v>
      </c>
      <c r="R3" s="115">
        <v>-2.4735172253728614</v>
      </c>
      <c r="S3" s="115">
        <v>8.9784005874428988E-2</v>
      </c>
      <c r="T3" s="115">
        <v>-893.76783013119552</v>
      </c>
      <c r="U3" s="115">
        <v>112.02653659884368</v>
      </c>
      <c r="V3" s="115">
        <v>-893.76783013119552</v>
      </c>
      <c r="W3" s="115">
        <v>112.02653659884368</v>
      </c>
      <c r="X3" s="162">
        <f>3.3*Q3/O4</f>
        <v>0.10285472566243077</v>
      </c>
      <c r="Y3" s="162">
        <f>10*Q3/O4</f>
        <v>0.31168098685585088</v>
      </c>
    </row>
    <row r="4" spans="1:25" s="150" customFormat="1" ht="14" x14ac:dyDescent="0.2">
      <c r="A4" s="109">
        <v>43838</v>
      </c>
      <c r="B4" s="110">
        <v>1</v>
      </c>
      <c r="C4" s="150">
        <v>1</v>
      </c>
      <c r="D4" s="115">
        <v>11055</v>
      </c>
      <c r="E4" s="115">
        <f t="shared" si="0"/>
        <v>11049</v>
      </c>
      <c r="F4" s="115" t="s">
        <v>53</v>
      </c>
      <c r="G4" s="115">
        <v>0.9999780053809284</v>
      </c>
      <c r="H4" s="115" t="s">
        <v>59</v>
      </c>
      <c r="I4" s="115">
        <v>3</v>
      </c>
      <c r="J4" s="115">
        <v>170462.5298507447</v>
      </c>
      <c r="K4" s="115">
        <v>56820.843283581569</v>
      </c>
      <c r="L4" s="115"/>
      <c r="M4" s="115"/>
      <c r="N4" s="115" t="s">
        <v>74</v>
      </c>
      <c r="O4" s="115">
        <v>11336.860696517415</v>
      </c>
      <c r="P4" s="115">
        <v>30.696946786549933</v>
      </c>
      <c r="Q4" s="115"/>
      <c r="R4" s="115">
        <v>369.31557966816212</v>
      </c>
      <c r="S4" s="115">
        <v>4.377905640349361E-8</v>
      </c>
      <c r="T4" s="115">
        <v>11239.169311633068</v>
      </c>
      <c r="U4" s="115">
        <v>11434.552081401762</v>
      </c>
      <c r="V4" s="115">
        <v>11239.169311633068</v>
      </c>
      <c r="W4" s="115">
        <v>11434.552081401762</v>
      </c>
    </row>
    <row r="5" spans="1:25" s="150" customFormat="1" ht="14" x14ac:dyDescent="0.2">
      <c r="A5" s="109">
        <v>43838</v>
      </c>
      <c r="B5" s="110">
        <v>1</v>
      </c>
      <c r="C5" s="150">
        <v>2.5</v>
      </c>
      <c r="D5" s="115">
        <v>27949</v>
      </c>
      <c r="E5" s="115">
        <f t="shared" si="0"/>
        <v>27943</v>
      </c>
      <c r="F5" s="115" t="s">
        <v>54</v>
      </c>
      <c r="G5" s="115">
        <v>0.99997067384123783</v>
      </c>
      <c r="H5" s="115" t="s">
        <v>60</v>
      </c>
      <c r="I5" s="115">
        <v>4</v>
      </c>
      <c r="J5" s="115">
        <v>7750192412.8000011</v>
      </c>
      <c r="K5" s="115"/>
      <c r="L5" s="115"/>
      <c r="M5" s="115"/>
      <c r="N5" s="115"/>
      <c r="O5" s="115"/>
      <c r="P5" s="115"/>
      <c r="Q5" s="115"/>
      <c r="R5" s="115"/>
      <c r="S5" s="115"/>
      <c r="T5" s="115"/>
      <c r="U5" s="115"/>
      <c r="V5" s="115"/>
      <c r="W5" s="115"/>
    </row>
    <row r="6" spans="1:25" s="150" customFormat="1" ht="14" x14ac:dyDescent="0.2">
      <c r="A6" s="109">
        <v>43838</v>
      </c>
      <c r="B6" s="110">
        <v>1</v>
      </c>
      <c r="C6" s="150">
        <v>5</v>
      </c>
      <c r="D6" s="115">
        <v>55947</v>
      </c>
      <c r="E6" s="115">
        <f t="shared" si="0"/>
        <v>55941</v>
      </c>
      <c r="F6" s="115" t="s">
        <v>55</v>
      </c>
      <c r="G6" s="115">
        <v>238.37122998294399</v>
      </c>
      <c r="H6" s="115"/>
      <c r="I6" s="115"/>
      <c r="J6" s="115"/>
      <c r="K6" s="115"/>
      <c r="L6" s="115"/>
      <c r="M6" s="115"/>
      <c r="N6" s="115"/>
      <c r="O6" s="115"/>
      <c r="P6" s="115"/>
      <c r="Q6" s="115"/>
      <c r="R6" s="115"/>
      <c r="S6" s="115"/>
      <c r="T6" s="115"/>
      <c r="U6" s="115"/>
      <c r="V6" s="115"/>
      <c r="W6" s="115"/>
    </row>
    <row r="7" spans="1:25" s="150" customFormat="1" ht="14" x14ac:dyDescent="0.2">
      <c r="A7" s="123">
        <v>43838</v>
      </c>
      <c r="B7" s="124">
        <v>1</v>
      </c>
      <c r="C7" s="152">
        <v>10</v>
      </c>
      <c r="D7" s="156">
        <v>113147</v>
      </c>
      <c r="E7" s="156">
        <f t="shared" si="0"/>
        <v>113141</v>
      </c>
      <c r="F7" s="156" t="s">
        <v>56</v>
      </c>
      <c r="G7" s="156">
        <v>5</v>
      </c>
      <c r="H7" s="152"/>
      <c r="I7" s="152"/>
      <c r="J7" s="152"/>
      <c r="K7" s="152"/>
      <c r="L7" s="152"/>
      <c r="M7" s="152"/>
      <c r="N7" s="152"/>
      <c r="O7" s="152"/>
      <c r="P7" s="152"/>
      <c r="Q7" s="152"/>
      <c r="R7" s="152"/>
      <c r="S7" s="152"/>
      <c r="T7" s="152"/>
      <c r="U7" s="152"/>
      <c r="V7" s="152"/>
      <c r="W7" s="152"/>
      <c r="X7" s="152"/>
      <c r="Y7" s="152"/>
    </row>
    <row r="8" spans="1:25" s="150" customFormat="1" ht="14" x14ac:dyDescent="0.2">
      <c r="A8" s="109">
        <v>43838</v>
      </c>
      <c r="B8" s="110">
        <v>2</v>
      </c>
      <c r="C8" s="150">
        <v>0</v>
      </c>
      <c r="D8" s="115">
        <v>19</v>
      </c>
      <c r="E8" s="115">
        <f>D8-$D$8</f>
        <v>0</v>
      </c>
      <c r="F8" s="146" t="s">
        <v>51</v>
      </c>
      <c r="G8" s="146"/>
      <c r="H8" s="146"/>
      <c r="I8" s="146" t="s">
        <v>62</v>
      </c>
      <c r="J8" s="146" t="s">
        <v>63</v>
      </c>
      <c r="K8" s="146" t="s">
        <v>64</v>
      </c>
      <c r="L8" s="146" t="s">
        <v>65</v>
      </c>
      <c r="M8" s="146" t="s">
        <v>66</v>
      </c>
      <c r="N8" s="146"/>
      <c r="O8" s="146" t="s">
        <v>67</v>
      </c>
      <c r="P8" s="146" t="s">
        <v>270</v>
      </c>
      <c r="Q8" s="146" t="s">
        <v>271</v>
      </c>
      <c r="R8" s="146" t="s">
        <v>68</v>
      </c>
      <c r="S8" s="146" t="s">
        <v>69</v>
      </c>
      <c r="T8" s="146" t="s">
        <v>70</v>
      </c>
      <c r="U8" s="146" t="s">
        <v>71</v>
      </c>
      <c r="V8" s="146" t="s">
        <v>72</v>
      </c>
      <c r="W8" s="146" t="s">
        <v>73</v>
      </c>
    </row>
    <row r="9" spans="1:25" s="150" customFormat="1" ht="14" x14ac:dyDescent="0.2">
      <c r="A9" s="109">
        <v>43838</v>
      </c>
      <c r="B9" s="110">
        <v>2</v>
      </c>
      <c r="C9" s="150">
        <v>0.5</v>
      </c>
      <c r="D9" s="232">
        <v>4973.5609330882198</v>
      </c>
      <c r="E9" s="115">
        <f t="shared" ref="E9:E13" si="1">D9-$D$8</f>
        <v>4954.5609330882198</v>
      </c>
      <c r="F9" s="115" t="s">
        <v>52</v>
      </c>
      <c r="G9" s="115">
        <v>0.99992784628851472</v>
      </c>
      <c r="H9" s="115" t="s">
        <v>58</v>
      </c>
      <c r="I9" s="115">
        <v>1</v>
      </c>
      <c r="J9" s="115">
        <v>6537071778.4320402</v>
      </c>
      <c r="K9" s="115">
        <v>6537071778.4320402</v>
      </c>
      <c r="L9" s="115">
        <v>20786.701407695786</v>
      </c>
      <c r="M9" s="115">
        <v>7.3572780632199255E-7</v>
      </c>
      <c r="N9" s="115" t="s">
        <v>61</v>
      </c>
      <c r="O9" s="115">
        <v>-365.89423140245344</v>
      </c>
      <c r="P9" s="115">
        <v>371.76039327381687</v>
      </c>
      <c r="Q9" s="115">
        <f>P9*SQRT(G13)</f>
        <v>831.28151070231013</v>
      </c>
      <c r="R9" s="115">
        <v>-0.98422058407108803</v>
      </c>
      <c r="S9" s="115">
        <v>0.39757856694328131</v>
      </c>
      <c r="T9" s="115">
        <v>-1549.0017214275306</v>
      </c>
      <c r="U9" s="115">
        <v>817.2132586226237</v>
      </c>
      <c r="V9" s="115">
        <v>-1549.0017214275306</v>
      </c>
      <c r="W9" s="115">
        <v>817.2132586226237</v>
      </c>
      <c r="X9" s="162">
        <f>3.3*Q9/O10</f>
        <v>0.26346873738961879</v>
      </c>
      <c r="Y9" s="162">
        <f>10*Q9/O10</f>
        <v>0.79839011330187504</v>
      </c>
    </row>
    <row r="10" spans="1:25" s="150" customFormat="1" ht="14" x14ac:dyDescent="0.2">
      <c r="A10" s="109">
        <v>43838</v>
      </c>
      <c r="B10" s="110">
        <v>2</v>
      </c>
      <c r="C10" s="150">
        <v>1</v>
      </c>
      <c r="D10" s="232">
        <v>10181.795798068801</v>
      </c>
      <c r="E10" s="115">
        <f t="shared" si="1"/>
        <v>10162.795798068801</v>
      </c>
      <c r="F10" s="115" t="s">
        <v>53</v>
      </c>
      <c r="G10" s="115">
        <v>0.99985569778318761</v>
      </c>
      <c r="H10" s="115" t="s">
        <v>59</v>
      </c>
      <c r="I10" s="115">
        <v>3</v>
      </c>
      <c r="J10" s="115">
        <v>943450.09102962003</v>
      </c>
      <c r="K10" s="115">
        <v>314483.36367654003</v>
      </c>
      <c r="L10" s="115"/>
      <c r="M10" s="115"/>
      <c r="N10" s="115" t="s">
        <v>74</v>
      </c>
      <c r="O10" s="115">
        <v>10411.971501806394</v>
      </c>
      <c r="P10" s="115">
        <v>72.217122834246993</v>
      </c>
      <c r="Q10" s="115"/>
      <c r="R10" s="115">
        <v>144.17593907339662</v>
      </c>
      <c r="S10" s="115">
        <v>7.3572780632199255E-7</v>
      </c>
      <c r="T10" s="115">
        <v>10182.144386064325</v>
      </c>
      <c r="U10" s="115">
        <v>10641.798617548464</v>
      </c>
      <c r="V10" s="115">
        <v>10182.144386064325</v>
      </c>
      <c r="W10" s="115">
        <v>10641.798617548464</v>
      </c>
    </row>
    <row r="11" spans="1:25" s="150" customFormat="1" ht="14" x14ac:dyDescent="0.2">
      <c r="A11" s="109">
        <v>43838</v>
      </c>
      <c r="B11" s="110">
        <v>2</v>
      </c>
      <c r="C11" s="150">
        <v>2.5</v>
      </c>
      <c r="D11" s="232">
        <v>25964.9961371053</v>
      </c>
      <c r="E11" s="115">
        <f t="shared" si="1"/>
        <v>25945.9961371053</v>
      </c>
      <c r="F11" s="115" t="s">
        <v>54</v>
      </c>
      <c r="G11" s="115">
        <v>0.99980759704425015</v>
      </c>
      <c r="H11" s="115" t="s">
        <v>60</v>
      </c>
      <c r="I11" s="115">
        <v>4</v>
      </c>
      <c r="J11" s="115">
        <v>6538015228.5230694</v>
      </c>
      <c r="K11" s="115"/>
      <c r="L11" s="115"/>
      <c r="M11" s="115"/>
      <c r="N11" s="151"/>
      <c r="O11" s="151"/>
      <c r="P11" s="151"/>
      <c r="Q11" s="151"/>
      <c r="R11" s="151"/>
      <c r="S11" s="151"/>
      <c r="T11" s="151"/>
      <c r="U11" s="151"/>
      <c r="V11" s="151"/>
      <c r="W11" s="151"/>
    </row>
    <row r="12" spans="1:25" s="150" customFormat="1" ht="14" x14ac:dyDescent="0.2">
      <c r="A12" s="109">
        <v>43838</v>
      </c>
      <c r="B12" s="110">
        <v>2</v>
      </c>
      <c r="C12" s="150">
        <v>5</v>
      </c>
      <c r="D12" s="232">
        <v>50862.435621028897</v>
      </c>
      <c r="E12" s="115">
        <f t="shared" si="1"/>
        <v>50843.435621028897</v>
      </c>
      <c r="F12" s="115" t="s">
        <v>55</v>
      </c>
      <c r="G12" s="115">
        <v>560.78816292477143</v>
      </c>
    </row>
    <row r="13" spans="1:25" s="150" customFormat="1" ht="14" x14ac:dyDescent="0.2">
      <c r="A13" s="123">
        <v>43838</v>
      </c>
      <c r="B13" s="124">
        <v>2</v>
      </c>
      <c r="C13" s="152">
        <v>10</v>
      </c>
      <c r="D13" s="235">
        <v>104110.198888018</v>
      </c>
      <c r="E13" s="156">
        <f t="shared" si="1"/>
        <v>104091.198888018</v>
      </c>
      <c r="F13" s="156" t="s">
        <v>56</v>
      </c>
      <c r="G13" s="156">
        <v>5</v>
      </c>
      <c r="H13" s="152"/>
      <c r="I13" s="152"/>
      <c r="J13" s="152"/>
      <c r="K13" s="152"/>
      <c r="L13" s="152"/>
      <c r="M13" s="152"/>
      <c r="N13" s="152"/>
      <c r="O13" s="152"/>
      <c r="P13" s="152"/>
      <c r="Q13" s="152"/>
      <c r="R13" s="152"/>
      <c r="S13" s="152"/>
      <c r="T13" s="152"/>
      <c r="U13" s="152"/>
      <c r="V13" s="152"/>
      <c r="W13" s="152"/>
      <c r="X13" s="152"/>
      <c r="Y13" s="152"/>
    </row>
    <row r="14" spans="1:25" s="150" customFormat="1" ht="14" x14ac:dyDescent="0.2">
      <c r="A14" s="109">
        <v>43838</v>
      </c>
      <c r="B14" s="110">
        <v>3</v>
      </c>
      <c r="C14" s="150">
        <v>0</v>
      </c>
      <c r="D14" s="232">
        <v>52.640484670676699</v>
      </c>
      <c r="E14" s="116">
        <f>D14-$D$14</f>
        <v>0</v>
      </c>
      <c r="F14" s="146" t="s">
        <v>51</v>
      </c>
      <c r="G14" s="146"/>
      <c r="H14" s="146"/>
      <c r="I14" s="146" t="s">
        <v>62</v>
      </c>
      <c r="J14" s="146" t="s">
        <v>63</v>
      </c>
      <c r="K14" s="146" t="s">
        <v>64</v>
      </c>
      <c r="L14" s="146" t="s">
        <v>65</v>
      </c>
      <c r="M14" s="146" t="s">
        <v>66</v>
      </c>
      <c r="N14" s="146"/>
      <c r="O14" s="146" t="s">
        <v>67</v>
      </c>
      <c r="P14" s="146" t="s">
        <v>270</v>
      </c>
      <c r="Q14" s="146" t="s">
        <v>271</v>
      </c>
      <c r="R14" s="146" t="s">
        <v>68</v>
      </c>
      <c r="S14" s="146" t="s">
        <v>69</v>
      </c>
      <c r="T14" s="146" t="s">
        <v>70</v>
      </c>
      <c r="U14" s="146" t="s">
        <v>71</v>
      </c>
      <c r="V14" s="146" t="s">
        <v>72</v>
      </c>
      <c r="W14" s="146" t="s">
        <v>73</v>
      </c>
    </row>
    <row r="15" spans="1:25" s="150" customFormat="1" ht="14" x14ac:dyDescent="0.2">
      <c r="A15" s="109">
        <v>43838</v>
      </c>
      <c r="B15" s="110">
        <v>3</v>
      </c>
      <c r="C15" s="150">
        <v>0.5</v>
      </c>
      <c r="D15" s="232">
        <v>4921.7659609213297</v>
      </c>
      <c r="E15" s="116">
        <f t="shared" ref="E15:E19" si="2">D15-$D$14</f>
        <v>4869.1254762506533</v>
      </c>
      <c r="F15" s="115" t="s">
        <v>52</v>
      </c>
      <c r="G15" s="115">
        <v>0.99998990715370273</v>
      </c>
      <c r="H15" s="115" t="s">
        <v>58</v>
      </c>
      <c r="I15" s="115">
        <v>1</v>
      </c>
      <c r="J15" s="115">
        <v>6080842376.4133711</v>
      </c>
      <c r="K15" s="115">
        <v>6080842376.4133711</v>
      </c>
      <c r="L15" s="115">
        <v>148617.86724418131</v>
      </c>
      <c r="M15" s="115">
        <v>3.8490512092414173E-8</v>
      </c>
      <c r="N15" s="115" t="s">
        <v>61</v>
      </c>
      <c r="O15" s="115">
        <v>-116.19774208040326</v>
      </c>
      <c r="P15" s="115">
        <v>134.09440007080497</v>
      </c>
      <c r="Q15" s="115">
        <f>P15*SQRT(G19)</f>
        <v>299.84419396037254</v>
      </c>
      <c r="R15" s="115">
        <v>-0.86653687267363999</v>
      </c>
      <c r="S15" s="115">
        <v>0.44994428319585467</v>
      </c>
      <c r="T15" s="115">
        <v>-542.94597014497208</v>
      </c>
      <c r="U15" s="115">
        <v>310.55048598416556</v>
      </c>
      <c r="V15" s="115">
        <v>-542.94597014497208</v>
      </c>
      <c r="W15" s="115">
        <v>310.55048598416556</v>
      </c>
      <c r="X15" s="162">
        <f>3.3*Q15/O16</f>
        <v>9.8534057472773925E-2</v>
      </c>
      <c r="Y15" s="162">
        <f>10*Q15/O16</f>
        <v>0.29858805294779983</v>
      </c>
    </row>
    <row r="16" spans="1:25" s="150" customFormat="1" ht="14" x14ac:dyDescent="0.2">
      <c r="A16" s="109">
        <v>43838</v>
      </c>
      <c r="B16" s="110">
        <v>3</v>
      </c>
      <c r="C16" s="150">
        <v>1</v>
      </c>
      <c r="D16" s="232">
        <v>9953.3296135200308</v>
      </c>
      <c r="E16" s="116">
        <f t="shared" si="2"/>
        <v>9900.6891288493534</v>
      </c>
      <c r="F16" s="115" t="s">
        <v>53</v>
      </c>
      <c r="G16" s="115">
        <v>0.99997981440927097</v>
      </c>
      <c r="H16" s="115" t="s">
        <v>59</v>
      </c>
      <c r="I16" s="115">
        <v>3</v>
      </c>
      <c r="J16" s="115">
        <v>122747.87323698688</v>
      </c>
      <c r="K16" s="115">
        <v>40915.957745662294</v>
      </c>
      <c r="L16" s="115"/>
      <c r="M16" s="115"/>
      <c r="N16" s="115" t="s">
        <v>74</v>
      </c>
      <c r="O16" s="115">
        <v>10042.069366144142</v>
      </c>
      <c r="P16" s="115">
        <v>26.048799002010362</v>
      </c>
      <c r="Q16" s="115"/>
      <c r="R16" s="115">
        <v>385.50987956754273</v>
      </c>
      <c r="S16" s="115">
        <v>3.8490512092414173E-8</v>
      </c>
      <c r="T16" s="115">
        <v>9959.170462003116</v>
      </c>
      <c r="U16" s="115">
        <v>10124.968270285168</v>
      </c>
      <c r="V16" s="115">
        <v>9959.170462003116</v>
      </c>
      <c r="W16" s="115">
        <v>10124.968270285168</v>
      </c>
    </row>
    <row r="17" spans="1:30" s="150" customFormat="1" ht="14" x14ac:dyDescent="0.2">
      <c r="A17" s="109">
        <v>43838</v>
      </c>
      <c r="B17" s="110">
        <v>3</v>
      </c>
      <c r="C17" s="150">
        <v>2.5</v>
      </c>
      <c r="D17" s="232">
        <v>25279.848029038101</v>
      </c>
      <c r="E17" s="116">
        <f t="shared" si="2"/>
        <v>25227.207544367426</v>
      </c>
      <c r="F17" s="115" t="s">
        <v>54</v>
      </c>
      <c r="G17" s="115">
        <v>0.999973085879028</v>
      </c>
      <c r="H17" s="115" t="s">
        <v>60</v>
      </c>
      <c r="I17" s="115">
        <v>4</v>
      </c>
      <c r="J17" s="115">
        <v>6080965124.2866077</v>
      </c>
      <c r="K17" s="115"/>
      <c r="L17" s="115"/>
      <c r="M17" s="115"/>
      <c r="N17" s="151"/>
      <c r="O17" s="151"/>
      <c r="P17" s="151"/>
      <c r="Q17" s="151"/>
      <c r="R17" s="151"/>
      <c r="S17" s="151"/>
      <c r="T17" s="151"/>
      <c r="U17" s="151"/>
      <c r="V17" s="151"/>
      <c r="W17" s="151"/>
      <c r="Y17" s="151"/>
      <c r="Z17" s="151"/>
      <c r="AA17" s="151"/>
      <c r="AB17" s="151"/>
      <c r="AC17" s="151"/>
      <c r="AD17" s="151"/>
    </row>
    <row r="18" spans="1:30" s="150" customFormat="1" ht="14" x14ac:dyDescent="0.2">
      <c r="A18" s="109">
        <v>43838</v>
      </c>
      <c r="B18" s="110">
        <v>3</v>
      </c>
      <c r="C18" s="150">
        <v>5</v>
      </c>
      <c r="D18" s="232">
        <v>49902.622041073599</v>
      </c>
      <c r="E18" s="116">
        <f t="shared" si="2"/>
        <v>49849.98155640292</v>
      </c>
      <c r="F18" s="115" t="s">
        <v>55</v>
      </c>
      <c r="G18" s="115">
        <v>202.27693330101258</v>
      </c>
      <c r="H18" s="151"/>
      <c r="I18" s="151"/>
      <c r="J18" s="154"/>
      <c r="K18" s="242"/>
      <c r="L18" s="154"/>
      <c r="M18" s="151"/>
      <c r="N18" s="151"/>
      <c r="O18" s="151"/>
      <c r="P18" s="151"/>
      <c r="Q18" s="151"/>
      <c r="R18" s="151"/>
      <c r="S18" s="151"/>
      <c r="T18" s="151"/>
      <c r="U18" s="151"/>
      <c r="V18" s="151"/>
      <c r="W18" s="151"/>
      <c r="Y18" s="151"/>
      <c r="Z18" s="151"/>
      <c r="AA18" s="151"/>
      <c r="AB18" s="154"/>
      <c r="AC18" s="242"/>
      <c r="AD18" s="154"/>
    </row>
    <row r="19" spans="1:30" s="150" customFormat="1" ht="14" x14ac:dyDescent="0.2">
      <c r="A19" s="123">
        <v>43838</v>
      </c>
      <c r="B19" s="124">
        <v>3</v>
      </c>
      <c r="C19" s="152">
        <v>10</v>
      </c>
      <c r="D19" s="235">
        <v>100423.96602513699</v>
      </c>
      <c r="E19" s="126">
        <f t="shared" si="2"/>
        <v>100371.32554046632</v>
      </c>
      <c r="F19" s="156" t="s">
        <v>56</v>
      </c>
      <c r="G19" s="156">
        <v>5</v>
      </c>
      <c r="H19" s="152"/>
      <c r="I19" s="152"/>
      <c r="J19" s="153"/>
      <c r="K19" s="155"/>
      <c r="L19" s="153"/>
      <c r="M19" s="152"/>
      <c r="N19" s="152"/>
      <c r="O19" s="152"/>
      <c r="P19" s="152"/>
      <c r="Q19" s="152"/>
      <c r="R19" s="152"/>
      <c r="S19" s="152"/>
      <c r="T19" s="152"/>
      <c r="U19" s="152"/>
      <c r="V19" s="152"/>
      <c r="W19" s="152"/>
      <c r="X19" s="152"/>
      <c r="Y19" s="152"/>
      <c r="Z19" s="151"/>
      <c r="AA19" s="151"/>
      <c r="AB19" s="154"/>
      <c r="AC19" s="242"/>
      <c r="AD19" s="154"/>
    </row>
    <row r="20" spans="1:30" s="150" customFormat="1" ht="14" x14ac:dyDescent="0.2">
      <c r="A20" s="109">
        <v>43789</v>
      </c>
      <c r="B20" s="110">
        <v>1</v>
      </c>
      <c r="C20" s="150">
        <v>0</v>
      </c>
      <c r="D20" s="176">
        <v>11.2360851134402</v>
      </c>
      <c r="E20" s="116">
        <f>D20-$D$20</f>
        <v>0</v>
      </c>
      <c r="F20" s="146" t="s">
        <v>51</v>
      </c>
      <c r="G20" s="146"/>
      <c r="H20" s="146"/>
      <c r="I20" s="146" t="s">
        <v>62</v>
      </c>
      <c r="J20" s="146" t="s">
        <v>63</v>
      </c>
      <c r="K20" s="146" t="s">
        <v>64</v>
      </c>
      <c r="L20" s="146" t="s">
        <v>65</v>
      </c>
      <c r="M20" s="146" t="s">
        <v>66</v>
      </c>
      <c r="N20" s="146"/>
      <c r="O20" s="146" t="s">
        <v>67</v>
      </c>
      <c r="P20" s="146" t="s">
        <v>270</v>
      </c>
      <c r="Q20" s="146" t="s">
        <v>271</v>
      </c>
      <c r="R20" s="146" t="s">
        <v>68</v>
      </c>
      <c r="S20" s="146" t="s">
        <v>69</v>
      </c>
      <c r="T20" s="146" t="s">
        <v>70</v>
      </c>
      <c r="U20" s="146" t="s">
        <v>71</v>
      </c>
      <c r="V20" s="146" t="s">
        <v>72</v>
      </c>
      <c r="W20" s="146" t="s">
        <v>73</v>
      </c>
      <c r="Y20" s="151"/>
      <c r="Z20" s="151"/>
      <c r="AA20" s="151"/>
      <c r="AB20" s="151"/>
      <c r="AC20" s="151"/>
      <c r="AD20" s="151"/>
    </row>
    <row r="21" spans="1:30" s="150" customFormat="1" ht="14" x14ac:dyDescent="0.2">
      <c r="A21" s="109">
        <v>43789</v>
      </c>
      <c r="B21" s="110">
        <v>1</v>
      </c>
      <c r="C21" s="150">
        <v>0.5</v>
      </c>
      <c r="D21" s="176">
        <v>6170.4014770430804</v>
      </c>
      <c r="E21" s="116">
        <f t="shared" ref="E21:E25" si="3">D21-$D$20</f>
        <v>6159.1653919296405</v>
      </c>
      <c r="F21" s="115" t="s">
        <v>52</v>
      </c>
      <c r="G21" s="115">
        <v>0.99989565064799857</v>
      </c>
      <c r="H21" s="115" t="s">
        <v>58</v>
      </c>
      <c r="I21" s="115">
        <v>1</v>
      </c>
      <c r="J21" s="115">
        <v>7476136983.9210949</v>
      </c>
      <c r="K21" s="115">
        <v>7476136983.9210949</v>
      </c>
      <c r="L21" s="115">
        <v>14372.539831587326</v>
      </c>
      <c r="M21" s="115">
        <v>1.2795630612539779E-6</v>
      </c>
      <c r="N21" s="115" t="s">
        <v>61</v>
      </c>
      <c r="O21" s="115">
        <v>1215.4770582687052</v>
      </c>
      <c r="P21" s="115">
        <v>478.11915752930935</v>
      </c>
      <c r="Q21" s="115">
        <f>P21*SQRT(G25)</f>
        <v>1069.1069375804661</v>
      </c>
      <c r="R21" s="115">
        <v>2.5422053041122803</v>
      </c>
      <c r="S21" s="115">
        <v>8.4516396075168171E-2</v>
      </c>
      <c r="T21" s="115">
        <v>-306.11148809580504</v>
      </c>
      <c r="U21" s="115">
        <v>2737.0656046332151</v>
      </c>
      <c r="V21" s="115">
        <v>-306.11148809580504</v>
      </c>
      <c r="W21" s="115">
        <v>2737.0656046332151</v>
      </c>
      <c r="X21" s="162">
        <f>3.3*Q21/O22</f>
        <v>0.31685102658421738</v>
      </c>
      <c r="Y21" s="162">
        <f>10*Q21/O22</f>
        <v>0.96015462601278001</v>
      </c>
      <c r="Z21" s="145"/>
      <c r="AA21" s="145"/>
      <c r="AB21" s="151"/>
      <c r="AC21" s="151"/>
      <c r="AD21" s="151"/>
    </row>
    <row r="22" spans="1:30" s="150" customFormat="1" ht="14" x14ac:dyDescent="0.2">
      <c r="A22" s="109">
        <v>43789</v>
      </c>
      <c r="B22" s="110">
        <v>1</v>
      </c>
      <c r="C22" s="150">
        <v>1</v>
      </c>
      <c r="D22" s="176">
        <v>12066.584615920599</v>
      </c>
      <c r="E22" s="116">
        <f t="shared" si="3"/>
        <v>12055.348530807159</v>
      </c>
      <c r="F22" s="115" t="s">
        <v>53</v>
      </c>
      <c r="G22" s="115">
        <v>0.99979131218478434</v>
      </c>
      <c r="H22" s="115" t="s">
        <v>59</v>
      </c>
      <c r="I22" s="115">
        <v>3</v>
      </c>
      <c r="J22" s="115">
        <v>1560504.351671451</v>
      </c>
      <c r="K22" s="115">
        <v>520168.11722381698</v>
      </c>
      <c r="L22" s="115"/>
      <c r="M22" s="115"/>
      <c r="N22" s="115" t="s">
        <v>74</v>
      </c>
      <c r="O22" s="115">
        <v>11134.737141455338</v>
      </c>
      <c r="P22" s="115">
        <v>92.87807564607678</v>
      </c>
      <c r="Q22" s="115"/>
      <c r="R22" s="115">
        <v>119.88552803231637</v>
      </c>
      <c r="S22" s="115">
        <v>1.2795630612539823E-6</v>
      </c>
      <c r="T22" s="115">
        <v>10839.15765277362</v>
      </c>
      <c r="U22" s="115">
        <v>11430.316630137057</v>
      </c>
      <c r="V22" s="115">
        <v>10839.15765277362</v>
      </c>
      <c r="W22" s="115">
        <v>11430.316630137057</v>
      </c>
      <c r="Y22" s="115"/>
      <c r="Z22" s="115"/>
      <c r="AA22" s="115"/>
      <c r="AB22" s="151"/>
      <c r="AC22" s="151"/>
      <c r="AD22" s="151"/>
    </row>
    <row r="23" spans="1:30" s="150" customFormat="1" ht="14" x14ac:dyDescent="0.2">
      <c r="A23" s="109">
        <v>43789</v>
      </c>
      <c r="B23" s="110">
        <v>1</v>
      </c>
      <c r="C23" s="150">
        <v>2.5</v>
      </c>
      <c r="D23" s="176">
        <v>29821.2900875905</v>
      </c>
      <c r="E23" s="116">
        <f t="shared" si="3"/>
        <v>29810.05400247706</v>
      </c>
      <c r="F23" s="115" t="s">
        <v>54</v>
      </c>
      <c r="G23" s="115">
        <v>0.99972174957971249</v>
      </c>
      <c r="H23" s="115" t="s">
        <v>60</v>
      </c>
      <c r="I23" s="115">
        <v>4</v>
      </c>
      <c r="J23" s="115">
        <v>7477697488.2727661</v>
      </c>
      <c r="K23" s="115"/>
      <c r="L23" s="115"/>
      <c r="M23" s="115"/>
      <c r="N23" s="151"/>
      <c r="O23" s="151"/>
      <c r="P23" s="151"/>
      <c r="Q23" s="151"/>
      <c r="R23" s="151"/>
      <c r="S23" s="151"/>
      <c r="T23" s="151"/>
      <c r="U23" s="151"/>
      <c r="V23" s="151"/>
      <c r="W23" s="151"/>
      <c r="Y23" s="115"/>
      <c r="Z23" s="115"/>
      <c r="AA23" s="115"/>
      <c r="AB23" s="151"/>
      <c r="AC23" s="151"/>
      <c r="AD23" s="151"/>
    </row>
    <row r="24" spans="1:30" s="150" customFormat="1" ht="14" x14ac:dyDescent="0.2">
      <c r="A24" s="109">
        <v>43789</v>
      </c>
      <c r="B24" s="110">
        <v>1</v>
      </c>
      <c r="C24" s="151">
        <v>5</v>
      </c>
      <c r="D24" s="176">
        <v>57479.548369281001</v>
      </c>
      <c r="E24" s="116">
        <f t="shared" si="3"/>
        <v>57468.312284167558</v>
      </c>
      <c r="F24" s="115" t="s">
        <v>55</v>
      </c>
      <c r="G24" s="115">
        <v>721.22681399391763</v>
      </c>
      <c r="H24" s="115"/>
      <c r="I24" s="115"/>
      <c r="J24" s="151"/>
      <c r="K24" s="151"/>
      <c r="L24" s="151"/>
      <c r="M24" s="151"/>
      <c r="N24" s="151"/>
      <c r="O24" s="151"/>
      <c r="P24" s="151"/>
      <c r="Q24" s="151"/>
      <c r="R24" s="151"/>
      <c r="S24" s="151"/>
      <c r="T24" s="151"/>
      <c r="U24" s="151"/>
      <c r="V24" s="151"/>
      <c r="W24" s="151"/>
      <c r="X24" s="151"/>
      <c r="Y24" s="115"/>
      <c r="Z24" s="115"/>
      <c r="AA24" s="115"/>
      <c r="AB24" s="151"/>
      <c r="AC24" s="151"/>
      <c r="AD24" s="151"/>
    </row>
    <row r="25" spans="1:30" s="150" customFormat="1" ht="14" x14ac:dyDescent="0.2">
      <c r="A25" s="123">
        <v>43789</v>
      </c>
      <c r="B25" s="124">
        <v>1</v>
      </c>
      <c r="C25" s="152">
        <v>10</v>
      </c>
      <c r="D25" s="181">
        <v>112155.746854727</v>
      </c>
      <c r="E25" s="126">
        <f t="shared" si="3"/>
        <v>112144.51076961355</v>
      </c>
      <c r="F25" s="156" t="s">
        <v>56</v>
      </c>
      <c r="G25" s="156">
        <v>5</v>
      </c>
      <c r="H25" s="156"/>
      <c r="I25" s="156"/>
      <c r="J25" s="152"/>
      <c r="K25" s="152"/>
      <c r="L25" s="152"/>
      <c r="M25" s="152"/>
      <c r="N25" s="152"/>
      <c r="O25" s="152"/>
      <c r="P25" s="152"/>
      <c r="Q25" s="152"/>
      <c r="R25" s="152"/>
      <c r="S25" s="152"/>
      <c r="T25" s="152"/>
      <c r="U25" s="152"/>
      <c r="V25" s="152"/>
      <c r="W25" s="152"/>
      <c r="X25" s="152"/>
      <c r="Y25" s="156"/>
      <c r="Z25" s="115"/>
      <c r="AA25" s="115"/>
      <c r="AB25" s="151"/>
      <c r="AC25" s="151"/>
      <c r="AD25" s="151"/>
    </row>
    <row r="26" spans="1:30" s="150" customFormat="1" ht="14" x14ac:dyDescent="0.2">
      <c r="A26" s="109">
        <v>43888</v>
      </c>
      <c r="B26" s="110">
        <v>1</v>
      </c>
      <c r="C26" s="150">
        <v>0</v>
      </c>
      <c r="D26" s="176">
        <v>12.979344843887599</v>
      </c>
      <c r="E26" s="116">
        <f>D26-$D$26</f>
        <v>0</v>
      </c>
      <c r="F26" s="146" t="s">
        <v>51</v>
      </c>
      <c r="G26" s="146"/>
      <c r="H26" s="146"/>
      <c r="I26" s="146" t="s">
        <v>62</v>
      </c>
      <c r="J26" s="146" t="s">
        <v>63</v>
      </c>
      <c r="K26" s="146" t="s">
        <v>64</v>
      </c>
      <c r="L26" s="146" t="s">
        <v>65</v>
      </c>
      <c r="M26" s="146" t="s">
        <v>66</v>
      </c>
      <c r="N26" s="146"/>
      <c r="O26" s="146" t="s">
        <v>67</v>
      </c>
      <c r="P26" s="146" t="s">
        <v>270</v>
      </c>
      <c r="Q26" s="146" t="s">
        <v>271</v>
      </c>
      <c r="R26" s="146" t="s">
        <v>68</v>
      </c>
      <c r="S26" s="146" t="s">
        <v>69</v>
      </c>
      <c r="T26" s="146" t="s">
        <v>70</v>
      </c>
      <c r="U26" s="146" t="s">
        <v>71</v>
      </c>
      <c r="V26" s="146" t="s">
        <v>72</v>
      </c>
      <c r="W26" s="146" t="s">
        <v>73</v>
      </c>
    </row>
    <row r="27" spans="1:30" s="150" customFormat="1" ht="14" x14ac:dyDescent="0.2">
      <c r="A27" s="109">
        <v>43888</v>
      </c>
      <c r="B27" s="110">
        <v>1</v>
      </c>
      <c r="C27" s="150">
        <v>0.5</v>
      </c>
      <c r="D27" s="176">
        <v>7520.9589606899799</v>
      </c>
      <c r="E27" s="116">
        <f t="shared" ref="E27:E31" si="4">D27-$D$26</f>
        <v>7507.9796158460922</v>
      </c>
      <c r="F27" s="115" t="s">
        <v>52</v>
      </c>
      <c r="G27" s="115">
        <v>0.99999689652611201</v>
      </c>
      <c r="H27" s="115" t="s">
        <v>58</v>
      </c>
      <c r="I27" s="115">
        <v>1</v>
      </c>
      <c r="J27" s="115">
        <v>13696622280.509998</v>
      </c>
      <c r="K27" s="115">
        <v>13696622280.509998</v>
      </c>
      <c r="L27" s="115">
        <v>483327.09451918333</v>
      </c>
      <c r="M27" s="115">
        <v>6.5630512971214963E-9</v>
      </c>
      <c r="N27" s="115" t="s">
        <v>61</v>
      </c>
      <c r="O27" s="115">
        <v>64.760165949497605</v>
      </c>
      <c r="P27" s="115">
        <v>111.59646803447006</v>
      </c>
      <c r="Q27" s="115">
        <f>P27*SQRT(G31)</f>
        <v>249.53728857395743</v>
      </c>
      <c r="R27" s="115">
        <v>0.58030659115030769</v>
      </c>
      <c r="S27" s="115">
        <v>0.60242280935869974</v>
      </c>
      <c r="T27" s="115">
        <v>-290.38960142951322</v>
      </c>
      <c r="U27" s="115">
        <v>419.90993332850843</v>
      </c>
      <c r="V27" s="115">
        <v>-290.38960142951322</v>
      </c>
      <c r="W27" s="115">
        <v>419.90993332850843</v>
      </c>
      <c r="X27" s="162">
        <f>3.3*Q27/O28</f>
        <v>5.4638819571730654E-2</v>
      </c>
      <c r="Y27" s="162">
        <f>10*Q27/O28</f>
        <v>0.16557218052039593</v>
      </c>
    </row>
    <row r="28" spans="1:30" s="150" customFormat="1" ht="14" x14ac:dyDescent="0.2">
      <c r="A28" s="109">
        <v>43888</v>
      </c>
      <c r="B28" s="110">
        <v>1</v>
      </c>
      <c r="C28" s="150">
        <v>1</v>
      </c>
      <c r="D28" s="176">
        <v>15259.8262685179</v>
      </c>
      <c r="E28" s="116">
        <f t="shared" si="4"/>
        <v>15246.846923674013</v>
      </c>
      <c r="F28" s="115" t="s">
        <v>53</v>
      </c>
      <c r="G28" s="115">
        <v>0.99999379306185565</v>
      </c>
      <c r="H28" s="115" t="s">
        <v>59</v>
      </c>
      <c r="I28" s="115">
        <v>3</v>
      </c>
      <c r="J28" s="115">
        <v>85014.614962578169</v>
      </c>
      <c r="K28" s="115">
        <v>28338.204987526056</v>
      </c>
      <c r="L28" s="115"/>
      <c r="M28" s="115"/>
      <c r="N28" s="115" t="s">
        <v>74</v>
      </c>
      <c r="O28" s="115">
        <v>15071.208689144389</v>
      </c>
      <c r="P28" s="115">
        <v>21.678414338177028</v>
      </c>
      <c r="Q28" s="115"/>
      <c r="R28" s="115">
        <v>695.21730021568317</v>
      </c>
      <c r="S28" s="115">
        <v>6.5630512971214963E-9</v>
      </c>
      <c r="T28" s="115">
        <v>15002.218299529448</v>
      </c>
      <c r="U28" s="115">
        <v>15140.199078759329</v>
      </c>
      <c r="V28" s="115">
        <v>15002.218299529448</v>
      </c>
      <c r="W28" s="115">
        <v>15140.199078759329</v>
      </c>
    </row>
    <row r="29" spans="1:30" s="150" customFormat="1" ht="14" x14ac:dyDescent="0.2">
      <c r="A29" s="109">
        <v>43888</v>
      </c>
      <c r="B29" s="110">
        <v>1</v>
      </c>
      <c r="C29" s="150">
        <v>2.5</v>
      </c>
      <c r="D29" s="176">
        <v>37879.893561203702</v>
      </c>
      <c r="E29" s="116">
        <f t="shared" si="4"/>
        <v>37866.914216359815</v>
      </c>
      <c r="F29" s="115" t="s">
        <v>54</v>
      </c>
      <c r="G29" s="115">
        <v>0.99999172408247416</v>
      </c>
      <c r="H29" s="115" t="s">
        <v>60</v>
      </c>
      <c r="I29" s="115">
        <v>4</v>
      </c>
      <c r="J29" s="115">
        <v>13696707295.124962</v>
      </c>
      <c r="K29" s="115"/>
      <c r="L29" s="115"/>
      <c r="M29" s="115"/>
      <c r="N29" s="151"/>
      <c r="O29" s="151"/>
      <c r="P29" s="151"/>
      <c r="Q29" s="151"/>
      <c r="R29" s="151"/>
      <c r="S29" s="151"/>
      <c r="T29" s="151"/>
      <c r="U29" s="151"/>
      <c r="V29" s="151"/>
      <c r="W29" s="151"/>
    </row>
    <row r="30" spans="1:30" s="150" customFormat="1" ht="14" x14ac:dyDescent="0.2">
      <c r="A30" s="109">
        <v>43888</v>
      </c>
      <c r="B30" s="110">
        <v>1</v>
      </c>
      <c r="C30" s="150">
        <v>5</v>
      </c>
      <c r="D30" s="176">
        <v>75223.5352416307</v>
      </c>
      <c r="E30" s="116">
        <f t="shared" si="4"/>
        <v>75210.555896786813</v>
      </c>
      <c r="F30" s="115" t="s">
        <v>55</v>
      </c>
      <c r="G30" s="115">
        <v>168.3395526533383</v>
      </c>
    </row>
    <row r="31" spans="1:30" s="150" customFormat="1" ht="14" x14ac:dyDescent="0.2">
      <c r="A31" s="123">
        <v>43888</v>
      </c>
      <c r="B31" s="124">
        <v>1</v>
      </c>
      <c r="C31" s="152">
        <v>10</v>
      </c>
      <c r="D31" s="181">
        <v>150857.44861566799</v>
      </c>
      <c r="E31" s="126">
        <f t="shared" si="4"/>
        <v>150844.46927082411</v>
      </c>
      <c r="F31" s="156" t="s">
        <v>56</v>
      </c>
      <c r="G31" s="156">
        <v>5</v>
      </c>
      <c r="H31" s="152"/>
      <c r="I31" s="152"/>
      <c r="J31" s="152"/>
      <c r="K31" s="152"/>
      <c r="L31" s="152"/>
      <c r="M31" s="152"/>
      <c r="N31" s="152"/>
      <c r="O31" s="152"/>
      <c r="P31" s="152"/>
      <c r="Q31" s="152"/>
      <c r="R31" s="152"/>
      <c r="S31" s="152"/>
      <c r="T31" s="152"/>
      <c r="U31" s="152"/>
      <c r="V31" s="152"/>
      <c r="W31" s="152"/>
      <c r="X31" s="152"/>
      <c r="Y31" s="152"/>
    </row>
    <row r="32" spans="1:30" s="150" customFormat="1" ht="14" x14ac:dyDescent="0.2">
      <c r="A32" s="109">
        <v>43888</v>
      </c>
      <c r="B32" s="110">
        <v>2</v>
      </c>
      <c r="C32" s="150">
        <v>0</v>
      </c>
      <c r="D32" s="176">
        <v>36.201982258308597</v>
      </c>
      <c r="E32" s="116">
        <f>D32-$D$32</f>
        <v>0</v>
      </c>
      <c r="F32" s="146" t="s">
        <v>51</v>
      </c>
      <c r="G32" s="146"/>
      <c r="H32" s="146"/>
      <c r="I32" s="146" t="s">
        <v>62</v>
      </c>
      <c r="J32" s="146" t="s">
        <v>63</v>
      </c>
      <c r="K32" s="146" t="s">
        <v>64</v>
      </c>
      <c r="L32" s="146" t="s">
        <v>65</v>
      </c>
      <c r="M32" s="146" t="s">
        <v>66</v>
      </c>
      <c r="N32" s="146"/>
      <c r="O32" s="146" t="s">
        <v>67</v>
      </c>
      <c r="P32" s="146" t="s">
        <v>270</v>
      </c>
      <c r="Q32" s="146" t="s">
        <v>271</v>
      </c>
      <c r="R32" s="146" t="s">
        <v>68</v>
      </c>
      <c r="S32" s="146" t="s">
        <v>69</v>
      </c>
      <c r="T32" s="146" t="s">
        <v>70</v>
      </c>
      <c r="U32" s="146" t="s">
        <v>71</v>
      </c>
      <c r="V32" s="146" t="s">
        <v>72</v>
      </c>
      <c r="W32" s="146" t="s">
        <v>73</v>
      </c>
    </row>
    <row r="33" spans="1:31" s="150" customFormat="1" ht="14" x14ac:dyDescent="0.2">
      <c r="A33" s="109">
        <v>43888</v>
      </c>
      <c r="B33" s="110">
        <v>2</v>
      </c>
      <c r="C33" s="150">
        <v>0.5</v>
      </c>
      <c r="D33" s="176">
        <v>6942.8615704193699</v>
      </c>
      <c r="E33" s="116">
        <f t="shared" ref="E33:E37" si="5">D33-$D$32</f>
        <v>6906.659588161061</v>
      </c>
      <c r="F33" s="115" t="s">
        <v>52</v>
      </c>
      <c r="G33" s="115">
        <v>0.99994688331651693</v>
      </c>
      <c r="H33" s="115" t="s">
        <v>58</v>
      </c>
      <c r="I33" s="115">
        <v>1</v>
      </c>
      <c r="J33" s="115">
        <v>10988847351.90892</v>
      </c>
      <c r="K33" s="115">
        <v>10988847351.90892</v>
      </c>
      <c r="L33" s="115">
        <v>28237.464957666791</v>
      </c>
      <c r="M33" s="115">
        <v>4.6470444114156683E-7</v>
      </c>
      <c r="N33" s="115" t="s">
        <v>61</v>
      </c>
      <c r="O33" s="115">
        <v>658.75313399927109</v>
      </c>
      <c r="P33" s="115">
        <v>413.54949867802549</v>
      </c>
      <c r="Q33" s="115">
        <f>P33*SQRT(G37)</f>
        <v>924.72479110502445</v>
      </c>
      <c r="R33" s="115">
        <v>1.5929245135227506</v>
      </c>
      <c r="S33" s="115">
        <v>0.20942519981504351</v>
      </c>
      <c r="T33" s="115">
        <v>-657.34594012054117</v>
      </c>
      <c r="U33" s="115">
        <v>1974.8522081190833</v>
      </c>
      <c r="V33" s="115">
        <v>-657.34594012054117</v>
      </c>
      <c r="W33" s="115">
        <v>1974.8522081190833</v>
      </c>
      <c r="X33" s="162">
        <f>3.3*Q33/O34</f>
        <v>0.22605235014831881</v>
      </c>
      <c r="Y33" s="162">
        <f>10*Q33/O34</f>
        <v>0.68500712166157218</v>
      </c>
    </row>
    <row r="34" spans="1:31" s="150" customFormat="1" ht="14" x14ac:dyDescent="0.2">
      <c r="A34" s="109">
        <v>43888</v>
      </c>
      <c r="B34" s="110">
        <v>2</v>
      </c>
      <c r="C34" s="150">
        <v>1</v>
      </c>
      <c r="D34" s="176">
        <v>13904.412254327501</v>
      </c>
      <c r="E34" s="116">
        <f t="shared" si="5"/>
        <v>13868.210272069193</v>
      </c>
      <c r="F34" s="115" t="s">
        <v>53</v>
      </c>
      <c r="G34" s="115">
        <v>0.99989376945441588</v>
      </c>
      <c r="H34" s="115" t="s">
        <v>59</v>
      </c>
      <c r="I34" s="115">
        <v>3</v>
      </c>
      <c r="J34" s="115">
        <v>1167475.2710680556</v>
      </c>
      <c r="K34" s="115">
        <v>389158.42368935188</v>
      </c>
      <c r="L34" s="115"/>
      <c r="M34" s="115"/>
      <c r="N34" s="115" t="s">
        <v>74</v>
      </c>
      <c r="O34" s="115">
        <v>13499.491638305693</v>
      </c>
      <c r="P34" s="115">
        <v>80.33495629018006</v>
      </c>
      <c r="Q34" s="115"/>
      <c r="R34" s="115">
        <v>168.04006950030342</v>
      </c>
      <c r="S34" s="115">
        <v>4.6470444114156598E-7</v>
      </c>
      <c r="T34" s="115">
        <v>13243.829953474882</v>
      </c>
      <c r="U34" s="115">
        <v>13755.153323136505</v>
      </c>
      <c r="V34" s="115">
        <v>13243.829953474882</v>
      </c>
      <c r="W34" s="115">
        <v>13755.153323136505</v>
      </c>
    </row>
    <row r="35" spans="1:31" s="150" customFormat="1" ht="14" x14ac:dyDescent="0.2">
      <c r="A35" s="109">
        <v>43888</v>
      </c>
      <c r="B35" s="110">
        <v>2</v>
      </c>
      <c r="C35" s="150">
        <v>2.5</v>
      </c>
      <c r="D35" s="176">
        <v>35051.575480512001</v>
      </c>
      <c r="E35" s="116">
        <f t="shared" si="5"/>
        <v>35015.373498253692</v>
      </c>
      <c r="F35" s="115" t="s">
        <v>54</v>
      </c>
      <c r="G35" s="115">
        <v>0.99985835927255451</v>
      </c>
      <c r="H35" s="115" t="s">
        <v>60</v>
      </c>
      <c r="I35" s="115">
        <v>4</v>
      </c>
      <c r="J35" s="115">
        <v>10990014827.179989</v>
      </c>
      <c r="K35" s="115"/>
      <c r="L35" s="115"/>
      <c r="M35" s="115"/>
      <c r="N35" s="151"/>
      <c r="O35" s="151"/>
      <c r="P35" s="151"/>
      <c r="Q35" s="151"/>
      <c r="R35" s="151"/>
      <c r="S35" s="151"/>
      <c r="T35" s="151"/>
      <c r="U35" s="151"/>
      <c r="V35" s="151"/>
      <c r="W35" s="151"/>
    </row>
    <row r="36" spans="1:31" s="150" customFormat="1" ht="14" x14ac:dyDescent="0.2">
      <c r="A36" s="109">
        <v>43888</v>
      </c>
      <c r="B36" s="110">
        <v>2</v>
      </c>
      <c r="C36" s="150">
        <v>5</v>
      </c>
      <c r="D36" s="176">
        <v>68756.133298958201</v>
      </c>
      <c r="E36" s="116">
        <f t="shared" si="5"/>
        <v>68719.931316699891</v>
      </c>
      <c r="F36" s="115" t="s">
        <v>55</v>
      </c>
      <c r="G36" s="115">
        <v>623.82563564617305</v>
      </c>
    </row>
    <row r="37" spans="1:31" s="150" customFormat="1" ht="14" x14ac:dyDescent="0.2">
      <c r="A37" s="123">
        <v>43888</v>
      </c>
      <c r="B37" s="124">
        <v>2</v>
      </c>
      <c r="C37" s="152">
        <v>10</v>
      </c>
      <c r="D37" s="181">
        <v>135310.13410487899</v>
      </c>
      <c r="E37" s="126">
        <f t="shared" si="5"/>
        <v>135273.9321226207</v>
      </c>
      <c r="F37" s="156" t="s">
        <v>56</v>
      </c>
      <c r="G37" s="156">
        <v>5</v>
      </c>
      <c r="H37" s="152"/>
      <c r="I37" s="152"/>
      <c r="J37" s="152"/>
      <c r="K37" s="152"/>
      <c r="L37" s="152"/>
      <c r="M37" s="152"/>
      <c r="N37" s="152"/>
      <c r="O37" s="152"/>
      <c r="P37" s="152"/>
      <c r="Q37" s="152"/>
      <c r="R37" s="152"/>
      <c r="S37" s="152"/>
      <c r="T37" s="152"/>
      <c r="U37" s="152"/>
      <c r="V37" s="152"/>
      <c r="W37" s="152"/>
      <c r="X37" s="152"/>
      <c r="Y37" s="152"/>
    </row>
    <row r="38" spans="1:31" s="135" customFormat="1" ht="14" x14ac:dyDescent="0.2"/>
    <row r="46" spans="1:31" x14ac:dyDescent="0.2">
      <c r="G46" s="13"/>
      <c r="H46" s="13"/>
      <c r="I46" s="13"/>
      <c r="J46" s="122"/>
      <c r="K46" s="209"/>
      <c r="L46" s="122"/>
      <c r="M46" s="13"/>
      <c r="Y46" s="13"/>
      <c r="Z46" s="13"/>
      <c r="AA46" s="13"/>
      <c r="AB46" s="122"/>
      <c r="AC46" s="209"/>
      <c r="AD46" s="122"/>
      <c r="AE46" s="13"/>
    </row>
    <row r="47" spans="1:31" x14ac:dyDescent="0.2">
      <c r="G47" s="13"/>
      <c r="H47" s="13"/>
      <c r="I47" s="13"/>
      <c r="J47" s="122"/>
      <c r="K47" s="209"/>
      <c r="L47" s="122"/>
      <c r="M47" s="13"/>
      <c r="Y47" s="13"/>
      <c r="Z47" s="13"/>
      <c r="AA47" s="13"/>
      <c r="AB47" s="122"/>
      <c r="AC47" s="209"/>
      <c r="AD47" s="122"/>
      <c r="AE47" s="13"/>
    </row>
    <row r="48" spans="1:31" x14ac:dyDescent="0.2">
      <c r="G48" s="13"/>
      <c r="H48" s="13"/>
      <c r="I48" s="13"/>
      <c r="J48" s="13"/>
      <c r="K48" s="13"/>
      <c r="L48" s="13"/>
      <c r="M48" s="13"/>
      <c r="Y48" s="13"/>
      <c r="Z48" s="13"/>
      <c r="AA48" s="13"/>
      <c r="AB48" s="13"/>
      <c r="AC48" s="13"/>
      <c r="AD48" s="13"/>
      <c r="AE48" s="13"/>
    </row>
    <row r="49" spans="7:31" x14ac:dyDescent="0.2">
      <c r="G49" s="13"/>
      <c r="H49" s="13"/>
      <c r="I49" s="13"/>
      <c r="J49" s="13"/>
      <c r="K49" s="13"/>
      <c r="L49" s="13"/>
      <c r="M49" s="13"/>
      <c r="Y49" s="13"/>
      <c r="Z49" s="13"/>
      <c r="AA49" s="13"/>
      <c r="AB49" s="13"/>
      <c r="AC49" s="13"/>
      <c r="AD49" s="13"/>
      <c r="AE49" s="13"/>
    </row>
    <row r="50" spans="7:31" x14ac:dyDescent="0.2">
      <c r="G50" s="64"/>
      <c r="H50" s="64"/>
      <c r="I50" s="64"/>
      <c r="J50" s="13"/>
      <c r="K50" s="13"/>
      <c r="L50" s="13"/>
      <c r="M50" s="13"/>
      <c r="Y50" s="64"/>
      <c r="Z50" s="64"/>
      <c r="AA50" s="64"/>
      <c r="AB50" s="13"/>
      <c r="AC50" s="13"/>
      <c r="AD50" s="13"/>
      <c r="AE50" s="13"/>
    </row>
    <row r="51" spans="7:31" x14ac:dyDescent="0.2">
      <c r="G51" s="31"/>
      <c r="H51" s="31"/>
      <c r="I51" s="31"/>
      <c r="J51" s="13"/>
      <c r="K51" s="13"/>
      <c r="L51" s="13"/>
      <c r="M51" s="13"/>
      <c r="Y51" s="31"/>
      <c r="Z51" s="31"/>
      <c r="AA51" s="31"/>
      <c r="AB51" s="13"/>
      <c r="AC51" s="13"/>
      <c r="AD51" s="13"/>
      <c r="AE51" s="13"/>
    </row>
    <row r="52" spans="7:31" x14ac:dyDescent="0.2">
      <c r="G52" s="31"/>
      <c r="H52" s="31"/>
      <c r="I52" s="31"/>
      <c r="J52" s="13"/>
      <c r="K52" s="13"/>
      <c r="L52" s="13"/>
      <c r="M52" s="13"/>
      <c r="Y52" s="31"/>
      <c r="Z52" s="31"/>
      <c r="AA52" s="31"/>
      <c r="AB52" s="13"/>
      <c r="AC52" s="13"/>
      <c r="AD52" s="13"/>
      <c r="AE52" s="13"/>
    </row>
    <row r="53" spans="7:31" x14ac:dyDescent="0.2">
      <c r="G53" s="31"/>
      <c r="H53" s="31"/>
      <c r="I53" s="31"/>
      <c r="J53" s="13"/>
      <c r="K53" s="13"/>
      <c r="L53" s="13"/>
      <c r="M53" s="13"/>
      <c r="Y53" s="31"/>
      <c r="Z53" s="31"/>
      <c r="AA53" s="31"/>
      <c r="AB53" s="13"/>
      <c r="AC53" s="13"/>
      <c r="AD53" s="13"/>
      <c r="AE53" s="13"/>
    </row>
    <row r="54" spans="7:31" x14ac:dyDescent="0.2">
      <c r="G54" s="31"/>
      <c r="H54" s="31"/>
      <c r="I54" s="31"/>
      <c r="J54" s="13"/>
      <c r="K54" s="13"/>
      <c r="L54" s="13"/>
      <c r="M54" s="13"/>
      <c r="Y54" s="31"/>
      <c r="Z54" s="31"/>
      <c r="AA54" s="31"/>
      <c r="AB54" s="13"/>
      <c r="AC54" s="13"/>
      <c r="AD54" s="13"/>
      <c r="AE54" s="13"/>
    </row>
    <row r="55" spans="7:31" x14ac:dyDescent="0.2">
      <c r="G55" s="31"/>
      <c r="H55" s="31"/>
      <c r="I55" s="31"/>
      <c r="J55" s="13"/>
      <c r="K55" s="13"/>
      <c r="L55" s="13"/>
      <c r="M55" s="13"/>
      <c r="Y55" s="31"/>
      <c r="Z55" s="31"/>
      <c r="AA55" s="31"/>
      <c r="AB55" s="13"/>
      <c r="AC55" s="13"/>
      <c r="AD55" s="13"/>
      <c r="AE55" s="13"/>
    </row>
    <row r="56" spans="7:31" x14ac:dyDescent="0.2">
      <c r="G56" s="13"/>
      <c r="H56" s="13"/>
      <c r="I56" s="13"/>
      <c r="J56" s="13"/>
      <c r="K56" s="13"/>
      <c r="L56" s="13"/>
      <c r="M56" s="13"/>
      <c r="Y56" s="13"/>
      <c r="Z56" s="13"/>
      <c r="AA56" s="13"/>
      <c r="AB56" s="13"/>
      <c r="AC56" s="13"/>
      <c r="AD56" s="13"/>
      <c r="AE56" s="13"/>
    </row>
    <row r="77" spans="7:32" x14ac:dyDescent="0.2">
      <c r="G77" s="13"/>
      <c r="H77" s="13"/>
      <c r="I77" s="13"/>
      <c r="J77" s="122"/>
      <c r="K77" s="209"/>
      <c r="L77" s="122"/>
      <c r="M77" s="13"/>
      <c r="Y77" s="13"/>
      <c r="Z77" s="13"/>
      <c r="AA77" s="13"/>
      <c r="AB77" s="122"/>
      <c r="AC77" s="209"/>
      <c r="AD77" s="122"/>
      <c r="AE77" s="13"/>
      <c r="AF77" s="13"/>
    </row>
    <row r="78" spans="7:32" x14ac:dyDescent="0.2">
      <c r="G78" s="13"/>
      <c r="H78" s="13"/>
      <c r="I78" s="13"/>
      <c r="J78" s="122"/>
      <c r="K78" s="209"/>
      <c r="L78" s="122"/>
      <c r="M78" s="13"/>
      <c r="Y78" s="13"/>
      <c r="Z78" s="13"/>
      <c r="AA78" s="13"/>
      <c r="AB78" s="122"/>
      <c r="AC78" s="209"/>
      <c r="AD78" s="122"/>
      <c r="AE78" s="13"/>
      <c r="AF78" s="13"/>
    </row>
    <row r="79" spans="7:32" x14ac:dyDescent="0.2">
      <c r="G79" s="13"/>
      <c r="H79" s="13"/>
      <c r="I79" s="13"/>
      <c r="J79" s="13"/>
      <c r="K79" s="13"/>
      <c r="L79" s="13"/>
      <c r="M79" s="13"/>
      <c r="Y79" s="13"/>
      <c r="Z79" s="13"/>
      <c r="AA79" s="13"/>
      <c r="AB79" s="13"/>
      <c r="AC79" s="13"/>
      <c r="AD79" s="13"/>
      <c r="AE79" s="13"/>
      <c r="AF79" s="13"/>
    </row>
    <row r="80" spans="7:32" x14ac:dyDescent="0.2">
      <c r="G80" s="13"/>
      <c r="H80" s="13"/>
      <c r="I80" s="13"/>
      <c r="J80" s="13"/>
      <c r="K80" s="13"/>
      <c r="L80" s="13"/>
      <c r="M80" s="13"/>
      <c r="Y80" s="13"/>
      <c r="Z80" s="13"/>
      <c r="AA80" s="13"/>
      <c r="AB80" s="13"/>
      <c r="AC80" s="13"/>
      <c r="AD80" s="13"/>
      <c r="AE80" s="13"/>
      <c r="AF80" s="13"/>
    </row>
    <row r="81" spans="7:32" x14ac:dyDescent="0.2">
      <c r="G81" s="64"/>
      <c r="H81" s="64"/>
      <c r="I81" s="64"/>
      <c r="J81" s="13"/>
      <c r="K81" s="13"/>
      <c r="L81" s="13"/>
      <c r="M81" s="13"/>
      <c r="Y81" s="64"/>
      <c r="Z81" s="64"/>
      <c r="AA81" s="64"/>
      <c r="AB81" s="13"/>
      <c r="AC81" s="13"/>
      <c r="AD81" s="13"/>
      <c r="AE81" s="13"/>
      <c r="AF81" s="13"/>
    </row>
    <row r="82" spans="7:32" x14ac:dyDescent="0.2">
      <c r="G82" s="31"/>
      <c r="H82" s="31"/>
      <c r="I82" s="31"/>
      <c r="J82" s="13"/>
      <c r="K82" s="13"/>
      <c r="L82" s="13"/>
      <c r="M82" s="13"/>
      <c r="Y82" s="31"/>
      <c r="Z82" s="31"/>
      <c r="AA82" s="31"/>
      <c r="AB82" s="13"/>
      <c r="AC82" s="13"/>
      <c r="AD82" s="13"/>
      <c r="AE82" s="13"/>
      <c r="AF82" s="13"/>
    </row>
    <row r="83" spans="7:32" x14ac:dyDescent="0.2">
      <c r="G83" s="31"/>
      <c r="H83" s="31"/>
      <c r="I83" s="31"/>
      <c r="J83" s="13"/>
      <c r="K83" s="13"/>
      <c r="L83" s="13"/>
      <c r="M83" s="13"/>
      <c r="Y83" s="31"/>
      <c r="Z83" s="31"/>
      <c r="AA83" s="31"/>
      <c r="AB83" s="13"/>
      <c r="AC83" s="13"/>
      <c r="AD83" s="13"/>
      <c r="AE83" s="13"/>
      <c r="AF83" s="13"/>
    </row>
    <row r="84" spans="7:32" x14ac:dyDescent="0.2">
      <c r="G84" s="31"/>
      <c r="H84" s="31"/>
      <c r="I84" s="31"/>
      <c r="J84" s="13"/>
      <c r="K84" s="13"/>
      <c r="L84" s="13"/>
      <c r="M84" s="13"/>
      <c r="Y84" s="31"/>
      <c r="Z84" s="31"/>
      <c r="AA84" s="31"/>
      <c r="AB84" s="13"/>
      <c r="AC84" s="13"/>
      <c r="AD84" s="13"/>
      <c r="AE84" s="13"/>
      <c r="AF84" s="13"/>
    </row>
    <row r="85" spans="7:32" x14ac:dyDescent="0.2">
      <c r="G85" s="31"/>
      <c r="H85" s="31"/>
      <c r="I85" s="31"/>
      <c r="J85" s="13"/>
      <c r="K85" s="13"/>
      <c r="L85" s="13"/>
      <c r="M85" s="13"/>
      <c r="Y85" s="31"/>
      <c r="Z85" s="31"/>
      <c r="AA85" s="31"/>
      <c r="AB85" s="13"/>
      <c r="AC85" s="13"/>
      <c r="AD85" s="13"/>
      <c r="AE85" s="13"/>
      <c r="AF85" s="13"/>
    </row>
    <row r="86" spans="7:32" x14ac:dyDescent="0.2">
      <c r="G86" s="31"/>
      <c r="H86" s="31"/>
      <c r="I86" s="31"/>
      <c r="J86" s="13"/>
      <c r="K86" s="13"/>
      <c r="L86" s="13"/>
      <c r="M86" s="13"/>
      <c r="Y86" s="31"/>
      <c r="Z86" s="31"/>
      <c r="AA86" s="31"/>
      <c r="AB86" s="13"/>
      <c r="AC86" s="13"/>
      <c r="AD86" s="13"/>
      <c r="AE86" s="13"/>
      <c r="AF86" s="13"/>
    </row>
    <row r="87" spans="7:32" x14ac:dyDescent="0.2">
      <c r="G87" s="13"/>
      <c r="H87" s="13"/>
      <c r="I87" s="13"/>
      <c r="J87" s="13"/>
      <c r="K87" s="13"/>
      <c r="L87" s="13"/>
      <c r="M87" s="13"/>
      <c r="Y87" s="13"/>
      <c r="Z87" s="13"/>
      <c r="AA87" s="13"/>
      <c r="AB87" s="13"/>
      <c r="AC87" s="13"/>
      <c r="AD87" s="13"/>
      <c r="AE87" s="13"/>
      <c r="AF87" s="13"/>
    </row>
    <row r="88" spans="7:32" x14ac:dyDescent="0.2">
      <c r="Y88" s="13"/>
      <c r="Z88" s="13"/>
      <c r="AA88" s="13"/>
      <c r="AB88" s="13"/>
      <c r="AC88" s="13"/>
      <c r="AD88" s="13"/>
      <c r="AE88" s="13"/>
      <c r="AF88" s="13"/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0C359-18D8-654B-B4F9-6B60D5C134BA}">
  <dimension ref="A1:AH89"/>
  <sheetViews>
    <sheetView zoomScale="101" workbookViewId="0">
      <selection sqref="A1:XFD1"/>
    </sheetView>
  </sheetViews>
  <sheetFormatPr baseColWidth="10" defaultRowHeight="16" x14ac:dyDescent="0.2"/>
  <cols>
    <col min="2" max="3" width="9.5" customWidth="1"/>
    <col min="6" max="6" width="15.6640625" customWidth="1"/>
    <col min="9" max="9" width="6.6640625" customWidth="1"/>
    <col min="12" max="12" width="7.83203125" customWidth="1"/>
    <col min="13" max="13" width="8.33203125" customWidth="1"/>
    <col min="14" max="14" width="7.83203125" customWidth="1"/>
    <col min="16" max="17" width="8.1640625" customWidth="1"/>
    <col min="18" max="18" width="7.83203125" customWidth="1"/>
    <col min="19" max="19" width="8.6640625" customWidth="1"/>
    <col min="20" max="20" width="8.5" customWidth="1"/>
  </cols>
  <sheetData>
    <row r="1" spans="1:34" ht="30" x14ac:dyDescent="0.2">
      <c r="A1" s="243" t="s">
        <v>2</v>
      </c>
      <c r="B1" s="120" t="s">
        <v>3</v>
      </c>
      <c r="C1" s="120" t="s">
        <v>4</v>
      </c>
      <c r="D1" s="121" t="s">
        <v>239</v>
      </c>
      <c r="E1" s="120" t="s">
        <v>240</v>
      </c>
      <c r="F1" s="141" t="s">
        <v>50</v>
      </c>
      <c r="G1" s="141"/>
      <c r="H1" s="141" t="s">
        <v>57</v>
      </c>
      <c r="I1" s="141"/>
      <c r="J1" s="141"/>
      <c r="K1" s="141"/>
      <c r="L1" s="141"/>
      <c r="M1" s="141"/>
      <c r="N1" s="141"/>
      <c r="O1" s="141"/>
      <c r="P1" s="141"/>
      <c r="Q1" s="141"/>
      <c r="R1" s="141"/>
      <c r="S1" s="141"/>
      <c r="T1" s="141"/>
      <c r="U1" s="141"/>
      <c r="V1" s="141"/>
      <c r="W1" s="141"/>
      <c r="X1" s="128"/>
      <c r="Y1" s="128"/>
    </row>
    <row r="2" spans="1:34" x14ac:dyDescent="0.2">
      <c r="A2" s="109">
        <v>43838</v>
      </c>
      <c r="B2" s="110">
        <v>1</v>
      </c>
      <c r="C2" s="163">
        <v>0</v>
      </c>
      <c r="D2" s="232">
        <v>26.500025987527</v>
      </c>
      <c r="E2" s="158">
        <f>D2-$D$2</f>
        <v>0</v>
      </c>
      <c r="F2" s="213" t="s">
        <v>51</v>
      </c>
      <c r="G2" s="213"/>
      <c r="H2" s="146"/>
      <c r="I2" s="146" t="s">
        <v>62</v>
      </c>
      <c r="J2" s="146" t="s">
        <v>63</v>
      </c>
      <c r="K2" s="146" t="s">
        <v>64</v>
      </c>
      <c r="L2" s="146" t="s">
        <v>65</v>
      </c>
      <c r="M2" s="146" t="s">
        <v>66</v>
      </c>
      <c r="N2" s="146"/>
      <c r="O2" s="146" t="s">
        <v>67</v>
      </c>
      <c r="P2" s="146" t="s">
        <v>270</v>
      </c>
      <c r="Q2" s="146" t="s">
        <v>271</v>
      </c>
      <c r="R2" s="146" t="s">
        <v>68</v>
      </c>
      <c r="S2" s="146" t="s">
        <v>69</v>
      </c>
      <c r="T2" s="146" t="s">
        <v>70</v>
      </c>
      <c r="U2" s="146" t="s">
        <v>71</v>
      </c>
      <c r="V2" s="146" t="s">
        <v>72</v>
      </c>
      <c r="W2" s="146" t="s">
        <v>73</v>
      </c>
      <c r="X2" s="178" t="s">
        <v>272</v>
      </c>
      <c r="Y2" s="178" t="s">
        <v>273</v>
      </c>
    </row>
    <row r="3" spans="1:34" x14ac:dyDescent="0.2">
      <c r="A3" s="109">
        <v>43838</v>
      </c>
      <c r="B3" s="110">
        <v>1</v>
      </c>
      <c r="C3" s="163">
        <v>0.01</v>
      </c>
      <c r="D3" s="232">
        <v>152.00081275686699</v>
      </c>
      <c r="E3" s="158">
        <f t="shared" ref="E3:E7" si="0">D3-$D$2</f>
        <v>125.50078676934</v>
      </c>
      <c r="F3" s="133" t="s">
        <v>52</v>
      </c>
      <c r="G3" s="133">
        <v>0.99991350292137027</v>
      </c>
      <c r="H3" s="133" t="s">
        <v>58</v>
      </c>
      <c r="I3" s="133">
        <v>1</v>
      </c>
      <c r="J3" s="147">
        <v>3690764.8512241384</v>
      </c>
      <c r="K3" s="147">
        <v>3690764.8512241384</v>
      </c>
      <c r="L3" s="147">
        <v>17339.376174767844</v>
      </c>
      <c r="M3" s="147">
        <v>9.6567365236863028E-7</v>
      </c>
      <c r="N3" s="147" t="s">
        <v>61</v>
      </c>
      <c r="O3" s="147">
        <v>-2.6112802910480468</v>
      </c>
      <c r="P3" s="147">
        <v>9.6717649747997889</v>
      </c>
      <c r="Q3" s="147">
        <f>P3*SQRT(G7)</f>
        <v>21.626723946053868</v>
      </c>
      <c r="R3" s="147">
        <v>-0.26999004812997968</v>
      </c>
      <c r="S3" s="147">
        <v>0.80467519060050796</v>
      </c>
      <c r="T3" s="147">
        <v>-33.39115300067202</v>
      </c>
      <c r="U3" s="147">
        <v>28.168592418575926</v>
      </c>
      <c r="V3" s="147">
        <v>-33.39115300067202</v>
      </c>
      <c r="W3" s="147">
        <v>28.168592418575926</v>
      </c>
      <c r="X3" s="162">
        <f>3.3*Q3/O4</f>
        <v>5.7694596498933616E-3</v>
      </c>
      <c r="Y3" s="162">
        <f>10*Q3/O4</f>
        <v>1.748321106028292E-2</v>
      </c>
    </row>
    <row r="4" spans="1:34" x14ac:dyDescent="0.2">
      <c r="A4" s="109">
        <v>43838</v>
      </c>
      <c r="B4" s="110">
        <v>1</v>
      </c>
      <c r="C4" s="163">
        <v>0.02</v>
      </c>
      <c r="D4" s="232">
        <v>252.75224211119701</v>
      </c>
      <c r="E4" s="158">
        <f t="shared" si="0"/>
        <v>226.25221612367</v>
      </c>
      <c r="F4" s="133" t="s">
        <v>53</v>
      </c>
      <c r="G4" s="133">
        <v>0.9998270133244852</v>
      </c>
      <c r="H4" s="133" t="s">
        <v>59</v>
      </c>
      <c r="I4" s="133">
        <v>3</v>
      </c>
      <c r="J4" s="147">
        <v>638.56360471518883</v>
      </c>
      <c r="K4" s="147">
        <v>212.85453490506293</v>
      </c>
      <c r="L4" s="147"/>
      <c r="M4" s="147"/>
      <c r="N4" s="147" t="s">
        <v>74</v>
      </c>
      <c r="O4" s="147">
        <v>12369.995346669401</v>
      </c>
      <c r="P4" s="147">
        <v>93.940485840651959</v>
      </c>
      <c r="Q4" s="147"/>
      <c r="R4" s="147">
        <v>131.67906505883099</v>
      </c>
      <c r="S4" s="147">
        <v>9.6567365236863028E-7</v>
      </c>
      <c r="T4" s="147">
        <v>12071.034794589261</v>
      </c>
      <c r="U4" s="147">
        <v>12668.95589874954</v>
      </c>
      <c r="V4" s="147">
        <v>12071.034794589261</v>
      </c>
      <c r="W4" s="147">
        <v>12668.95589874954</v>
      </c>
    </row>
    <row r="5" spans="1:34" x14ac:dyDescent="0.2">
      <c r="A5" s="109">
        <v>43838</v>
      </c>
      <c r="B5" s="110">
        <v>1</v>
      </c>
      <c r="C5" s="163">
        <v>0.05</v>
      </c>
      <c r="D5" s="232">
        <v>658.76519630947303</v>
      </c>
      <c r="E5" s="158">
        <f t="shared" si="0"/>
        <v>632.26517032194602</v>
      </c>
      <c r="F5" s="133" t="s">
        <v>54</v>
      </c>
      <c r="G5" s="133">
        <v>0.99976935109931364</v>
      </c>
      <c r="H5" s="133" t="s">
        <v>60</v>
      </c>
      <c r="I5" s="133">
        <v>4</v>
      </c>
      <c r="J5" s="147">
        <v>3691403.4148288537</v>
      </c>
      <c r="K5" s="147"/>
      <c r="L5" s="147"/>
      <c r="M5" s="147"/>
      <c r="N5" s="212"/>
      <c r="O5" s="212"/>
      <c r="P5" s="212"/>
      <c r="Q5" s="212"/>
      <c r="R5" s="212"/>
      <c r="S5" s="212"/>
      <c r="T5" s="212"/>
      <c r="U5" s="212"/>
      <c r="V5" s="212"/>
      <c r="W5" s="212"/>
    </row>
    <row r="6" spans="1:34" x14ac:dyDescent="0.2">
      <c r="A6" s="109">
        <v>43838</v>
      </c>
      <c r="B6" s="110">
        <v>1</v>
      </c>
      <c r="C6" s="163">
        <v>0.1</v>
      </c>
      <c r="D6" s="232">
        <v>1261.3057785497199</v>
      </c>
      <c r="E6" s="158">
        <f t="shared" si="0"/>
        <v>1234.805752562193</v>
      </c>
      <c r="F6" s="133" t="s">
        <v>55</v>
      </c>
      <c r="G6" s="133">
        <v>14.58953511613934</v>
      </c>
      <c r="H6" s="137"/>
      <c r="I6" s="137"/>
      <c r="J6" s="212"/>
      <c r="K6" s="212"/>
      <c r="L6" s="212"/>
      <c r="M6" s="212"/>
      <c r="N6" s="212"/>
      <c r="O6" s="212"/>
      <c r="P6" s="212"/>
      <c r="Q6" s="212"/>
      <c r="R6" s="212"/>
      <c r="S6" s="212"/>
      <c r="T6" s="212"/>
      <c r="U6" s="212"/>
      <c r="V6" s="212"/>
      <c r="W6" s="212"/>
    </row>
    <row r="7" spans="1:34" x14ac:dyDescent="0.2">
      <c r="A7" s="123">
        <v>43838</v>
      </c>
      <c r="B7" s="124">
        <v>1</v>
      </c>
      <c r="C7" s="172">
        <v>0.2</v>
      </c>
      <c r="D7" s="235">
        <v>2495.2179304895099</v>
      </c>
      <c r="E7" s="170">
        <f t="shared" si="0"/>
        <v>2468.717904501983</v>
      </c>
      <c r="F7" s="148" t="s">
        <v>56</v>
      </c>
      <c r="G7" s="148">
        <v>5</v>
      </c>
      <c r="H7" s="141"/>
      <c r="I7" s="141"/>
      <c r="J7" s="186"/>
      <c r="K7" s="186"/>
      <c r="L7" s="186"/>
      <c r="M7" s="186"/>
      <c r="N7" s="186"/>
      <c r="O7" s="186"/>
      <c r="P7" s="186"/>
      <c r="Q7" s="186"/>
      <c r="R7" s="186"/>
      <c r="S7" s="186"/>
      <c r="T7" s="186"/>
      <c r="U7" s="186"/>
      <c r="V7" s="186"/>
      <c r="W7" s="186"/>
      <c r="X7" s="128"/>
      <c r="Y7" s="128"/>
    </row>
    <row r="8" spans="1:34" x14ac:dyDescent="0.2">
      <c r="A8" s="109">
        <v>43838</v>
      </c>
      <c r="B8" s="110">
        <v>2</v>
      </c>
      <c r="C8" s="163">
        <v>0</v>
      </c>
      <c r="D8" s="232">
        <v>32.250036426291203</v>
      </c>
      <c r="E8" s="158">
        <f>D8-$D$8</f>
        <v>0</v>
      </c>
      <c r="F8" s="213" t="s">
        <v>51</v>
      </c>
      <c r="G8" s="213"/>
      <c r="H8" s="146"/>
      <c r="I8" s="146" t="s">
        <v>62</v>
      </c>
      <c r="J8" s="214" t="s">
        <v>63</v>
      </c>
      <c r="K8" s="214" t="s">
        <v>64</v>
      </c>
      <c r="L8" s="214" t="s">
        <v>65</v>
      </c>
      <c r="M8" s="214" t="s">
        <v>66</v>
      </c>
      <c r="N8" s="214"/>
      <c r="O8" s="214" t="s">
        <v>67</v>
      </c>
      <c r="P8" s="214" t="s">
        <v>270</v>
      </c>
      <c r="Q8" s="214" t="s">
        <v>271</v>
      </c>
      <c r="R8" s="214" t="s">
        <v>68</v>
      </c>
      <c r="S8" s="214" t="s">
        <v>69</v>
      </c>
      <c r="T8" s="214" t="s">
        <v>70</v>
      </c>
      <c r="U8" s="214" t="s">
        <v>71</v>
      </c>
      <c r="V8" s="214" t="s">
        <v>72</v>
      </c>
      <c r="W8" s="214" t="s">
        <v>73</v>
      </c>
    </row>
    <row r="9" spans="1:34" x14ac:dyDescent="0.2">
      <c r="A9" s="109">
        <v>43838</v>
      </c>
      <c r="B9" s="110">
        <v>2</v>
      </c>
      <c r="C9" s="163">
        <v>0.01</v>
      </c>
      <c r="D9" s="232">
        <v>147.50076466647999</v>
      </c>
      <c r="E9" s="158">
        <f t="shared" ref="E9:E13" si="1">D9-$D$8</f>
        <v>115.25072824018879</v>
      </c>
      <c r="F9" s="133" t="s">
        <v>52</v>
      </c>
      <c r="G9" s="133">
        <v>0.99994249728345908</v>
      </c>
      <c r="H9" s="133" t="s">
        <v>58</v>
      </c>
      <c r="I9" s="133">
        <v>1</v>
      </c>
      <c r="J9" s="147">
        <v>3140858.6519572479</v>
      </c>
      <c r="K9" s="147">
        <v>3140858.6519572479</v>
      </c>
      <c r="L9" s="147">
        <v>26083.474144373697</v>
      </c>
      <c r="M9" s="147">
        <v>5.2343487434837938E-7</v>
      </c>
      <c r="N9" s="147" t="s">
        <v>61</v>
      </c>
      <c r="O9" s="147">
        <v>-3.3595590710202714</v>
      </c>
      <c r="P9" s="147">
        <v>7.2745437316096888</v>
      </c>
      <c r="Q9" s="147">
        <f>P9*SQRT(G13)</f>
        <v>16.266374289174252</v>
      </c>
      <c r="R9" s="147">
        <v>-0.46182402566667619</v>
      </c>
      <c r="S9" s="147">
        <v>0.67563681899492756</v>
      </c>
      <c r="T9" s="147">
        <v>-26.510403892306293</v>
      </c>
      <c r="U9" s="147">
        <v>19.79128575026575</v>
      </c>
      <c r="V9" s="147">
        <v>-26.510403892306293</v>
      </c>
      <c r="W9" s="147">
        <v>19.79128575026575</v>
      </c>
      <c r="X9" s="162">
        <f>3.3*Q9/O10</f>
        <v>4.7040199686644883E-3</v>
      </c>
      <c r="Y9" s="162">
        <f>10*Q9/O10</f>
        <v>1.4254605965649965E-2</v>
      </c>
    </row>
    <row r="10" spans="1:34" x14ac:dyDescent="0.2">
      <c r="A10" s="109">
        <v>43838</v>
      </c>
      <c r="B10" s="110">
        <v>2</v>
      </c>
      <c r="C10" s="163">
        <v>0.02</v>
      </c>
      <c r="D10" s="232">
        <v>244.25209131168501</v>
      </c>
      <c r="E10" s="158">
        <f t="shared" si="1"/>
        <v>212.00205488539382</v>
      </c>
      <c r="F10" s="133" t="s">
        <v>53</v>
      </c>
      <c r="G10" s="133">
        <v>0.99988499787348051</v>
      </c>
      <c r="H10" s="133" t="s">
        <v>59</v>
      </c>
      <c r="I10" s="133">
        <v>3</v>
      </c>
      <c r="J10" s="147">
        <v>361.2469682419291</v>
      </c>
      <c r="K10" s="147">
        <v>120.41565608064303</v>
      </c>
      <c r="L10" s="147"/>
      <c r="M10" s="147"/>
      <c r="N10" s="147" t="s">
        <v>74</v>
      </c>
      <c r="O10" s="147">
        <v>11411.311072626031</v>
      </c>
      <c r="P10" s="147">
        <v>70.656614816121476</v>
      </c>
      <c r="Q10" s="147"/>
      <c r="R10" s="147">
        <v>161.50378987619362</v>
      </c>
      <c r="S10" s="147">
        <v>5.2343487434837938E-7</v>
      </c>
      <c r="T10" s="147">
        <v>11186.45018986061</v>
      </c>
      <c r="U10" s="147">
        <v>11636.171955391452</v>
      </c>
      <c r="V10" s="147">
        <v>11186.45018986061</v>
      </c>
      <c r="W10" s="147">
        <v>11636.171955391452</v>
      </c>
    </row>
    <row r="11" spans="1:34" x14ac:dyDescent="0.2">
      <c r="A11" s="109">
        <v>43838</v>
      </c>
      <c r="B11" s="110">
        <v>2</v>
      </c>
      <c r="C11" s="163">
        <v>0.05</v>
      </c>
      <c r="D11" s="232">
        <v>612.01313622002101</v>
      </c>
      <c r="E11" s="158">
        <f t="shared" si="1"/>
        <v>579.76309979372979</v>
      </c>
      <c r="F11" s="133" t="s">
        <v>54</v>
      </c>
      <c r="G11" s="133">
        <v>0.99984666383130738</v>
      </c>
      <c r="H11" s="133" t="s">
        <v>60</v>
      </c>
      <c r="I11" s="133">
        <v>4</v>
      </c>
      <c r="J11" s="147">
        <v>3141219.8989254897</v>
      </c>
      <c r="K11" s="147"/>
      <c r="L11" s="147"/>
      <c r="M11" s="147"/>
      <c r="N11" s="212"/>
      <c r="O11" s="212"/>
      <c r="P11" s="212"/>
      <c r="Q11" s="212"/>
      <c r="R11" s="212"/>
      <c r="S11" s="212"/>
      <c r="T11" s="212"/>
      <c r="U11" s="212"/>
      <c r="V11" s="212"/>
      <c r="W11" s="212"/>
    </row>
    <row r="12" spans="1:34" x14ac:dyDescent="0.2">
      <c r="A12" s="109">
        <v>43838</v>
      </c>
      <c r="B12" s="110">
        <v>2</v>
      </c>
      <c r="C12" s="163">
        <v>0.1</v>
      </c>
      <c r="D12" s="232">
        <v>1165.7975847492901</v>
      </c>
      <c r="E12" s="158">
        <f t="shared" si="1"/>
        <v>1133.5475483229989</v>
      </c>
      <c r="F12" s="133" t="s">
        <v>55</v>
      </c>
      <c r="G12" s="133">
        <v>10.973406767300801</v>
      </c>
      <c r="H12" s="137"/>
      <c r="I12" s="137"/>
      <c r="J12" s="212"/>
      <c r="K12" s="212"/>
      <c r="L12" s="212"/>
      <c r="M12" s="212"/>
      <c r="N12" s="212"/>
      <c r="O12" s="212"/>
      <c r="P12" s="212"/>
      <c r="Q12" s="212"/>
      <c r="R12" s="212"/>
      <c r="S12" s="212"/>
      <c r="T12" s="212"/>
      <c r="U12" s="212"/>
      <c r="V12" s="212"/>
      <c r="W12" s="212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</row>
    <row r="13" spans="1:34" x14ac:dyDescent="0.2">
      <c r="A13" s="123">
        <v>43838</v>
      </c>
      <c r="B13" s="124">
        <v>2</v>
      </c>
      <c r="C13" s="172">
        <v>0.2</v>
      </c>
      <c r="D13" s="235">
        <v>2311.1870174267701</v>
      </c>
      <c r="E13" s="170">
        <f t="shared" si="1"/>
        <v>2278.9369810004791</v>
      </c>
      <c r="F13" s="148" t="s">
        <v>56</v>
      </c>
      <c r="G13" s="148">
        <v>5</v>
      </c>
      <c r="H13" s="141"/>
      <c r="I13" s="141"/>
      <c r="J13" s="186"/>
      <c r="K13" s="186"/>
      <c r="L13" s="186"/>
      <c r="M13" s="186"/>
      <c r="N13" s="186"/>
      <c r="O13" s="186"/>
      <c r="P13" s="186"/>
      <c r="Q13" s="186"/>
      <c r="R13" s="186"/>
      <c r="S13" s="186"/>
      <c r="T13" s="186"/>
      <c r="U13" s="186"/>
      <c r="V13" s="186"/>
      <c r="W13" s="186"/>
      <c r="X13" s="128"/>
      <c r="Y13" s="128"/>
      <c r="Z13" s="13"/>
      <c r="AA13" s="13"/>
      <c r="AB13" s="13"/>
      <c r="AC13" s="13"/>
      <c r="AD13" s="13"/>
      <c r="AE13" s="13"/>
      <c r="AF13" s="13"/>
      <c r="AG13" s="13"/>
      <c r="AH13" s="13"/>
    </row>
    <row r="14" spans="1:34" x14ac:dyDescent="0.2">
      <c r="A14" s="109">
        <v>43838</v>
      </c>
      <c r="B14" s="110">
        <v>3</v>
      </c>
      <c r="C14" s="163">
        <v>0</v>
      </c>
      <c r="D14" s="232">
        <v>27.2500286037831</v>
      </c>
      <c r="E14" s="158">
        <f>D14-$D$14</f>
        <v>0</v>
      </c>
      <c r="F14" s="213" t="s">
        <v>51</v>
      </c>
      <c r="G14" s="213"/>
      <c r="H14" s="146"/>
      <c r="I14" s="146" t="s">
        <v>62</v>
      </c>
      <c r="J14" s="214" t="s">
        <v>63</v>
      </c>
      <c r="K14" s="214" t="s">
        <v>64</v>
      </c>
      <c r="L14" s="214" t="s">
        <v>65</v>
      </c>
      <c r="M14" s="214" t="s">
        <v>66</v>
      </c>
      <c r="N14" s="214"/>
      <c r="O14" s="214" t="s">
        <v>67</v>
      </c>
      <c r="P14" s="214" t="s">
        <v>270</v>
      </c>
      <c r="Q14" s="214" t="s">
        <v>271</v>
      </c>
      <c r="R14" s="214" t="s">
        <v>68</v>
      </c>
      <c r="S14" s="214" t="s">
        <v>69</v>
      </c>
      <c r="T14" s="214" t="s">
        <v>70</v>
      </c>
      <c r="U14" s="214" t="s">
        <v>71</v>
      </c>
      <c r="V14" s="214" t="s">
        <v>72</v>
      </c>
      <c r="W14" s="214" t="s">
        <v>73</v>
      </c>
      <c r="X14" s="13"/>
      <c r="Y14" s="64"/>
      <c r="Z14" s="64"/>
      <c r="AA14" s="64"/>
      <c r="AB14" s="64"/>
      <c r="AC14" s="64"/>
      <c r="AD14" s="64"/>
      <c r="AE14" s="64"/>
      <c r="AF14" s="64"/>
      <c r="AG14" s="64"/>
      <c r="AH14" s="13"/>
    </row>
    <row r="15" spans="1:34" x14ac:dyDescent="0.2">
      <c r="A15" s="109">
        <v>43838</v>
      </c>
      <c r="B15" s="110">
        <v>3</v>
      </c>
      <c r="C15" s="163">
        <v>0.01</v>
      </c>
      <c r="D15" s="232">
        <v>144.00072838869801</v>
      </c>
      <c r="E15" s="158">
        <f t="shared" ref="E15:E19" si="2">D15-$D$14</f>
        <v>116.7506997849149</v>
      </c>
      <c r="F15" s="133" t="s">
        <v>52</v>
      </c>
      <c r="G15" s="133">
        <v>0.9998103643195777</v>
      </c>
      <c r="H15" s="133" t="s">
        <v>58</v>
      </c>
      <c r="I15" s="133">
        <v>1</v>
      </c>
      <c r="J15" s="147">
        <v>3145922.4885554365</v>
      </c>
      <c r="K15" s="147">
        <v>3145922.4885554365</v>
      </c>
      <c r="L15" s="147">
        <v>7907.6539281317318</v>
      </c>
      <c r="M15" s="147">
        <v>3.1347404268946228E-6</v>
      </c>
      <c r="N15" s="147" t="s">
        <v>61</v>
      </c>
      <c r="O15" s="147">
        <v>-5.2087321700903431</v>
      </c>
      <c r="P15" s="147">
        <v>13.222527003427635</v>
      </c>
      <c r="Q15" s="147">
        <f>P15*SQRT(G19)</f>
        <v>29.566469213990786</v>
      </c>
      <c r="R15" s="147">
        <v>-0.39392864682674494</v>
      </c>
      <c r="S15" s="147">
        <v>0.71996388241879428</v>
      </c>
      <c r="T15" s="147">
        <v>-47.288714378662689</v>
      </c>
      <c r="U15" s="147">
        <v>36.871250038482003</v>
      </c>
      <c r="V15" s="147">
        <v>-47.288714378662689</v>
      </c>
      <c r="W15" s="147">
        <v>36.871250038482003</v>
      </c>
      <c r="X15" s="162">
        <f>3.3*Q15/O16</f>
        <v>8.5433470239500119E-3</v>
      </c>
      <c r="Y15" s="162">
        <f>10*Q15/O16</f>
        <v>2.5888930375606099E-2</v>
      </c>
      <c r="Z15" s="31"/>
      <c r="AA15" s="31"/>
      <c r="AB15" s="31"/>
      <c r="AC15" s="31"/>
      <c r="AD15" s="31"/>
      <c r="AE15" s="31"/>
      <c r="AF15" s="31"/>
      <c r="AG15" s="31"/>
      <c r="AH15" s="13"/>
    </row>
    <row r="16" spans="1:34" x14ac:dyDescent="0.2">
      <c r="A16" s="109">
        <v>43838</v>
      </c>
      <c r="B16" s="110">
        <v>3</v>
      </c>
      <c r="C16" s="163">
        <v>0.02</v>
      </c>
      <c r="D16" s="232">
        <v>224.00176133638999</v>
      </c>
      <c r="E16" s="158">
        <f t="shared" si="2"/>
        <v>196.75173273260688</v>
      </c>
      <c r="F16" s="133" t="s">
        <v>53</v>
      </c>
      <c r="G16" s="133">
        <v>0.99962076460084659</v>
      </c>
      <c r="H16" s="133" t="s">
        <v>59</v>
      </c>
      <c r="I16" s="133">
        <v>3</v>
      </c>
      <c r="J16" s="147">
        <v>1193.497787262939</v>
      </c>
      <c r="K16" s="147">
        <v>397.83259575431299</v>
      </c>
      <c r="L16" s="147"/>
      <c r="M16" s="147"/>
      <c r="N16" s="147" t="s">
        <v>74</v>
      </c>
      <c r="O16" s="147">
        <v>11420.506287834069</v>
      </c>
      <c r="P16" s="147">
        <v>128.42853543066423</v>
      </c>
      <c r="Q16" s="147"/>
      <c r="R16" s="147">
        <v>88.924990458991502</v>
      </c>
      <c r="S16" s="147">
        <v>3.1347404268946283E-6</v>
      </c>
      <c r="T16" s="147">
        <v>11011.789369759754</v>
      </c>
      <c r="U16" s="147">
        <v>11829.223205908384</v>
      </c>
      <c r="V16" s="147">
        <v>11011.789369759754</v>
      </c>
      <c r="W16" s="147">
        <v>11829.223205908384</v>
      </c>
      <c r="X16" s="13"/>
      <c r="Y16" s="31"/>
      <c r="Z16" s="31"/>
      <c r="AA16" s="31"/>
      <c r="AB16" s="31"/>
      <c r="AC16" s="31"/>
      <c r="AD16" s="31"/>
      <c r="AE16" s="31"/>
      <c r="AF16" s="31"/>
      <c r="AG16" s="31"/>
      <c r="AH16" s="13"/>
    </row>
    <row r="17" spans="1:34" x14ac:dyDescent="0.2">
      <c r="A17" s="109">
        <v>43838</v>
      </c>
      <c r="B17" s="110">
        <v>3</v>
      </c>
      <c r="C17" s="163">
        <v>0.05</v>
      </c>
      <c r="D17" s="232">
        <v>605.01282810484099</v>
      </c>
      <c r="E17" s="158">
        <f t="shared" si="2"/>
        <v>577.76279950105788</v>
      </c>
      <c r="F17" s="133" t="s">
        <v>54</v>
      </c>
      <c r="G17" s="133">
        <v>0.99949435280112875</v>
      </c>
      <c r="H17" s="133" t="s">
        <v>60</v>
      </c>
      <c r="I17" s="133">
        <v>4</v>
      </c>
      <c r="J17" s="147">
        <v>3147115.9863426993</v>
      </c>
      <c r="K17" s="147"/>
      <c r="L17" s="147"/>
      <c r="M17" s="147"/>
      <c r="N17" s="212"/>
      <c r="O17" s="212"/>
      <c r="P17" s="212"/>
      <c r="Q17" s="212"/>
      <c r="R17" s="212"/>
      <c r="S17" s="212"/>
      <c r="T17" s="212"/>
      <c r="U17" s="212"/>
      <c r="V17" s="212"/>
      <c r="W17" s="212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</row>
    <row r="18" spans="1:34" x14ac:dyDescent="0.2">
      <c r="A18" s="109">
        <v>43838</v>
      </c>
      <c r="B18" s="110">
        <v>3</v>
      </c>
      <c r="C18" s="163">
        <v>0.1</v>
      </c>
      <c r="D18" s="232">
        <v>1179.0486875894401</v>
      </c>
      <c r="E18" s="158">
        <f t="shared" si="2"/>
        <v>1151.7986589856571</v>
      </c>
      <c r="F18" s="133" t="s">
        <v>55</v>
      </c>
      <c r="G18" s="133">
        <v>19.945741293677528</v>
      </c>
      <c r="H18" s="137"/>
      <c r="I18" s="137"/>
      <c r="J18" s="218"/>
      <c r="K18" s="218"/>
      <c r="L18" s="218"/>
      <c r="M18" s="212"/>
      <c r="N18" s="212"/>
      <c r="O18" s="212"/>
      <c r="P18" s="212"/>
      <c r="Q18" s="212"/>
      <c r="R18" s="212"/>
      <c r="S18" s="212"/>
      <c r="T18" s="212"/>
      <c r="U18" s="212"/>
      <c r="V18" s="212"/>
      <c r="W18" s="212"/>
      <c r="X18" s="13"/>
      <c r="Y18" s="13"/>
      <c r="Z18" s="13"/>
      <c r="AA18" s="13"/>
      <c r="AB18" s="122"/>
      <c r="AC18" s="209"/>
      <c r="AD18" s="122"/>
      <c r="AE18" s="13"/>
      <c r="AF18" s="13"/>
      <c r="AG18" s="13"/>
      <c r="AH18" s="13"/>
    </row>
    <row r="19" spans="1:34" x14ac:dyDescent="0.2">
      <c r="A19" s="123">
        <v>43838</v>
      </c>
      <c r="B19" s="124">
        <v>3</v>
      </c>
      <c r="C19" s="172">
        <v>0.2</v>
      </c>
      <c r="D19" s="235">
        <v>2297.9348661260401</v>
      </c>
      <c r="E19" s="170">
        <f t="shared" si="2"/>
        <v>2270.6848375222571</v>
      </c>
      <c r="F19" s="148" t="s">
        <v>56</v>
      </c>
      <c r="G19" s="148">
        <v>5</v>
      </c>
      <c r="H19" s="141"/>
      <c r="I19" s="141"/>
      <c r="J19" s="221"/>
      <c r="K19" s="221"/>
      <c r="L19" s="221"/>
      <c r="M19" s="186"/>
      <c r="N19" s="186"/>
      <c r="O19" s="186"/>
      <c r="P19" s="186"/>
      <c r="Q19" s="186"/>
      <c r="R19" s="186"/>
      <c r="S19" s="186"/>
      <c r="T19" s="186"/>
      <c r="U19" s="186"/>
      <c r="V19" s="186"/>
      <c r="W19" s="186"/>
      <c r="X19" s="128"/>
      <c r="Y19" s="128"/>
      <c r="Z19" s="13"/>
      <c r="AA19" s="13"/>
      <c r="AB19" s="122"/>
      <c r="AC19" s="209"/>
      <c r="AD19" s="122"/>
      <c r="AE19" s="13"/>
      <c r="AF19" s="13"/>
      <c r="AG19" s="13"/>
      <c r="AH19" s="13"/>
    </row>
    <row r="20" spans="1:34" x14ac:dyDescent="0.2">
      <c r="A20" s="109">
        <v>43789</v>
      </c>
      <c r="B20" s="110">
        <v>1</v>
      </c>
      <c r="C20" s="163">
        <v>0</v>
      </c>
      <c r="D20" s="176">
        <v>41.500060952590403</v>
      </c>
      <c r="E20" s="158">
        <f>D20-$D$20</f>
        <v>0</v>
      </c>
      <c r="F20" s="213" t="s">
        <v>51</v>
      </c>
      <c r="G20" s="213"/>
      <c r="H20" s="146"/>
      <c r="I20" s="146" t="s">
        <v>62</v>
      </c>
      <c r="J20" s="214" t="s">
        <v>63</v>
      </c>
      <c r="K20" s="214" t="s">
        <v>64</v>
      </c>
      <c r="L20" s="214" t="s">
        <v>65</v>
      </c>
      <c r="M20" s="214" t="s">
        <v>66</v>
      </c>
      <c r="N20" s="214"/>
      <c r="O20" s="214" t="s">
        <v>67</v>
      </c>
      <c r="P20" s="214" t="s">
        <v>270</v>
      </c>
      <c r="Q20" s="214" t="s">
        <v>271</v>
      </c>
      <c r="R20" s="214" t="s">
        <v>68</v>
      </c>
      <c r="S20" s="214" t="s">
        <v>69</v>
      </c>
      <c r="T20" s="214" t="s">
        <v>70</v>
      </c>
      <c r="U20" s="214" t="s">
        <v>71</v>
      </c>
      <c r="V20" s="214" t="s">
        <v>72</v>
      </c>
      <c r="W20" s="214" t="s">
        <v>73</v>
      </c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</row>
    <row r="21" spans="1:34" x14ac:dyDescent="0.2">
      <c r="A21" s="109">
        <v>43789</v>
      </c>
      <c r="B21" s="110">
        <v>1</v>
      </c>
      <c r="C21" s="163">
        <v>0.01</v>
      </c>
      <c r="D21" s="176">
        <v>205.00148126327099</v>
      </c>
      <c r="E21" s="158">
        <f t="shared" ref="E21:E25" si="3">D21-$D$20</f>
        <v>163.5014203106806</v>
      </c>
      <c r="F21" s="133" t="s">
        <v>52</v>
      </c>
      <c r="G21" s="133">
        <v>0.99989915734874069</v>
      </c>
      <c r="H21" s="133" t="s">
        <v>58</v>
      </c>
      <c r="I21" s="133">
        <v>1</v>
      </c>
      <c r="J21" s="147">
        <v>7105412.5451204907</v>
      </c>
      <c r="K21" s="147">
        <v>7105412.5451204907</v>
      </c>
      <c r="L21" s="147">
        <v>14872.408540629514</v>
      </c>
      <c r="M21" s="147">
        <v>1.2156083394407063E-6</v>
      </c>
      <c r="N21" s="147" t="s">
        <v>61</v>
      </c>
      <c r="O21" s="147">
        <v>-6.3255541409716898E-2</v>
      </c>
      <c r="P21" s="147">
        <v>14.489996370236646</v>
      </c>
      <c r="Q21" s="147">
        <f>P21*SQRT(G25)</f>
        <v>32.40061687757435</v>
      </c>
      <c r="R21" s="147">
        <v>-4.3654628885655012E-3</v>
      </c>
      <c r="S21" s="147">
        <v>0.99679093914704231</v>
      </c>
      <c r="T21" s="147">
        <v>-46.176890953443689</v>
      </c>
      <c r="U21" s="147">
        <v>46.050379870624255</v>
      </c>
      <c r="V21" s="147">
        <v>-46.176890953443689</v>
      </c>
      <c r="W21" s="147">
        <v>46.050379870624255</v>
      </c>
      <c r="X21" s="162">
        <f>3.3*Q21/O22</f>
        <v>6.2296151984899831E-3</v>
      </c>
      <c r="Y21" s="162">
        <f>10*Q21/O22</f>
        <v>1.887762181360601E-2</v>
      </c>
      <c r="Z21" s="64"/>
      <c r="AA21" s="64"/>
      <c r="AB21" s="13"/>
      <c r="AC21" s="13"/>
      <c r="AD21" s="13"/>
      <c r="AE21" s="13"/>
      <c r="AF21" s="13"/>
      <c r="AG21" s="13"/>
      <c r="AH21" s="13"/>
    </row>
    <row r="22" spans="1:34" x14ac:dyDescent="0.2">
      <c r="A22" s="109">
        <v>43789</v>
      </c>
      <c r="B22" s="110">
        <v>1</v>
      </c>
      <c r="C22" s="163">
        <v>0.02</v>
      </c>
      <c r="D22" s="176">
        <v>369.50478601458502</v>
      </c>
      <c r="E22" s="158">
        <f t="shared" si="3"/>
        <v>328.00472506199463</v>
      </c>
      <c r="F22" s="133" t="s">
        <v>53</v>
      </c>
      <c r="G22" s="133">
        <v>0.99979832486672171</v>
      </c>
      <c r="H22" s="133" t="s">
        <v>59</v>
      </c>
      <c r="I22" s="133">
        <v>3</v>
      </c>
      <c r="J22" s="147">
        <v>1433.2740777748434</v>
      </c>
      <c r="K22" s="147">
        <v>477.75802592494779</v>
      </c>
      <c r="L22" s="147"/>
      <c r="M22" s="147"/>
      <c r="N22" s="147" t="s">
        <v>74</v>
      </c>
      <c r="O22" s="147">
        <v>17163.505656322486</v>
      </c>
      <c r="P22" s="147">
        <v>140.7392862001893</v>
      </c>
      <c r="Q22" s="147"/>
      <c r="R22" s="147">
        <v>121.95248476611501</v>
      </c>
      <c r="S22" s="147">
        <v>1.2156083394407063E-6</v>
      </c>
      <c r="T22" s="147">
        <v>16715.610434946426</v>
      </c>
      <c r="U22" s="147">
        <v>17611.400877698547</v>
      </c>
      <c r="V22" s="147">
        <v>16715.610434946426</v>
      </c>
      <c r="W22" s="147">
        <v>17611.400877698547</v>
      </c>
      <c r="X22" s="13"/>
      <c r="Y22" s="31"/>
      <c r="Z22" s="31"/>
      <c r="AA22" s="31"/>
      <c r="AB22" s="13"/>
      <c r="AC22" s="13"/>
      <c r="AD22" s="13"/>
      <c r="AE22" s="13"/>
      <c r="AF22" s="13"/>
      <c r="AG22" s="13"/>
      <c r="AH22" s="13"/>
    </row>
    <row r="23" spans="1:34" x14ac:dyDescent="0.2">
      <c r="A23" s="109">
        <v>43789</v>
      </c>
      <c r="B23" s="110">
        <v>1</v>
      </c>
      <c r="C23" s="163">
        <v>0.05</v>
      </c>
      <c r="D23" s="176">
        <v>932.53046378860302</v>
      </c>
      <c r="E23" s="158">
        <f t="shared" si="3"/>
        <v>891.03040283601263</v>
      </c>
      <c r="F23" s="133" t="s">
        <v>54</v>
      </c>
      <c r="G23" s="133">
        <v>0.99973109982229558</v>
      </c>
      <c r="H23" s="133" t="s">
        <v>60</v>
      </c>
      <c r="I23" s="133">
        <v>4</v>
      </c>
      <c r="J23" s="147">
        <v>7106845.8191982657</v>
      </c>
      <c r="K23" s="147"/>
      <c r="L23" s="147"/>
      <c r="M23" s="147"/>
      <c r="N23" s="212"/>
      <c r="O23" s="212"/>
      <c r="P23" s="212"/>
      <c r="Q23" s="212"/>
      <c r="R23" s="212"/>
      <c r="S23" s="212"/>
      <c r="T23" s="212"/>
      <c r="U23" s="212"/>
      <c r="V23" s="212"/>
      <c r="W23" s="212"/>
      <c r="Y23" s="31"/>
      <c r="Z23" s="31"/>
      <c r="AA23" s="31"/>
      <c r="AB23" s="13"/>
      <c r="AC23" s="13"/>
      <c r="AD23" s="13"/>
    </row>
    <row r="24" spans="1:34" x14ac:dyDescent="0.2">
      <c r="A24" s="109">
        <v>43789</v>
      </c>
      <c r="B24" s="110">
        <v>1</v>
      </c>
      <c r="C24" s="163">
        <v>0.1</v>
      </c>
      <c r="D24" s="176">
        <v>1751.10736959412</v>
      </c>
      <c r="E24" s="158">
        <f t="shared" si="3"/>
        <v>1709.6073086415295</v>
      </c>
      <c r="F24" s="133" t="s">
        <v>55</v>
      </c>
      <c r="G24" s="133">
        <v>21.857676590272529</v>
      </c>
      <c r="H24" s="133"/>
      <c r="I24" s="133"/>
      <c r="J24" s="212"/>
      <c r="K24" s="212"/>
      <c r="L24" s="212"/>
      <c r="M24" s="212"/>
      <c r="N24" s="212"/>
      <c r="O24" s="212"/>
      <c r="P24" s="212"/>
      <c r="Q24" s="212"/>
      <c r="R24" s="212"/>
      <c r="S24" s="212"/>
      <c r="T24" s="212"/>
      <c r="U24" s="212"/>
      <c r="V24" s="212"/>
      <c r="W24" s="212"/>
      <c r="Y24" s="31"/>
      <c r="Z24" s="31"/>
      <c r="AA24" s="31"/>
      <c r="AB24" s="13"/>
      <c r="AC24" s="13"/>
      <c r="AD24" s="13"/>
    </row>
    <row r="25" spans="1:34" x14ac:dyDescent="0.2">
      <c r="A25" s="123">
        <v>43789</v>
      </c>
      <c r="B25" s="124">
        <v>1</v>
      </c>
      <c r="C25" s="172">
        <v>0.2</v>
      </c>
      <c r="D25" s="181">
        <v>3471.1720757978701</v>
      </c>
      <c r="E25" s="170">
        <f t="shared" si="3"/>
        <v>3429.6720148452796</v>
      </c>
      <c r="F25" s="148" t="s">
        <v>56</v>
      </c>
      <c r="G25" s="148">
        <v>5</v>
      </c>
      <c r="H25" s="148"/>
      <c r="I25" s="148"/>
      <c r="J25" s="186"/>
      <c r="K25" s="186"/>
      <c r="L25" s="186"/>
      <c r="M25" s="186"/>
      <c r="N25" s="186"/>
      <c r="O25" s="186"/>
      <c r="P25" s="186"/>
      <c r="Q25" s="186"/>
      <c r="R25" s="186"/>
      <c r="S25" s="186"/>
      <c r="T25" s="186"/>
      <c r="U25" s="186"/>
      <c r="V25" s="186"/>
      <c r="W25" s="186"/>
      <c r="X25" s="128"/>
      <c r="Y25" s="67"/>
      <c r="Z25" s="31"/>
      <c r="AA25" s="31"/>
      <c r="AB25" s="13"/>
      <c r="AC25" s="13"/>
      <c r="AD25" s="13"/>
    </row>
    <row r="26" spans="1:34" x14ac:dyDescent="0.2">
      <c r="A26" s="109">
        <v>43888</v>
      </c>
      <c r="B26" s="110">
        <v>1</v>
      </c>
      <c r="C26" s="163">
        <v>0</v>
      </c>
      <c r="D26" s="176">
        <v>20.250014656260799</v>
      </c>
      <c r="E26" s="158">
        <f>D26-$D$26</f>
        <v>0</v>
      </c>
      <c r="F26" s="213" t="s">
        <v>51</v>
      </c>
      <c r="G26" s="213"/>
      <c r="H26" s="146"/>
      <c r="I26" s="146" t="s">
        <v>62</v>
      </c>
      <c r="J26" s="214" t="s">
        <v>63</v>
      </c>
      <c r="K26" s="214" t="s">
        <v>64</v>
      </c>
      <c r="L26" s="214" t="s">
        <v>65</v>
      </c>
      <c r="M26" s="214" t="s">
        <v>66</v>
      </c>
      <c r="N26" s="214"/>
      <c r="O26" s="214" t="s">
        <v>67</v>
      </c>
      <c r="P26" s="214" t="s">
        <v>270</v>
      </c>
      <c r="Q26" s="214" t="s">
        <v>271</v>
      </c>
      <c r="R26" s="214" t="s">
        <v>68</v>
      </c>
      <c r="S26" s="214" t="s">
        <v>69</v>
      </c>
      <c r="T26" s="214" t="s">
        <v>70</v>
      </c>
      <c r="U26" s="214" t="s">
        <v>71</v>
      </c>
      <c r="V26" s="214" t="s">
        <v>72</v>
      </c>
      <c r="W26" s="214" t="s">
        <v>73</v>
      </c>
    </row>
    <row r="27" spans="1:34" x14ac:dyDescent="0.2">
      <c r="A27" s="109">
        <v>43888</v>
      </c>
      <c r="B27" s="110">
        <v>1</v>
      </c>
      <c r="C27" s="163">
        <v>0.01</v>
      </c>
      <c r="D27" s="176">
        <v>246.75213297970399</v>
      </c>
      <c r="E27" s="158">
        <f t="shared" ref="E27:E31" si="4">D27-$D$26</f>
        <v>226.5021183234432</v>
      </c>
      <c r="F27" s="133" t="s">
        <v>52</v>
      </c>
      <c r="G27" s="133">
        <v>0.99998792753672161</v>
      </c>
      <c r="H27" s="133" t="s">
        <v>58</v>
      </c>
      <c r="I27" s="133">
        <v>1</v>
      </c>
      <c r="J27" s="147">
        <v>11248999.386670517</v>
      </c>
      <c r="K27" s="147">
        <v>11248999.386670517</v>
      </c>
      <c r="L27" s="147">
        <v>124247.45492482313</v>
      </c>
      <c r="M27" s="147">
        <v>5.0353180856471897E-8</v>
      </c>
      <c r="N27" s="147" t="s">
        <v>61</v>
      </c>
      <c r="O27" s="147">
        <v>16.650293214290286</v>
      </c>
      <c r="P27" s="147">
        <v>6.30779363735346</v>
      </c>
      <c r="Q27" s="147">
        <f>P27*SQRT(G31)</f>
        <v>14.104655361162994</v>
      </c>
      <c r="R27" s="147">
        <v>2.6396382271751353</v>
      </c>
      <c r="S27" s="147">
        <v>7.7680039845755916E-2</v>
      </c>
      <c r="T27" s="147">
        <v>-3.4239213413973211</v>
      </c>
      <c r="U27" s="147">
        <v>36.72450776997789</v>
      </c>
      <c r="V27" s="147">
        <v>-3.4239213413973211</v>
      </c>
      <c r="W27" s="147">
        <v>36.72450776997789</v>
      </c>
      <c r="X27" s="162">
        <f>3.3*Q27/O28</f>
        <v>2.1553019604889393E-3</v>
      </c>
      <c r="Y27" s="162">
        <f>10*Q27/O28</f>
        <v>6.5312180620876945E-3</v>
      </c>
    </row>
    <row r="28" spans="1:34" x14ac:dyDescent="0.2">
      <c r="A28" s="109">
        <v>43888</v>
      </c>
      <c r="B28" s="110">
        <v>1</v>
      </c>
      <c r="C28" s="163">
        <v>0.02</v>
      </c>
      <c r="D28" s="176">
        <v>465.757599682874</v>
      </c>
      <c r="E28" s="158">
        <f t="shared" si="4"/>
        <v>445.50758502661319</v>
      </c>
      <c r="F28" s="133" t="s">
        <v>53</v>
      </c>
      <c r="G28" s="133">
        <v>0.99997585521918764</v>
      </c>
      <c r="H28" s="133" t="s">
        <v>59</v>
      </c>
      <c r="I28" s="133">
        <v>3</v>
      </c>
      <c r="J28" s="147">
        <v>271.61118254237425</v>
      </c>
      <c r="K28" s="147">
        <v>90.537060847458079</v>
      </c>
      <c r="L28" s="147"/>
      <c r="M28" s="147"/>
      <c r="N28" s="147" t="s">
        <v>74</v>
      </c>
      <c r="O28" s="147">
        <v>21595.750175663958</v>
      </c>
      <c r="P28" s="147">
        <v>61.266707826285199</v>
      </c>
      <c r="Q28" s="147"/>
      <c r="R28" s="147">
        <v>352.48752449529781</v>
      </c>
      <c r="S28" s="147">
        <v>5.0353180856471719E-8</v>
      </c>
      <c r="T28" s="147">
        <v>21400.772167705301</v>
      </c>
      <c r="U28" s="147">
        <v>21790.728183622614</v>
      </c>
      <c r="V28" s="147">
        <v>21400.772167705301</v>
      </c>
      <c r="W28" s="147">
        <v>21790.728183622614</v>
      </c>
    </row>
    <row r="29" spans="1:34" x14ac:dyDescent="0.2">
      <c r="A29" s="109">
        <v>43888</v>
      </c>
      <c r="B29" s="110">
        <v>1</v>
      </c>
      <c r="C29" s="163">
        <v>0.05</v>
      </c>
      <c r="D29" s="176">
        <v>1119.2938483615701</v>
      </c>
      <c r="E29" s="158">
        <f t="shared" si="4"/>
        <v>1099.0438337053092</v>
      </c>
      <c r="F29" s="133" t="s">
        <v>54</v>
      </c>
      <c r="G29" s="133">
        <v>0.99996780695891685</v>
      </c>
      <c r="H29" s="133" t="s">
        <v>60</v>
      </c>
      <c r="I29" s="133">
        <v>4</v>
      </c>
      <c r="J29" s="147">
        <v>11249270.997853059</v>
      </c>
      <c r="K29" s="147"/>
      <c r="L29" s="147"/>
      <c r="M29" s="147"/>
      <c r="N29" s="212"/>
      <c r="O29" s="212"/>
      <c r="P29" s="212"/>
      <c r="Q29" s="212"/>
      <c r="R29" s="212"/>
      <c r="S29" s="212"/>
      <c r="T29" s="212"/>
      <c r="U29" s="212"/>
      <c r="V29" s="212"/>
      <c r="W29" s="212"/>
    </row>
    <row r="30" spans="1:34" x14ac:dyDescent="0.2">
      <c r="A30" s="109">
        <v>43888</v>
      </c>
      <c r="B30" s="110">
        <v>1</v>
      </c>
      <c r="C30" s="163">
        <v>0.1</v>
      </c>
      <c r="D30" s="176">
        <v>2209.6709445671599</v>
      </c>
      <c r="E30" s="158">
        <f t="shared" si="4"/>
        <v>2189.4209299108993</v>
      </c>
      <c r="F30" s="133" t="s">
        <v>55</v>
      </c>
      <c r="G30" s="133">
        <v>9.5150964707383849</v>
      </c>
      <c r="H30" s="137"/>
      <c r="I30" s="137"/>
      <c r="J30" s="212"/>
      <c r="K30" s="212"/>
      <c r="L30" s="212"/>
      <c r="M30" s="212"/>
      <c r="N30" s="212"/>
      <c r="O30" s="212"/>
      <c r="P30" s="212"/>
      <c r="Q30" s="212"/>
      <c r="R30" s="212"/>
      <c r="S30" s="212"/>
      <c r="T30" s="212"/>
      <c r="U30" s="212"/>
      <c r="V30" s="212"/>
      <c r="W30" s="212"/>
    </row>
    <row r="31" spans="1:34" x14ac:dyDescent="0.2">
      <c r="A31" s="123">
        <v>43888</v>
      </c>
      <c r="B31" s="124">
        <v>1</v>
      </c>
      <c r="C31" s="172">
        <v>0.2</v>
      </c>
      <c r="D31" s="181">
        <v>4349.41208051375</v>
      </c>
      <c r="E31" s="170">
        <f t="shared" si="4"/>
        <v>4329.1620658574893</v>
      </c>
      <c r="F31" s="148" t="s">
        <v>56</v>
      </c>
      <c r="G31" s="148">
        <v>5</v>
      </c>
      <c r="H31" s="141"/>
      <c r="I31" s="141"/>
      <c r="J31" s="186"/>
      <c r="K31" s="186"/>
      <c r="L31" s="186"/>
      <c r="M31" s="186"/>
      <c r="N31" s="186"/>
      <c r="O31" s="186"/>
      <c r="P31" s="186"/>
      <c r="Q31" s="186"/>
      <c r="R31" s="186"/>
      <c r="S31" s="186"/>
      <c r="T31" s="186"/>
      <c r="U31" s="186"/>
      <c r="V31" s="186"/>
      <c r="W31" s="186"/>
      <c r="X31" s="128"/>
      <c r="Y31" s="128"/>
    </row>
    <row r="32" spans="1:34" x14ac:dyDescent="0.2">
      <c r="A32" s="109">
        <v>43888</v>
      </c>
      <c r="B32" s="110">
        <v>2</v>
      </c>
      <c r="C32" s="163">
        <v>0</v>
      </c>
      <c r="D32" s="176">
        <v>14.000007175003899</v>
      </c>
      <c r="E32" s="158">
        <f>D32-$D$32</f>
        <v>0</v>
      </c>
      <c r="F32" s="213" t="s">
        <v>51</v>
      </c>
      <c r="G32" s="213"/>
      <c r="H32" s="146"/>
      <c r="I32" s="146" t="s">
        <v>62</v>
      </c>
      <c r="J32" s="214" t="s">
        <v>63</v>
      </c>
      <c r="K32" s="214" t="s">
        <v>64</v>
      </c>
      <c r="L32" s="214" t="s">
        <v>65</v>
      </c>
      <c r="M32" s="214" t="s">
        <v>66</v>
      </c>
      <c r="N32" s="214"/>
      <c r="O32" s="214" t="s">
        <v>67</v>
      </c>
      <c r="P32" s="214" t="s">
        <v>270</v>
      </c>
      <c r="Q32" s="214" t="s">
        <v>271</v>
      </c>
      <c r="R32" s="214" t="s">
        <v>68</v>
      </c>
      <c r="S32" s="214" t="s">
        <v>69</v>
      </c>
      <c r="T32" s="214" t="s">
        <v>70</v>
      </c>
      <c r="U32" s="214" t="s">
        <v>71</v>
      </c>
      <c r="V32" s="214" t="s">
        <v>72</v>
      </c>
      <c r="W32" s="214" t="s">
        <v>73</v>
      </c>
    </row>
    <row r="33" spans="1:30" x14ac:dyDescent="0.2">
      <c r="A33" s="109">
        <v>43888</v>
      </c>
      <c r="B33" s="110">
        <v>2</v>
      </c>
      <c r="C33" s="163">
        <v>0.01</v>
      </c>
      <c r="D33" s="176">
        <v>238.25199448301601</v>
      </c>
      <c r="E33" s="158">
        <f t="shared" ref="E33:E37" si="5">D33-$D$32</f>
        <v>224.2519873080121</v>
      </c>
      <c r="F33" s="133" t="s">
        <v>52</v>
      </c>
      <c r="G33" s="133">
        <v>0.99996150649218973</v>
      </c>
      <c r="H33" s="133" t="s">
        <v>58</v>
      </c>
      <c r="I33" s="133">
        <v>1</v>
      </c>
      <c r="J33" s="147">
        <v>8928184.0045029428</v>
      </c>
      <c r="K33" s="147">
        <v>8928184.0045029428</v>
      </c>
      <c r="L33" s="147">
        <v>38965.360017422208</v>
      </c>
      <c r="M33" s="147">
        <v>2.8669002549270241E-7</v>
      </c>
      <c r="N33" s="147" t="s">
        <v>61</v>
      </c>
      <c r="O33" s="147">
        <v>14.241166596849098</v>
      </c>
      <c r="P33" s="147">
        <v>10.034748687780244</v>
      </c>
      <c r="Q33" s="147">
        <f>P33*SQRT(G37)</f>
        <v>22.43838020300344</v>
      </c>
      <c r="R33" s="147">
        <v>1.4191851774216524</v>
      </c>
      <c r="S33" s="147">
        <v>0.25090351284359436</v>
      </c>
      <c r="T33" s="147">
        <v>-17.693882289027687</v>
      </c>
      <c r="U33" s="147">
        <v>46.17621548272588</v>
      </c>
      <c r="V33" s="147">
        <v>-17.693882289027687</v>
      </c>
      <c r="W33" s="147">
        <v>46.17621548272588</v>
      </c>
      <c r="X33" s="162">
        <f>3.3*Q33/O34</f>
        <v>3.8486864253776919E-3</v>
      </c>
      <c r="Y33" s="162">
        <f>10*Q33/O34</f>
        <v>1.166268613750816E-2</v>
      </c>
    </row>
    <row r="34" spans="1:30" x14ac:dyDescent="0.2">
      <c r="A34" s="109">
        <v>43888</v>
      </c>
      <c r="B34" s="110">
        <v>2</v>
      </c>
      <c r="C34" s="163">
        <v>0.02</v>
      </c>
      <c r="D34" s="176">
        <v>409.75588179075697</v>
      </c>
      <c r="E34" s="158">
        <f t="shared" si="5"/>
        <v>395.7558746157531</v>
      </c>
      <c r="F34" s="133" t="s">
        <v>53</v>
      </c>
      <c r="G34" s="133">
        <v>0.99992301446612952</v>
      </c>
      <c r="H34" s="133" t="s">
        <v>59</v>
      </c>
      <c r="I34" s="133">
        <v>3</v>
      </c>
      <c r="J34" s="147">
        <v>687.3939314697185</v>
      </c>
      <c r="K34" s="147">
        <v>229.13131048990616</v>
      </c>
      <c r="L34" s="147"/>
      <c r="M34" s="147"/>
      <c r="N34" s="147" t="s">
        <v>74</v>
      </c>
      <c r="O34" s="147">
        <v>19239.461594391847</v>
      </c>
      <c r="P34" s="147">
        <v>97.466095327490592</v>
      </c>
      <c r="Q34" s="147"/>
      <c r="R34" s="147">
        <v>197.39645391298754</v>
      </c>
      <c r="S34" s="147">
        <v>2.8669002549270241E-7</v>
      </c>
      <c r="T34" s="147">
        <v>18929.280979426443</v>
      </c>
      <c r="U34" s="147">
        <v>19549.642209357251</v>
      </c>
      <c r="V34" s="147">
        <v>18929.280979426443</v>
      </c>
      <c r="W34" s="147">
        <v>19549.642209357251</v>
      </c>
    </row>
    <row r="35" spans="1:30" x14ac:dyDescent="0.2">
      <c r="A35" s="109">
        <v>43888</v>
      </c>
      <c r="B35" s="110">
        <v>2</v>
      </c>
      <c r="C35" s="163">
        <v>0.05</v>
      </c>
      <c r="D35" s="176">
        <v>981.53374226327401</v>
      </c>
      <c r="E35" s="158">
        <f t="shared" si="5"/>
        <v>967.53373508827008</v>
      </c>
      <c r="F35" s="133" t="s">
        <v>54</v>
      </c>
      <c r="G35" s="133">
        <v>0.99989735262150603</v>
      </c>
      <c r="H35" s="133" t="s">
        <v>60</v>
      </c>
      <c r="I35" s="133">
        <v>4</v>
      </c>
      <c r="J35" s="147">
        <v>8928871.3984344117</v>
      </c>
      <c r="K35" s="147"/>
      <c r="L35" s="147"/>
      <c r="M35" s="147"/>
      <c r="N35" s="212"/>
      <c r="O35" s="212"/>
      <c r="P35" s="212"/>
      <c r="Q35" s="212"/>
      <c r="R35" s="212"/>
      <c r="S35" s="212"/>
      <c r="T35" s="212"/>
      <c r="U35" s="212"/>
      <c r="V35" s="212"/>
      <c r="W35" s="212"/>
    </row>
    <row r="36" spans="1:30" x14ac:dyDescent="0.2">
      <c r="A36" s="109">
        <v>43888</v>
      </c>
      <c r="B36" s="110">
        <v>2</v>
      </c>
      <c r="C36" s="163">
        <v>0.1</v>
      </c>
      <c r="D36" s="176">
        <v>1937.6314539596101</v>
      </c>
      <c r="E36" s="158">
        <f t="shared" si="5"/>
        <v>1923.6314467846062</v>
      </c>
      <c r="F36" s="133" t="s">
        <v>55</v>
      </c>
      <c r="G36" s="133">
        <v>15.137083949357821</v>
      </c>
      <c r="H36" s="135"/>
      <c r="I36" s="135"/>
      <c r="J36" s="217"/>
      <c r="K36" s="217"/>
      <c r="L36" s="217"/>
      <c r="M36" s="217"/>
      <c r="N36" s="217"/>
      <c r="O36" s="217"/>
      <c r="P36" s="217"/>
      <c r="Q36" s="217"/>
      <c r="R36" s="217"/>
      <c r="S36" s="217"/>
      <c r="T36" s="217"/>
      <c r="U36" s="217"/>
      <c r="V36" s="217"/>
      <c r="W36" s="217"/>
    </row>
    <row r="37" spans="1:30" x14ac:dyDescent="0.2">
      <c r="A37" s="123">
        <v>43888</v>
      </c>
      <c r="B37" s="124">
        <v>2</v>
      </c>
      <c r="C37" s="172">
        <v>0.2</v>
      </c>
      <c r="D37" s="181">
        <v>3885.02820223151</v>
      </c>
      <c r="E37" s="170">
        <f t="shared" si="5"/>
        <v>3871.0281950565063</v>
      </c>
      <c r="F37" s="148" t="s">
        <v>56</v>
      </c>
      <c r="G37" s="148">
        <v>5</v>
      </c>
      <c r="H37" s="141"/>
      <c r="I37" s="141"/>
      <c r="J37" s="141"/>
      <c r="K37" s="141"/>
      <c r="L37" s="141"/>
      <c r="M37" s="141"/>
      <c r="N37" s="141"/>
      <c r="O37" s="141"/>
      <c r="P37" s="141"/>
      <c r="Q37" s="141"/>
      <c r="R37" s="141"/>
      <c r="S37" s="141"/>
      <c r="T37" s="141"/>
      <c r="U37" s="141"/>
      <c r="V37" s="141"/>
      <c r="W37" s="141"/>
      <c r="X37" s="128"/>
      <c r="Y37" s="128"/>
    </row>
    <row r="46" spans="1:30" x14ac:dyDescent="0.2">
      <c r="G46" s="13"/>
      <c r="H46" s="13"/>
      <c r="I46" s="13"/>
      <c r="J46" s="122"/>
      <c r="K46" s="209"/>
      <c r="L46" s="122"/>
      <c r="Y46" s="13"/>
      <c r="Z46" s="13"/>
      <c r="AA46" s="13"/>
      <c r="AB46" s="122"/>
      <c r="AC46" s="209"/>
      <c r="AD46" s="122"/>
    </row>
    <row r="47" spans="1:30" x14ac:dyDescent="0.2">
      <c r="G47" s="13"/>
      <c r="H47" s="13"/>
      <c r="I47" s="13"/>
      <c r="J47" s="122"/>
      <c r="K47" s="209"/>
      <c r="L47" s="122"/>
      <c r="Y47" s="13"/>
      <c r="Z47" s="13"/>
      <c r="AA47" s="13"/>
      <c r="AB47" s="122"/>
      <c r="AC47" s="209"/>
      <c r="AD47" s="122"/>
    </row>
    <row r="48" spans="1:30" x14ac:dyDescent="0.2">
      <c r="G48" s="13"/>
      <c r="H48" s="13"/>
      <c r="I48" s="13"/>
      <c r="J48" s="13"/>
      <c r="K48" s="13"/>
      <c r="L48" s="13"/>
      <c r="Y48" s="13"/>
      <c r="Z48" s="13"/>
      <c r="AA48" s="13"/>
      <c r="AB48" s="13"/>
      <c r="AC48" s="13"/>
      <c r="AD48" s="13"/>
    </row>
    <row r="49" spans="7:30" x14ac:dyDescent="0.2">
      <c r="G49" s="13"/>
      <c r="H49" s="13"/>
      <c r="I49" s="13"/>
      <c r="J49" s="13"/>
      <c r="K49" s="13"/>
      <c r="L49" s="13"/>
      <c r="Y49" s="13"/>
      <c r="Z49" s="13"/>
      <c r="AA49" s="13"/>
      <c r="AB49" s="13"/>
      <c r="AC49" s="13"/>
      <c r="AD49" s="13"/>
    </row>
    <row r="50" spans="7:30" x14ac:dyDescent="0.2">
      <c r="G50" s="64"/>
      <c r="H50" s="64"/>
      <c r="I50" s="64"/>
      <c r="J50" s="13"/>
      <c r="K50" s="13"/>
      <c r="L50" s="13"/>
      <c r="Y50" s="64"/>
      <c r="Z50" s="64"/>
      <c r="AA50" s="64"/>
      <c r="AB50" s="13"/>
      <c r="AC50" s="13"/>
      <c r="AD50" s="13"/>
    </row>
    <row r="51" spans="7:30" x14ac:dyDescent="0.2">
      <c r="G51" s="31"/>
      <c r="H51" s="31"/>
      <c r="I51" s="31"/>
      <c r="J51" s="13"/>
      <c r="K51" s="13"/>
      <c r="L51" s="13"/>
      <c r="Y51" s="31"/>
      <c r="Z51" s="31"/>
      <c r="AA51" s="31"/>
      <c r="AB51" s="13"/>
      <c r="AC51" s="13"/>
      <c r="AD51" s="13"/>
    </row>
    <row r="52" spans="7:30" x14ac:dyDescent="0.2">
      <c r="G52" s="31"/>
      <c r="H52" s="31"/>
      <c r="I52" s="31"/>
      <c r="J52" s="13"/>
      <c r="K52" s="13"/>
      <c r="L52" s="13"/>
      <c r="Y52" s="31"/>
      <c r="Z52" s="31"/>
      <c r="AA52" s="31"/>
      <c r="AB52" s="13"/>
      <c r="AC52" s="13"/>
      <c r="AD52" s="13"/>
    </row>
    <row r="53" spans="7:30" x14ac:dyDescent="0.2">
      <c r="G53" s="31"/>
      <c r="H53" s="31"/>
      <c r="I53" s="31"/>
      <c r="J53" s="13"/>
      <c r="K53" s="13"/>
      <c r="L53" s="13"/>
      <c r="Y53" s="31"/>
      <c r="Z53" s="31"/>
      <c r="AA53" s="31"/>
      <c r="AB53" s="13"/>
      <c r="AC53" s="13"/>
      <c r="AD53" s="13"/>
    </row>
    <row r="54" spans="7:30" x14ac:dyDescent="0.2">
      <c r="G54" s="31"/>
      <c r="H54" s="31"/>
      <c r="I54" s="31"/>
      <c r="J54" s="13"/>
      <c r="K54" s="13"/>
      <c r="L54" s="13"/>
      <c r="Y54" s="31"/>
      <c r="Z54" s="31"/>
      <c r="AA54" s="31"/>
      <c r="AB54" s="13"/>
      <c r="AC54" s="13"/>
      <c r="AD54" s="13"/>
    </row>
    <row r="55" spans="7:30" x14ac:dyDescent="0.2">
      <c r="G55" s="31"/>
      <c r="H55" s="31"/>
      <c r="I55" s="31"/>
      <c r="J55" s="13"/>
      <c r="K55" s="13"/>
      <c r="L55" s="13"/>
      <c r="Y55" s="31"/>
      <c r="Z55" s="31"/>
      <c r="AA55" s="31"/>
      <c r="AB55" s="13"/>
      <c r="AC55" s="13"/>
      <c r="AD55" s="13"/>
    </row>
    <row r="77" spans="7:30" x14ac:dyDescent="0.2">
      <c r="G77" s="13"/>
      <c r="H77" s="13"/>
      <c r="I77" s="13"/>
      <c r="J77" s="122"/>
      <c r="K77" s="209"/>
      <c r="L77" s="122"/>
      <c r="M77" s="13"/>
      <c r="AB77" s="48"/>
      <c r="AC77" s="49"/>
      <c r="AD77" s="48"/>
    </row>
    <row r="78" spans="7:30" x14ac:dyDescent="0.2">
      <c r="G78" s="13"/>
      <c r="H78" s="13"/>
      <c r="I78" s="13"/>
      <c r="J78" s="122"/>
      <c r="K78" s="209"/>
      <c r="L78" s="122"/>
      <c r="M78" s="13"/>
      <c r="AB78" s="48"/>
      <c r="AC78" s="49"/>
      <c r="AD78" s="48"/>
    </row>
    <row r="79" spans="7:30" x14ac:dyDescent="0.2">
      <c r="G79" s="13"/>
      <c r="H79" s="13"/>
      <c r="I79" s="13"/>
      <c r="J79" s="13"/>
      <c r="K79" s="13"/>
      <c r="L79" s="13"/>
      <c r="M79" s="13"/>
      <c r="Y79" s="13"/>
      <c r="Z79" s="13"/>
      <c r="AA79" s="13"/>
      <c r="AB79" s="13"/>
      <c r="AC79" s="13"/>
    </row>
    <row r="80" spans="7:30" x14ac:dyDescent="0.2">
      <c r="G80" s="13"/>
      <c r="H80" s="13"/>
      <c r="I80" s="13"/>
      <c r="J80" s="13"/>
      <c r="K80" s="13"/>
      <c r="L80" s="13"/>
      <c r="M80" s="13"/>
      <c r="Y80" s="13"/>
      <c r="Z80" s="13"/>
      <c r="AA80" s="13"/>
      <c r="AB80" s="13"/>
      <c r="AC80" s="13"/>
    </row>
    <row r="81" spans="7:29" x14ac:dyDescent="0.2">
      <c r="G81" s="64"/>
      <c r="H81" s="64"/>
      <c r="I81" s="64"/>
      <c r="J81" s="13"/>
      <c r="K81" s="13"/>
      <c r="L81" s="13"/>
      <c r="M81" s="13"/>
      <c r="Y81" s="64"/>
      <c r="Z81" s="64"/>
      <c r="AA81" s="64"/>
      <c r="AB81" s="13"/>
      <c r="AC81" s="13"/>
    </row>
    <row r="82" spans="7:29" x14ac:dyDescent="0.2">
      <c r="G82" s="31"/>
      <c r="H82" s="31"/>
      <c r="I82" s="31"/>
      <c r="J82" s="13"/>
      <c r="K82" s="13"/>
      <c r="L82" s="13"/>
      <c r="M82" s="13"/>
      <c r="Y82" s="31"/>
      <c r="Z82" s="31"/>
      <c r="AA82" s="31"/>
      <c r="AB82" s="13"/>
      <c r="AC82" s="13"/>
    </row>
    <row r="83" spans="7:29" x14ac:dyDescent="0.2">
      <c r="G83" s="31"/>
      <c r="H83" s="31"/>
      <c r="I83" s="31"/>
      <c r="J83" s="13"/>
      <c r="K83" s="13"/>
      <c r="L83" s="13"/>
      <c r="M83" s="13"/>
      <c r="Y83" s="31"/>
      <c r="Z83" s="31"/>
      <c r="AA83" s="31"/>
      <c r="AB83" s="13"/>
      <c r="AC83" s="13"/>
    </row>
    <row r="84" spans="7:29" x14ac:dyDescent="0.2">
      <c r="G84" s="31"/>
      <c r="H84" s="31"/>
      <c r="I84" s="31"/>
      <c r="J84" s="13"/>
      <c r="K84" s="13"/>
      <c r="L84" s="13"/>
      <c r="M84" s="13"/>
      <c r="Y84" s="31"/>
      <c r="Z84" s="31"/>
      <c r="AA84" s="31"/>
      <c r="AB84" s="13"/>
      <c r="AC84" s="13"/>
    </row>
    <row r="85" spans="7:29" x14ac:dyDescent="0.2">
      <c r="G85" s="31"/>
      <c r="H85" s="31"/>
      <c r="I85" s="31"/>
      <c r="J85" s="13"/>
      <c r="K85" s="13"/>
      <c r="L85" s="13"/>
      <c r="M85" s="13"/>
      <c r="Y85" s="31"/>
      <c r="Z85" s="31"/>
      <c r="AA85" s="31"/>
      <c r="AB85" s="13"/>
      <c r="AC85" s="13"/>
    </row>
    <row r="86" spans="7:29" x14ac:dyDescent="0.2">
      <c r="G86" s="31"/>
      <c r="H86" s="31"/>
      <c r="I86" s="31"/>
      <c r="J86" s="13"/>
      <c r="K86" s="13"/>
      <c r="L86" s="13"/>
      <c r="M86" s="13"/>
      <c r="Y86" s="31"/>
      <c r="Z86" s="31"/>
      <c r="AA86" s="31"/>
      <c r="AB86" s="13"/>
      <c r="AC86" s="13"/>
    </row>
    <row r="87" spans="7:29" x14ac:dyDescent="0.2">
      <c r="G87" s="13"/>
      <c r="H87" s="13"/>
      <c r="I87" s="13"/>
      <c r="J87" s="13"/>
      <c r="K87" s="13"/>
      <c r="L87" s="13"/>
      <c r="M87" s="13"/>
      <c r="Y87" s="13"/>
      <c r="Z87" s="13"/>
      <c r="AA87" s="13"/>
      <c r="AB87" s="13"/>
      <c r="AC87" s="13"/>
    </row>
    <row r="88" spans="7:29" x14ac:dyDescent="0.2">
      <c r="G88" s="13"/>
      <c r="H88" s="13"/>
      <c r="I88" s="13"/>
      <c r="J88" s="13"/>
      <c r="K88" s="13"/>
      <c r="L88" s="13"/>
      <c r="M88" s="13"/>
      <c r="Y88" s="13"/>
      <c r="Z88" s="13"/>
      <c r="AA88" s="13"/>
      <c r="AB88" s="13"/>
      <c r="AC88" s="13"/>
    </row>
    <row r="89" spans="7:29" x14ac:dyDescent="0.2">
      <c r="Y89" s="13"/>
      <c r="Z89" s="13"/>
      <c r="AA89" s="13"/>
      <c r="AB89" s="13"/>
      <c r="AC89" s="13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B1609-FC7B-E94E-89D8-962E91C5AE89}">
  <dimension ref="A1:AD89"/>
  <sheetViews>
    <sheetView workbookViewId="0">
      <selection activeCell="B5" sqref="B5"/>
    </sheetView>
  </sheetViews>
  <sheetFormatPr baseColWidth="10" defaultRowHeight="16" x14ac:dyDescent="0.2"/>
  <cols>
    <col min="6" max="6" width="17.1640625" customWidth="1"/>
    <col min="10" max="11" width="12.6640625" bestFit="1" customWidth="1"/>
    <col min="12" max="13" width="11.1640625" bestFit="1" customWidth="1"/>
    <col min="15" max="16" width="11.1640625" bestFit="1" customWidth="1"/>
    <col min="17" max="17" width="8.5" customWidth="1"/>
    <col min="18" max="18" width="8" customWidth="1"/>
    <col min="19" max="19" width="8.6640625" customWidth="1"/>
    <col min="20" max="20" width="9.33203125" customWidth="1"/>
    <col min="21" max="23" width="11.1640625" bestFit="1" customWidth="1"/>
    <col min="24" max="24" width="9.5" customWidth="1"/>
    <col min="25" max="25" width="9.1640625" customWidth="1"/>
  </cols>
  <sheetData>
    <row r="1" spans="1:25" ht="34" x14ac:dyDescent="0.2">
      <c r="A1" s="250" t="s">
        <v>2</v>
      </c>
      <c r="B1" s="251" t="s">
        <v>3</v>
      </c>
      <c r="C1" s="251" t="s">
        <v>4</v>
      </c>
      <c r="D1" s="252" t="s">
        <v>237</v>
      </c>
      <c r="E1" s="251" t="s">
        <v>238</v>
      </c>
      <c r="F1" s="128" t="s">
        <v>50</v>
      </c>
      <c r="G1" s="128"/>
      <c r="H1" s="128" t="s">
        <v>57</v>
      </c>
      <c r="I1" s="128"/>
      <c r="J1" s="128"/>
      <c r="K1" s="128"/>
      <c r="L1" s="128"/>
      <c r="M1" s="128"/>
      <c r="N1" s="128"/>
      <c r="O1" s="128"/>
      <c r="P1" s="128"/>
      <c r="Q1" s="128"/>
      <c r="R1" s="128"/>
      <c r="S1" s="128"/>
      <c r="T1" s="128"/>
      <c r="U1" s="128"/>
      <c r="V1" s="128"/>
      <c r="W1" s="128"/>
      <c r="X1" s="128"/>
      <c r="Y1" s="128"/>
    </row>
    <row r="2" spans="1:25" x14ac:dyDescent="0.2">
      <c r="A2" s="8">
        <v>43838</v>
      </c>
      <c r="B2" s="7">
        <v>1</v>
      </c>
      <c r="C2" s="54">
        <v>0</v>
      </c>
      <c r="D2" s="54">
        <v>3</v>
      </c>
      <c r="E2" s="54">
        <f>D2-$D$2</f>
        <v>0</v>
      </c>
      <c r="F2" s="127" t="s">
        <v>51</v>
      </c>
      <c r="G2" s="127"/>
      <c r="H2" s="127"/>
      <c r="I2" s="127" t="s">
        <v>62</v>
      </c>
      <c r="J2" s="127" t="s">
        <v>63</v>
      </c>
      <c r="K2" s="127" t="s">
        <v>64</v>
      </c>
      <c r="L2" s="127" t="s">
        <v>65</v>
      </c>
      <c r="M2" s="127" t="s">
        <v>66</v>
      </c>
      <c r="N2" s="127"/>
      <c r="O2" s="127" t="s">
        <v>67</v>
      </c>
      <c r="P2" s="127" t="s">
        <v>270</v>
      </c>
      <c r="Q2" s="127" t="s">
        <v>271</v>
      </c>
      <c r="R2" s="127" t="s">
        <v>68</v>
      </c>
      <c r="S2" s="127" t="s">
        <v>69</v>
      </c>
      <c r="T2" s="127" t="s">
        <v>70</v>
      </c>
      <c r="U2" s="127" t="s">
        <v>71</v>
      </c>
      <c r="V2" s="127" t="s">
        <v>72</v>
      </c>
      <c r="W2" s="127" t="s">
        <v>73</v>
      </c>
      <c r="X2" s="178" t="s">
        <v>272</v>
      </c>
      <c r="Y2" s="178" t="s">
        <v>273</v>
      </c>
    </row>
    <row r="3" spans="1:25" x14ac:dyDescent="0.2">
      <c r="A3" s="8">
        <v>43838</v>
      </c>
      <c r="B3" s="7">
        <v>1</v>
      </c>
      <c r="C3" s="54">
        <v>0.01</v>
      </c>
      <c r="D3" s="54">
        <v>453</v>
      </c>
      <c r="E3" s="54">
        <f t="shared" ref="E3:E7" si="0">D3-$D$2</f>
        <v>450</v>
      </c>
      <c r="F3" s="255" t="s">
        <v>52</v>
      </c>
      <c r="G3" s="255">
        <v>0.99997727306414619</v>
      </c>
      <c r="H3" s="255" t="s">
        <v>58</v>
      </c>
      <c r="I3" s="255">
        <v>1</v>
      </c>
      <c r="J3" s="262">
        <v>55203685.893200651</v>
      </c>
      <c r="K3" s="262">
        <v>55203685.893200651</v>
      </c>
      <c r="L3" s="262">
        <v>65998.728303522483</v>
      </c>
      <c r="M3" s="262">
        <v>1.3005998695908108E-7</v>
      </c>
      <c r="N3" s="262" t="s">
        <v>61</v>
      </c>
      <c r="O3" s="262">
        <v>-33.275290215588029</v>
      </c>
      <c r="P3" s="263">
        <v>19.172578968779984</v>
      </c>
      <c r="Q3" s="263">
        <f>P3*SQRT(G7)</f>
        <v>42.871189878174867</v>
      </c>
      <c r="R3" s="263">
        <v>-1.7355667315165295</v>
      </c>
      <c r="S3" s="263">
        <v>0.18104528017311436</v>
      </c>
      <c r="T3" s="263">
        <v>-94.290993317542032</v>
      </c>
      <c r="U3" s="263">
        <v>27.740412886365974</v>
      </c>
      <c r="V3" s="263">
        <v>-94.290993317542032</v>
      </c>
      <c r="W3" s="263">
        <v>27.740412886365974</v>
      </c>
      <c r="X3" s="339">
        <f>3.3*Q3/O4</f>
        <v>2.9572231067388219E-3</v>
      </c>
      <c r="Y3" s="162">
        <f>10*Q3/O4</f>
        <v>8.961282141632795E-3</v>
      </c>
    </row>
    <row r="4" spans="1:25" x14ac:dyDescent="0.2">
      <c r="A4" s="8">
        <v>43838</v>
      </c>
      <c r="B4" s="7">
        <v>1</v>
      </c>
      <c r="C4" s="54">
        <v>0.02</v>
      </c>
      <c r="D4" s="54">
        <v>933</v>
      </c>
      <c r="E4" s="54">
        <f t="shared" si="0"/>
        <v>930</v>
      </c>
      <c r="F4" s="255" t="s">
        <v>53</v>
      </c>
      <c r="G4" s="255">
        <v>0.99995454664480599</v>
      </c>
      <c r="H4" s="255" t="s">
        <v>59</v>
      </c>
      <c r="I4" s="255">
        <v>3</v>
      </c>
      <c r="J4" s="262">
        <v>2509.3067993366617</v>
      </c>
      <c r="K4" s="262">
        <v>836.43559977888719</v>
      </c>
      <c r="L4" s="262"/>
      <c r="M4" s="262"/>
      <c r="N4" s="262" t="s">
        <v>74</v>
      </c>
      <c r="O4" s="262">
        <v>47840.464344941945</v>
      </c>
      <c r="P4" s="263">
        <v>186.22054897304213</v>
      </c>
      <c r="Q4" s="263"/>
      <c r="R4" s="263">
        <v>256.90217652546755</v>
      </c>
      <c r="S4" s="263">
        <v>1.3005998695908108E-7</v>
      </c>
      <c r="T4" s="263">
        <v>47247.827446894786</v>
      </c>
      <c r="U4" s="263">
        <v>48433.101242989105</v>
      </c>
      <c r="V4" s="263">
        <v>47247.827446894786</v>
      </c>
      <c r="W4" s="263">
        <v>48433.101242989105</v>
      </c>
    </row>
    <row r="5" spans="1:25" x14ac:dyDescent="0.2">
      <c r="A5" s="8">
        <v>43838</v>
      </c>
      <c r="B5" s="7">
        <v>1</v>
      </c>
      <c r="C5" s="54">
        <v>0.05</v>
      </c>
      <c r="D5" s="54">
        <v>2377</v>
      </c>
      <c r="E5" s="54">
        <f t="shared" si="0"/>
        <v>2374</v>
      </c>
      <c r="F5" s="255" t="s">
        <v>54</v>
      </c>
      <c r="G5" s="255">
        <v>0.99993939552640798</v>
      </c>
      <c r="H5" s="255" t="s">
        <v>60</v>
      </c>
      <c r="I5" s="255">
        <v>4</v>
      </c>
      <c r="J5" s="262">
        <v>55206195.199999988</v>
      </c>
      <c r="K5" s="262"/>
      <c r="L5" s="262"/>
      <c r="M5" s="262"/>
      <c r="N5" s="264"/>
      <c r="O5" s="264"/>
      <c r="P5" s="265"/>
      <c r="Q5" s="265"/>
      <c r="R5" s="265"/>
      <c r="S5" s="265"/>
      <c r="T5" s="265"/>
      <c r="U5" s="265"/>
      <c r="V5" s="265"/>
      <c r="W5" s="265"/>
    </row>
    <row r="6" spans="1:25" x14ac:dyDescent="0.2">
      <c r="A6" s="8">
        <v>43838</v>
      </c>
      <c r="B6" s="7">
        <v>1</v>
      </c>
      <c r="C6" s="54">
        <v>0.1</v>
      </c>
      <c r="D6" s="54">
        <v>4710</v>
      </c>
      <c r="E6" s="54">
        <f t="shared" si="0"/>
        <v>4707</v>
      </c>
      <c r="F6" s="255" t="s">
        <v>55</v>
      </c>
      <c r="G6" s="255">
        <v>28.921196375303825</v>
      </c>
      <c r="H6" s="256"/>
      <c r="I6" s="256"/>
      <c r="J6" s="264"/>
      <c r="K6" s="264"/>
      <c r="L6" s="264"/>
      <c r="M6" s="264"/>
      <c r="N6" s="264"/>
      <c r="O6" s="264"/>
      <c r="P6" s="265"/>
      <c r="Q6" s="265"/>
      <c r="R6" s="265"/>
      <c r="S6" s="265"/>
      <c r="T6" s="265"/>
      <c r="U6" s="265"/>
      <c r="V6" s="265"/>
      <c r="W6" s="265"/>
    </row>
    <row r="7" spans="1:25" x14ac:dyDescent="0.2">
      <c r="A7" s="244">
        <v>43838</v>
      </c>
      <c r="B7" s="245">
        <v>1</v>
      </c>
      <c r="C7" s="257">
        <v>0.2</v>
      </c>
      <c r="D7" s="257">
        <v>9555</v>
      </c>
      <c r="E7" s="257">
        <f t="shared" si="0"/>
        <v>9552</v>
      </c>
      <c r="F7" s="258" t="s">
        <v>56</v>
      </c>
      <c r="G7" s="258">
        <v>5</v>
      </c>
      <c r="H7" s="257"/>
      <c r="I7" s="257"/>
      <c r="J7" s="266"/>
      <c r="K7" s="266"/>
      <c r="L7" s="266"/>
      <c r="M7" s="266"/>
      <c r="N7" s="266"/>
      <c r="O7" s="266"/>
      <c r="P7" s="267"/>
      <c r="Q7" s="267"/>
      <c r="R7" s="267"/>
      <c r="S7" s="267"/>
      <c r="T7" s="267"/>
      <c r="U7" s="267"/>
      <c r="V7" s="267"/>
      <c r="W7" s="267"/>
      <c r="X7" s="128"/>
      <c r="Y7" s="128"/>
    </row>
    <row r="8" spans="1:25" x14ac:dyDescent="0.2">
      <c r="A8" s="8">
        <v>43838</v>
      </c>
      <c r="B8" s="7">
        <v>2</v>
      </c>
      <c r="C8" s="54">
        <v>0</v>
      </c>
      <c r="D8" s="54">
        <v>5</v>
      </c>
      <c r="E8" s="54">
        <f>D8-$D$8</f>
        <v>0</v>
      </c>
      <c r="F8" s="127" t="s">
        <v>51</v>
      </c>
      <c r="G8" s="127"/>
      <c r="H8" s="127"/>
      <c r="I8" s="127" t="s">
        <v>62</v>
      </c>
      <c r="J8" s="268" t="s">
        <v>63</v>
      </c>
      <c r="K8" s="268" t="s">
        <v>64</v>
      </c>
      <c r="L8" s="268" t="s">
        <v>65</v>
      </c>
      <c r="M8" s="268" t="s">
        <v>66</v>
      </c>
      <c r="N8" s="268"/>
      <c r="O8" s="268" t="s">
        <v>67</v>
      </c>
      <c r="P8" s="268" t="s">
        <v>270</v>
      </c>
      <c r="Q8" s="268" t="s">
        <v>271</v>
      </c>
      <c r="R8" s="268" t="s">
        <v>68</v>
      </c>
      <c r="S8" s="268" t="s">
        <v>69</v>
      </c>
      <c r="T8" s="268" t="s">
        <v>70</v>
      </c>
      <c r="U8" s="268" t="s">
        <v>71</v>
      </c>
      <c r="V8" s="268" t="s">
        <v>72</v>
      </c>
      <c r="W8" s="268" t="s">
        <v>73</v>
      </c>
    </row>
    <row r="9" spans="1:25" x14ac:dyDescent="0.2">
      <c r="A9" s="8">
        <v>43838</v>
      </c>
      <c r="B9" s="7">
        <v>2</v>
      </c>
      <c r="C9" s="54">
        <v>0.01</v>
      </c>
      <c r="D9" s="54">
        <v>414</v>
      </c>
      <c r="E9" s="54">
        <f t="shared" ref="E9:E13" si="1">D9-$D$8</f>
        <v>409</v>
      </c>
      <c r="F9" s="255" t="s">
        <v>52</v>
      </c>
      <c r="G9" s="255">
        <v>0.99996623193467038</v>
      </c>
      <c r="H9" s="255" t="s">
        <v>58</v>
      </c>
      <c r="I9" s="255">
        <v>1</v>
      </c>
      <c r="J9" s="262">
        <v>45509099.535820894</v>
      </c>
      <c r="K9" s="262">
        <v>45509099.535820894</v>
      </c>
      <c r="L9" s="262">
        <v>44418.417449638808</v>
      </c>
      <c r="M9" s="262">
        <v>2.3555424035501069E-7</v>
      </c>
      <c r="N9" s="262" t="s">
        <v>61</v>
      </c>
      <c r="O9" s="262">
        <v>-14.61691542288554</v>
      </c>
      <c r="P9" s="263">
        <v>21.219339503569856</v>
      </c>
      <c r="Q9" s="263">
        <f>P9*SQRT(G13)</f>
        <v>47.447885567628845</v>
      </c>
      <c r="R9" s="263">
        <v>-0.68884874670233964</v>
      </c>
      <c r="S9" s="263">
        <v>0.54041117101344405</v>
      </c>
      <c r="T9" s="263">
        <v>-82.146324026582079</v>
      </c>
      <c r="U9" s="263">
        <v>52.912493180810998</v>
      </c>
      <c r="V9" s="263">
        <v>-82.146324026582079</v>
      </c>
      <c r="W9" s="263">
        <v>52.912493180810998</v>
      </c>
      <c r="X9" s="339">
        <f>3.3*Q9/O10</f>
        <v>3.604710022163731E-3</v>
      </c>
      <c r="Y9" s="162">
        <f>10*Q9/O10</f>
        <v>1.0923363703526458E-2</v>
      </c>
    </row>
    <row r="10" spans="1:25" x14ac:dyDescent="0.2">
      <c r="A10" s="8">
        <v>43838</v>
      </c>
      <c r="B10" s="7">
        <v>2</v>
      </c>
      <c r="C10" s="54">
        <v>0.02</v>
      </c>
      <c r="D10" s="54">
        <v>866</v>
      </c>
      <c r="E10" s="54">
        <f t="shared" si="1"/>
        <v>861</v>
      </c>
      <c r="F10" s="255" t="s">
        <v>53</v>
      </c>
      <c r="G10" s="255">
        <v>0.99993246500962296</v>
      </c>
      <c r="H10" s="255" t="s">
        <v>59</v>
      </c>
      <c r="I10" s="255">
        <v>3</v>
      </c>
      <c r="J10" s="262">
        <v>3073.6641791044462</v>
      </c>
      <c r="K10" s="262">
        <v>1024.5547263681487</v>
      </c>
      <c r="L10" s="262"/>
      <c r="M10" s="262"/>
      <c r="N10" s="262" t="s">
        <v>74</v>
      </c>
      <c r="O10" s="262">
        <v>43437.064676616916</v>
      </c>
      <c r="P10" s="263">
        <v>206.10044468376407</v>
      </c>
      <c r="Q10" s="263"/>
      <c r="R10" s="263">
        <v>210.75677319991124</v>
      </c>
      <c r="S10" s="263">
        <v>2.3555424035501032E-7</v>
      </c>
      <c r="T10" s="263">
        <v>42781.161077915742</v>
      </c>
      <c r="U10" s="263">
        <v>44092.96827531809</v>
      </c>
      <c r="V10" s="263">
        <v>42781.161077915742</v>
      </c>
      <c r="W10" s="263">
        <v>44092.96827531809</v>
      </c>
    </row>
    <row r="11" spans="1:25" x14ac:dyDescent="0.2">
      <c r="A11" s="8">
        <v>43838</v>
      </c>
      <c r="B11" s="7">
        <v>2</v>
      </c>
      <c r="C11" s="54">
        <v>0.05</v>
      </c>
      <c r="D11" s="54">
        <v>2195</v>
      </c>
      <c r="E11" s="54">
        <f t="shared" si="1"/>
        <v>2190</v>
      </c>
      <c r="F11" s="255" t="s">
        <v>54</v>
      </c>
      <c r="G11" s="255">
        <v>0.99990995334616395</v>
      </c>
      <c r="H11" s="255" t="s">
        <v>60</v>
      </c>
      <c r="I11" s="255">
        <v>4</v>
      </c>
      <c r="J11" s="262">
        <v>45512173.199999996</v>
      </c>
      <c r="K11" s="262"/>
      <c r="L11" s="262"/>
      <c r="M11" s="262"/>
      <c r="N11" s="264"/>
      <c r="O11" s="264"/>
      <c r="P11" s="265"/>
      <c r="Q11" s="265"/>
      <c r="R11" s="265"/>
      <c r="S11" s="265"/>
      <c r="T11" s="265"/>
      <c r="U11" s="265"/>
      <c r="V11" s="265"/>
      <c r="W11" s="265"/>
    </row>
    <row r="12" spans="1:25" x14ac:dyDescent="0.2">
      <c r="A12" s="8">
        <v>43838</v>
      </c>
      <c r="B12" s="7">
        <v>2</v>
      </c>
      <c r="C12" s="54">
        <v>0.1</v>
      </c>
      <c r="D12" s="54">
        <v>4293</v>
      </c>
      <c r="E12" s="54">
        <f t="shared" si="1"/>
        <v>4288</v>
      </c>
      <c r="F12" s="255" t="s">
        <v>55</v>
      </c>
      <c r="G12" s="255">
        <v>32.008666425956406</v>
      </c>
      <c r="H12" s="256"/>
      <c r="I12" s="256"/>
      <c r="J12" s="264"/>
      <c r="K12" s="264"/>
      <c r="L12" s="264"/>
      <c r="M12" s="264"/>
      <c r="N12" s="264"/>
      <c r="O12" s="264"/>
      <c r="P12" s="265"/>
      <c r="Q12" s="265"/>
      <c r="R12" s="265"/>
      <c r="S12" s="265"/>
      <c r="T12" s="265"/>
      <c r="U12" s="265"/>
      <c r="V12" s="265"/>
      <c r="W12" s="265"/>
    </row>
    <row r="13" spans="1:25" x14ac:dyDescent="0.2">
      <c r="A13" s="244">
        <v>43838</v>
      </c>
      <c r="B13" s="245">
        <v>2</v>
      </c>
      <c r="C13" s="257">
        <v>0.2</v>
      </c>
      <c r="D13" s="257">
        <v>8690</v>
      </c>
      <c r="E13" s="257">
        <f t="shared" si="1"/>
        <v>8685</v>
      </c>
      <c r="F13" s="258" t="s">
        <v>56</v>
      </c>
      <c r="G13" s="258">
        <v>5</v>
      </c>
      <c r="H13" s="257"/>
      <c r="I13" s="257"/>
      <c r="J13" s="266"/>
      <c r="K13" s="266"/>
      <c r="L13" s="266"/>
      <c r="M13" s="266"/>
      <c r="N13" s="266"/>
      <c r="O13" s="266"/>
      <c r="P13" s="267"/>
      <c r="Q13" s="267"/>
      <c r="R13" s="267"/>
      <c r="S13" s="267"/>
      <c r="T13" s="267"/>
      <c r="U13" s="267"/>
      <c r="V13" s="267"/>
      <c r="W13" s="267"/>
      <c r="X13" s="128"/>
      <c r="Y13" s="128"/>
    </row>
    <row r="14" spans="1:25" x14ac:dyDescent="0.2">
      <c r="A14" s="8">
        <v>43838</v>
      </c>
      <c r="B14" s="7">
        <v>3</v>
      </c>
      <c r="C14" s="54">
        <v>0</v>
      </c>
      <c r="D14" s="54">
        <v>8</v>
      </c>
      <c r="E14" s="54">
        <f>D14-$D$14</f>
        <v>0</v>
      </c>
      <c r="F14" s="127" t="s">
        <v>51</v>
      </c>
      <c r="G14" s="127"/>
      <c r="H14" s="127"/>
      <c r="I14" s="127" t="s">
        <v>62</v>
      </c>
      <c r="J14" s="268" t="s">
        <v>63</v>
      </c>
      <c r="K14" s="268" t="s">
        <v>64</v>
      </c>
      <c r="L14" s="268" t="s">
        <v>65</v>
      </c>
      <c r="M14" s="268" t="s">
        <v>66</v>
      </c>
      <c r="N14" s="268"/>
      <c r="O14" s="268" t="s">
        <v>67</v>
      </c>
      <c r="P14" s="268" t="s">
        <v>270</v>
      </c>
      <c r="Q14" s="268" t="s">
        <v>271</v>
      </c>
      <c r="R14" s="268" t="s">
        <v>68</v>
      </c>
      <c r="S14" s="268" t="s">
        <v>69</v>
      </c>
      <c r="T14" s="268" t="s">
        <v>70</v>
      </c>
      <c r="U14" s="268" t="s">
        <v>71</v>
      </c>
      <c r="V14" s="268" t="s">
        <v>72</v>
      </c>
      <c r="W14" s="268" t="s">
        <v>73</v>
      </c>
    </row>
    <row r="15" spans="1:25" x14ac:dyDescent="0.2">
      <c r="A15" s="8">
        <v>43838</v>
      </c>
      <c r="B15" s="7">
        <v>3</v>
      </c>
      <c r="C15" s="54">
        <v>0.01</v>
      </c>
      <c r="D15" s="54">
        <v>414</v>
      </c>
      <c r="E15" s="54">
        <f t="shared" ref="E15:E19" si="2">D15-$D$14</f>
        <v>406</v>
      </c>
      <c r="F15" s="255" t="s">
        <v>52</v>
      </c>
      <c r="G15" s="255">
        <v>0.99992099887663288</v>
      </c>
      <c r="H15" s="255" t="s">
        <v>58</v>
      </c>
      <c r="I15" s="255">
        <v>1</v>
      </c>
      <c r="J15" s="262">
        <v>42394098.843283579</v>
      </c>
      <c r="K15" s="262">
        <v>42394098.843283579</v>
      </c>
      <c r="L15" s="262">
        <v>18984.821808715038</v>
      </c>
      <c r="M15" s="262">
        <v>8.4290496336446252E-7</v>
      </c>
      <c r="N15" s="262" t="s">
        <v>61</v>
      </c>
      <c r="O15" s="262">
        <v>4.7661691542298286</v>
      </c>
      <c r="P15" s="263">
        <v>31.326633222557891</v>
      </c>
      <c r="Q15" s="263">
        <f>P15*SQRT(G19)</f>
        <v>70.048481391842742</v>
      </c>
      <c r="R15" s="263">
        <v>0.15214431504237658</v>
      </c>
      <c r="S15" s="263">
        <v>0.88872927071668317</v>
      </c>
      <c r="T15" s="263">
        <v>-94.929159001877423</v>
      </c>
      <c r="U15" s="263">
        <v>104.46149731033708</v>
      </c>
      <c r="V15" s="263">
        <v>-94.929159001877423</v>
      </c>
      <c r="W15" s="263">
        <v>104.46149731033708</v>
      </c>
      <c r="X15" s="339">
        <f>3.3*Q15/O16</f>
        <v>5.5137695680077493E-3</v>
      </c>
      <c r="Y15" s="162">
        <f>10*Q15/O16</f>
        <v>1.6708392630326516E-2</v>
      </c>
    </row>
    <row r="16" spans="1:25" x14ac:dyDescent="0.2">
      <c r="A16" s="8">
        <v>43838</v>
      </c>
      <c r="B16" s="7">
        <v>3</v>
      </c>
      <c r="C16" s="54">
        <v>0.02</v>
      </c>
      <c r="D16" s="54">
        <v>842</v>
      </c>
      <c r="E16" s="54">
        <f t="shared" si="2"/>
        <v>834</v>
      </c>
      <c r="F16" s="255" t="s">
        <v>53</v>
      </c>
      <c r="G16" s="255">
        <v>0.99984200399444323</v>
      </c>
      <c r="H16" s="255" t="s">
        <v>59</v>
      </c>
      <c r="I16" s="255">
        <v>3</v>
      </c>
      <c r="J16" s="262">
        <v>6699.1567164179187</v>
      </c>
      <c r="K16" s="262">
        <v>2233.052238805973</v>
      </c>
      <c r="L16" s="262"/>
      <c r="M16" s="262"/>
      <c r="N16" s="262" t="s">
        <v>74</v>
      </c>
      <c r="O16" s="262">
        <v>41924.129353233817</v>
      </c>
      <c r="P16" s="263">
        <v>304.2711596432186</v>
      </c>
      <c r="Q16" s="263"/>
      <c r="R16" s="263">
        <v>137.78541943440547</v>
      </c>
      <c r="S16" s="263">
        <v>8.4290496336446252E-7</v>
      </c>
      <c r="T16" s="263">
        <v>40955.802725422865</v>
      </c>
      <c r="U16" s="263">
        <v>42892.455981044768</v>
      </c>
      <c r="V16" s="263">
        <v>40955.802725422865</v>
      </c>
      <c r="W16" s="263">
        <v>42892.455981044768</v>
      </c>
    </row>
    <row r="17" spans="1:30" x14ac:dyDescent="0.2">
      <c r="A17" s="8">
        <v>43838</v>
      </c>
      <c r="B17" s="7">
        <v>3</v>
      </c>
      <c r="C17" s="54">
        <v>0.05</v>
      </c>
      <c r="D17" s="54">
        <v>2095</v>
      </c>
      <c r="E17" s="54">
        <f t="shared" si="2"/>
        <v>2087</v>
      </c>
      <c r="F17" s="255" t="s">
        <v>54</v>
      </c>
      <c r="G17" s="255">
        <v>0.99978933865925768</v>
      </c>
      <c r="H17" s="255" t="s">
        <v>60</v>
      </c>
      <c r="I17" s="255">
        <v>4</v>
      </c>
      <c r="J17" s="262">
        <v>42400798</v>
      </c>
      <c r="K17" s="262"/>
      <c r="L17" s="262"/>
      <c r="M17" s="262"/>
      <c r="N17" s="264"/>
      <c r="O17" s="264"/>
      <c r="P17" s="265"/>
      <c r="Q17" s="265"/>
      <c r="R17" s="265"/>
      <c r="S17" s="265"/>
      <c r="T17" s="265"/>
      <c r="U17" s="265"/>
      <c r="V17" s="265"/>
      <c r="W17" s="265"/>
    </row>
    <row r="18" spans="1:30" x14ac:dyDescent="0.2">
      <c r="A18" s="8">
        <v>43838</v>
      </c>
      <c r="B18" s="7">
        <v>3</v>
      </c>
      <c r="C18" s="54">
        <v>0.1</v>
      </c>
      <c r="D18" s="54">
        <v>4277</v>
      </c>
      <c r="E18" s="54">
        <f t="shared" si="2"/>
        <v>4269</v>
      </c>
      <c r="F18" s="255" t="s">
        <v>55</v>
      </c>
      <c r="G18" s="255">
        <v>47.255182137052152</v>
      </c>
      <c r="H18" s="256"/>
      <c r="I18" s="256"/>
      <c r="J18" s="269"/>
      <c r="K18" s="269"/>
      <c r="L18" s="269"/>
      <c r="M18" s="264"/>
      <c r="N18" s="264"/>
      <c r="O18" s="264"/>
      <c r="P18" s="265"/>
      <c r="Q18" s="265"/>
      <c r="R18" s="265"/>
      <c r="S18" s="265"/>
      <c r="T18" s="265"/>
      <c r="U18" s="265"/>
      <c r="V18" s="265"/>
      <c r="W18" s="265"/>
      <c r="AB18" s="48"/>
      <c r="AC18" s="49"/>
      <c r="AD18" s="48"/>
    </row>
    <row r="19" spans="1:30" x14ac:dyDescent="0.2">
      <c r="A19" s="244">
        <v>43838</v>
      </c>
      <c r="B19" s="245">
        <v>3</v>
      </c>
      <c r="C19" s="257">
        <v>0.2</v>
      </c>
      <c r="D19" s="257">
        <v>8367</v>
      </c>
      <c r="E19" s="257">
        <f t="shared" si="2"/>
        <v>8359</v>
      </c>
      <c r="F19" s="258" t="s">
        <v>56</v>
      </c>
      <c r="G19" s="258">
        <v>5</v>
      </c>
      <c r="H19" s="257"/>
      <c r="I19" s="257"/>
      <c r="J19" s="270"/>
      <c r="K19" s="270"/>
      <c r="L19" s="270"/>
      <c r="M19" s="266"/>
      <c r="N19" s="266"/>
      <c r="O19" s="266"/>
      <c r="P19" s="267"/>
      <c r="Q19" s="267"/>
      <c r="R19" s="267"/>
      <c r="S19" s="267"/>
      <c r="T19" s="267"/>
      <c r="U19" s="267"/>
      <c r="V19" s="267"/>
      <c r="W19" s="267"/>
      <c r="X19" s="128"/>
      <c r="Y19" s="128"/>
      <c r="AB19" s="48"/>
      <c r="AC19" s="49"/>
      <c r="AD19" s="48"/>
    </row>
    <row r="20" spans="1:30" x14ac:dyDescent="0.2">
      <c r="A20" s="8">
        <v>43789</v>
      </c>
      <c r="B20" s="7">
        <v>1</v>
      </c>
      <c r="C20" s="54">
        <v>0</v>
      </c>
      <c r="D20" s="163">
        <v>7</v>
      </c>
      <c r="E20" s="54">
        <f>D20-$D$20</f>
        <v>0</v>
      </c>
      <c r="F20" s="127" t="s">
        <v>51</v>
      </c>
      <c r="G20" s="127"/>
      <c r="H20" s="127"/>
      <c r="I20" s="127" t="s">
        <v>62</v>
      </c>
      <c r="J20" s="268" t="s">
        <v>63</v>
      </c>
      <c r="K20" s="268" t="s">
        <v>64</v>
      </c>
      <c r="L20" s="268" t="s">
        <v>65</v>
      </c>
      <c r="M20" s="268" t="s">
        <v>66</v>
      </c>
      <c r="N20" s="268"/>
      <c r="O20" s="268" t="s">
        <v>67</v>
      </c>
      <c r="P20" s="268" t="s">
        <v>270</v>
      </c>
      <c r="Q20" s="268" t="s">
        <v>271</v>
      </c>
      <c r="R20" s="268" t="s">
        <v>68</v>
      </c>
      <c r="S20" s="268" t="s">
        <v>69</v>
      </c>
      <c r="T20" s="268" t="s">
        <v>70</v>
      </c>
      <c r="U20" s="268" t="s">
        <v>71</v>
      </c>
      <c r="V20" s="268" t="s">
        <v>72</v>
      </c>
      <c r="W20" s="268" t="s">
        <v>73</v>
      </c>
      <c r="Y20" s="13"/>
      <c r="Z20" s="13"/>
      <c r="AA20" s="13"/>
      <c r="AB20" s="13"/>
    </row>
    <row r="21" spans="1:30" x14ac:dyDescent="0.2">
      <c r="A21" s="8">
        <v>43789</v>
      </c>
      <c r="B21" s="7">
        <v>1</v>
      </c>
      <c r="C21" s="54">
        <v>0.01</v>
      </c>
      <c r="D21" s="176">
        <v>629.01385829305798</v>
      </c>
      <c r="E21" s="54">
        <f t="shared" ref="E21:E25" si="3">D21-$D$20</f>
        <v>622.01385829305798</v>
      </c>
      <c r="F21" s="255" t="s">
        <v>52</v>
      </c>
      <c r="G21" s="255">
        <v>0.9999463675736685</v>
      </c>
      <c r="H21" s="255" t="s">
        <v>58</v>
      </c>
      <c r="I21" s="255">
        <v>1</v>
      </c>
      <c r="J21" s="262">
        <v>85030459.21750845</v>
      </c>
      <c r="K21" s="262">
        <v>85030459.21750845</v>
      </c>
      <c r="L21" s="262">
        <v>27965.904783966384</v>
      </c>
      <c r="M21" s="262">
        <v>4.7148896301000483E-7</v>
      </c>
      <c r="N21" s="262" t="s">
        <v>61</v>
      </c>
      <c r="O21" s="262">
        <v>78.487330240586743</v>
      </c>
      <c r="P21" s="263">
        <v>36.554185031454814</v>
      </c>
      <c r="Q21" s="263">
        <f>P21*SQRT(G25)</f>
        <v>81.737642592438263</v>
      </c>
      <c r="R21" s="263">
        <v>2.1471503241844547</v>
      </c>
      <c r="S21" s="263">
        <v>0.12103294804579501</v>
      </c>
      <c r="T21" s="263">
        <v>-37.8444008554237</v>
      </c>
      <c r="U21" s="263">
        <v>194.8190613365972</v>
      </c>
      <c r="V21" s="263">
        <v>-37.8444008554237</v>
      </c>
      <c r="W21" s="263">
        <v>194.8190613365972</v>
      </c>
      <c r="X21" s="339">
        <f>3.3*Q21/O22</f>
        <v>4.5429445644636626E-3</v>
      </c>
      <c r="Y21" s="162">
        <f>10*Q21/O22</f>
        <v>1.3766498680192918E-2</v>
      </c>
      <c r="Z21" s="64"/>
      <c r="AA21" s="64"/>
      <c r="AB21" s="13"/>
    </row>
    <row r="22" spans="1:30" x14ac:dyDescent="0.2">
      <c r="A22" s="8">
        <v>43789</v>
      </c>
      <c r="B22" s="7">
        <v>1</v>
      </c>
      <c r="C22" s="54">
        <v>0.02</v>
      </c>
      <c r="D22" s="176">
        <v>1258.30544667093</v>
      </c>
      <c r="E22" s="54">
        <f t="shared" si="3"/>
        <v>1251.30544667093</v>
      </c>
      <c r="F22" s="255" t="s">
        <v>53</v>
      </c>
      <c r="G22" s="255">
        <v>0.99989273802377421</v>
      </c>
      <c r="H22" s="255" t="s">
        <v>59</v>
      </c>
      <c r="I22" s="255">
        <v>3</v>
      </c>
      <c r="J22" s="262">
        <v>9121.5134866216158</v>
      </c>
      <c r="K22" s="262">
        <v>3040.5044955405388</v>
      </c>
      <c r="L22" s="262"/>
      <c r="M22" s="262"/>
      <c r="N22" s="262" t="s">
        <v>74</v>
      </c>
      <c r="O22" s="262">
        <v>59374.314770422672</v>
      </c>
      <c r="P22" s="263">
        <v>355.04563131043585</v>
      </c>
      <c r="Q22" s="263"/>
      <c r="R22" s="263">
        <v>167.23009532965764</v>
      </c>
      <c r="S22" s="263">
        <v>4.7148896301000483E-7</v>
      </c>
      <c r="T22" s="263">
        <v>58244.40111285165</v>
      </c>
      <c r="U22" s="263">
        <v>60504.228427993694</v>
      </c>
      <c r="V22" s="263">
        <v>58244.40111285165</v>
      </c>
      <c r="W22" s="263">
        <v>60504.228427993694</v>
      </c>
      <c r="Y22" s="31"/>
      <c r="Z22" s="31"/>
      <c r="AA22" s="31"/>
      <c r="AB22" s="13"/>
    </row>
    <row r="23" spans="1:30" x14ac:dyDescent="0.2">
      <c r="A23" s="8">
        <v>43789</v>
      </c>
      <c r="B23" s="7">
        <v>1</v>
      </c>
      <c r="C23" s="54">
        <v>0.05</v>
      </c>
      <c r="D23" s="176">
        <v>3131.84353922941</v>
      </c>
      <c r="E23" s="54">
        <f t="shared" si="3"/>
        <v>3124.84353922941</v>
      </c>
      <c r="F23" s="255" t="s">
        <v>54</v>
      </c>
      <c r="G23" s="255">
        <v>0.99985698403169898</v>
      </c>
      <c r="H23" s="255" t="s">
        <v>60</v>
      </c>
      <c r="I23" s="255">
        <v>4</v>
      </c>
      <c r="J23" s="262">
        <v>85039580.730995074</v>
      </c>
      <c r="K23" s="262"/>
      <c r="L23" s="262"/>
      <c r="M23" s="262"/>
      <c r="N23" s="264"/>
      <c r="O23" s="264"/>
      <c r="P23" s="265"/>
      <c r="Q23" s="265"/>
      <c r="R23" s="265"/>
      <c r="S23" s="265"/>
      <c r="T23" s="265"/>
      <c r="U23" s="265"/>
      <c r="V23" s="265"/>
      <c r="W23" s="265"/>
      <c r="Y23" s="31"/>
      <c r="Z23" s="31"/>
      <c r="AA23" s="31"/>
      <c r="AB23" s="13"/>
    </row>
    <row r="24" spans="1:30" x14ac:dyDescent="0.2">
      <c r="A24" s="8">
        <v>43789</v>
      </c>
      <c r="B24" s="7">
        <v>1</v>
      </c>
      <c r="C24" s="54">
        <v>0.1</v>
      </c>
      <c r="D24" s="176">
        <v>6028.2724010802503</v>
      </c>
      <c r="E24" s="54">
        <f t="shared" si="3"/>
        <v>6021.2724010802503</v>
      </c>
      <c r="F24" s="255" t="s">
        <v>55</v>
      </c>
      <c r="G24" s="255">
        <v>55.140769812730568</v>
      </c>
      <c r="H24" s="255"/>
      <c r="I24" s="255"/>
      <c r="J24" s="264"/>
      <c r="K24" s="264"/>
      <c r="L24" s="264"/>
      <c r="M24" s="264"/>
      <c r="N24" s="264"/>
      <c r="O24" s="264"/>
      <c r="P24" s="265"/>
      <c r="Q24" s="265"/>
      <c r="R24" s="265"/>
      <c r="S24" s="265"/>
      <c r="T24" s="265"/>
      <c r="U24" s="265"/>
      <c r="V24" s="265"/>
      <c r="W24" s="265"/>
      <c r="Y24" s="31"/>
      <c r="Z24" s="31"/>
      <c r="AA24" s="31"/>
      <c r="AB24" s="13"/>
    </row>
    <row r="25" spans="1:30" x14ac:dyDescent="0.2">
      <c r="A25" s="244">
        <v>43789</v>
      </c>
      <c r="B25" s="245">
        <v>1</v>
      </c>
      <c r="C25" s="257">
        <v>0.2</v>
      </c>
      <c r="D25" s="181">
        <v>11942.2410186899</v>
      </c>
      <c r="E25" s="257">
        <f t="shared" si="3"/>
        <v>11935.2410186899</v>
      </c>
      <c r="F25" s="258" t="s">
        <v>56</v>
      </c>
      <c r="G25" s="258">
        <v>5</v>
      </c>
      <c r="H25" s="258"/>
      <c r="I25" s="258"/>
      <c r="J25" s="266"/>
      <c r="K25" s="266"/>
      <c r="L25" s="266"/>
      <c r="M25" s="266"/>
      <c r="N25" s="266"/>
      <c r="O25" s="266"/>
      <c r="P25" s="267"/>
      <c r="Q25" s="267"/>
      <c r="R25" s="267"/>
      <c r="S25" s="267"/>
      <c r="T25" s="267"/>
      <c r="U25" s="267"/>
      <c r="V25" s="267"/>
      <c r="W25" s="267"/>
      <c r="X25" s="128"/>
      <c r="Y25" s="67"/>
      <c r="Z25" s="31"/>
      <c r="AA25" s="31"/>
      <c r="AB25" s="13"/>
    </row>
    <row r="26" spans="1:30" x14ac:dyDescent="0.2">
      <c r="A26" s="8">
        <v>43888</v>
      </c>
      <c r="B26" s="7">
        <v>1</v>
      </c>
      <c r="C26" s="54">
        <v>0</v>
      </c>
      <c r="D26" s="176">
        <v>4.5000007525001298</v>
      </c>
      <c r="E26" s="22">
        <f>D26-$D$26</f>
        <v>0</v>
      </c>
      <c r="F26" s="127" t="s">
        <v>51</v>
      </c>
      <c r="G26" s="127"/>
      <c r="H26" s="127"/>
      <c r="I26" s="127" t="s">
        <v>62</v>
      </c>
      <c r="J26" s="268" t="s">
        <v>63</v>
      </c>
      <c r="K26" s="268" t="s">
        <v>64</v>
      </c>
      <c r="L26" s="268" t="s">
        <v>65</v>
      </c>
      <c r="M26" s="268" t="s">
        <v>66</v>
      </c>
      <c r="N26" s="268"/>
      <c r="O26" s="268" t="s">
        <v>67</v>
      </c>
      <c r="P26" s="268" t="s">
        <v>270</v>
      </c>
      <c r="Q26" s="268" t="s">
        <v>271</v>
      </c>
      <c r="R26" s="268" t="s">
        <v>68</v>
      </c>
      <c r="S26" s="268" t="s">
        <v>69</v>
      </c>
      <c r="T26" s="268" t="s">
        <v>70</v>
      </c>
      <c r="U26" s="268" t="s">
        <v>71</v>
      </c>
      <c r="V26" s="268" t="s">
        <v>72</v>
      </c>
      <c r="W26" s="268" t="s">
        <v>73</v>
      </c>
    </row>
    <row r="27" spans="1:30" x14ac:dyDescent="0.2">
      <c r="A27" s="8">
        <v>43888</v>
      </c>
      <c r="B27" s="7">
        <v>1</v>
      </c>
      <c r="C27" s="54">
        <v>0.01</v>
      </c>
      <c r="D27" s="176">
        <v>716.76804789979997</v>
      </c>
      <c r="E27" s="22">
        <f t="shared" ref="E27:E31" si="4">D27-$D$26</f>
        <v>712.26804714729985</v>
      </c>
      <c r="F27" s="255" t="s">
        <v>52</v>
      </c>
      <c r="G27" s="255">
        <v>0.99999665667035542</v>
      </c>
      <c r="H27" s="255" t="s">
        <v>58</v>
      </c>
      <c r="I27" s="255">
        <v>1</v>
      </c>
      <c r="J27" s="262">
        <v>130705580.32467902</v>
      </c>
      <c r="K27" s="262">
        <v>130705580.32467902</v>
      </c>
      <c r="L27" s="262">
        <v>448652.2828933195</v>
      </c>
      <c r="M27" s="262">
        <v>7.3384178743068033E-9</v>
      </c>
      <c r="N27" s="262" t="s">
        <v>61</v>
      </c>
      <c r="O27" s="262">
        <v>-34.088970497591617</v>
      </c>
      <c r="P27" s="263">
        <v>11.315048107924328</v>
      </c>
      <c r="Q27" s="263">
        <f>P27*SQRT(G31)</f>
        <v>25.301216737999177</v>
      </c>
      <c r="R27" s="263">
        <v>-3.0127110527897716</v>
      </c>
      <c r="S27" s="263">
        <v>5.7088581403993276E-2</v>
      </c>
      <c r="T27" s="263">
        <v>-70.098503542762813</v>
      </c>
      <c r="U27" s="263">
        <v>1.9205625475795856</v>
      </c>
      <c r="V27" s="263">
        <v>-70.098503542762813</v>
      </c>
      <c r="W27" s="263">
        <v>1.9205625475795856</v>
      </c>
      <c r="X27" s="339">
        <f>3.3*Q27/O28</f>
        <v>1.1342190406608127E-3</v>
      </c>
      <c r="Y27" s="162">
        <f>10*Q27/O28</f>
        <v>3.4370273959418562E-3</v>
      </c>
    </row>
    <row r="28" spans="1:30" x14ac:dyDescent="0.2">
      <c r="A28" s="8">
        <v>43888</v>
      </c>
      <c r="B28" s="7">
        <v>1</v>
      </c>
      <c r="C28" s="54">
        <v>0.02</v>
      </c>
      <c r="D28" s="176">
        <v>1451.3237670656699</v>
      </c>
      <c r="E28" s="22">
        <f t="shared" si="4"/>
        <v>1446.8237663131697</v>
      </c>
      <c r="F28" s="255" t="s">
        <v>53</v>
      </c>
      <c r="G28" s="255">
        <v>0.99999331335188868</v>
      </c>
      <c r="H28" s="255" t="s">
        <v>59</v>
      </c>
      <c r="I28" s="255">
        <v>3</v>
      </c>
      <c r="J28" s="262">
        <v>873.98806586987655</v>
      </c>
      <c r="K28" s="262">
        <v>291.32935528995887</v>
      </c>
      <c r="L28" s="262"/>
      <c r="M28" s="262"/>
      <c r="N28" s="262" t="s">
        <v>74</v>
      </c>
      <c r="O28" s="262">
        <v>73613.660362069437</v>
      </c>
      <c r="P28" s="263">
        <v>109.90146259119211</v>
      </c>
      <c r="Q28" s="263"/>
      <c r="R28" s="263">
        <v>669.81511097714088</v>
      </c>
      <c r="S28" s="263">
        <v>7.3384178743068033E-9</v>
      </c>
      <c r="T28" s="263">
        <v>73263.904858500828</v>
      </c>
      <c r="U28" s="263">
        <v>73963.415865638046</v>
      </c>
      <c r="V28" s="263">
        <v>73263.904858500828</v>
      </c>
      <c r="W28" s="263">
        <v>73963.415865638046</v>
      </c>
    </row>
    <row r="29" spans="1:30" x14ac:dyDescent="0.2">
      <c r="A29" s="8">
        <v>43888</v>
      </c>
      <c r="B29" s="7">
        <v>1</v>
      </c>
      <c r="C29" s="54">
        <v>0.05</v>
      </c>
      <c r="D29" s="176">
        <v>3625.2100005636298</v>
      </c>
      <c r="E29" s="22">
        <f t="shared" si="4"/>
        <v>3620.7099998111298</v>
      </c>
      <c r="F29" s="255" t="s">
        <v>54</v>
      </c>
      <c r="G29" s="255">
        <v>0.99999108446918494</v>
      </c>
      <c r="H29" s="255" t="s">
        <v>60</v>
      </c>
      <c r="I29" s="255">
        <v>4</v>
      </c>
      <c r="J29" s="262">
        <v>130706454.31274489</v>
      </c>
      <c r="K29" s="262"/>
      <c r="L29" s="262"/>
      <c r="M29" s="262"/>
      <c r="N29" s="264"/>
      <c r="O29" s="264"/>
      <c r="P29" s="265"/>
      <c r="Q29" s="265"/>
      <c r="R29" s="265"/>
      <c r="S29" s="265"/>
      <c r="T29" s="265"/>
      <c r="U29" s="265"/>
      <c r="V29" s="265"/>
      <c r="W29" s="265"/>
    </row>
    <row r="30" spans="1:30" x14ac:dyDescent="0.2">
      <c r="A30" s="8">
        <v>43888</v>
      </c>
      <c r="B30" s="7">
        <v>1</v>
      </c>
      <c r="C30" s="54">
        <v>0.1</v>
      </c>
      <c r="D30" s="176">
        <v>7335.6331982831298</v>
      </c>
      <c r="E30" s="22">
        <f t="shared" si="4"/>
        <v>7331.1331975306293</v>
      </c>
      <c r="F30" s="255" t="s">
        <v>55</v>
      </c>
      <c r="G30" s="255">
        <v>17.068372953798463</v>
      </c>
      <c r="H30" s="256"/>
      <c r="I30" s="256"/>
      <c r="J30" s="264"/>
      <c r="K30" s="264"/>
      <c r="L30" s="264"/>
      <c r="M30" s="264"/>
      <c r="N30" s="264"/>
      <c r="O30" s="264"/>
      <c r="P30" s="265"/>
      <c r="Q30" s="265"/>
      <c r="R30" s="265"/>
      <c r="S30" s="265"/>
      <c r="T30" s="265"/>
      <c r="U30" s="265"/>
      <c r="V30" s="265"/>
      <c r="W30" s="265"/>
    </row>
    <row r="31" spans="1:30" x14ac:dyDescent="0.2">
      <c r="A31" s="244">
        <v>43888</v>
      </c>
      <c r="B31" s="245">
        <v>1</v>
      </c>
      <c r="C31" s="257">
        <v>0.2</v>
      </c>
      <c r="D31" s="181">
        <v>14696.311075048699</v>
      </c>
      <c r="E31" s="259">
        <f t="shared" si="4"/>
        <v>14691.8110742962</v>
      </c>
      <c r="F31" s="258" t="s">
        <v>56</v>
      </c>
      <c r="G31" s="258">
        <v>5</v>
      </c>
      <c r="H31" s="257"/>
      <c r="I31" s="257"/>
      <c r="J31" s="266"/>
      <c r="K31" s="266"/>
      <c r="L31" s="266"/>
      <c r="M31" s="266"/>
      <c r="N31" s="266"/>
      <c r="O31" s="266"/>
      <c r="P31" s="267"/>
      <c r="Q31" s="267"/>
      <c r="R31" s="267"/>
      <c r="S31" s="267"/>
      <c r="T31" s="267"/>
      <c r="U31" s="267"/>
      <c r="V31" s="267"/>
      <c r="W31" s="267"/>
      <c r="X31" s="128"/>
      <c r="Y31" s="128"/>
    </row>
    <row r="32" spans="1:30" x14ac:dyDescent="0.2">
      <c r="A32" s="8">
        <v>43888</v>
      </c>
      <c r="B32" s="7">
        <v>2</v>
      </c>
      <c r="C32" s="54">
        <v>0</v>
      </c>
      <c r="D32" s="176">
        <v>7.7500021437506001</v>
      </c>
      <c r="E32" s="22">
        <f>D32-$D$32</f>
        <v>0</v>
      </c>
      <c r="F32" s="127" t="s">
        <v>51</v>
      </c>
      <c r="G32" s="127"/>
      <c r="H32" s="127"/>
      <c r="I32" s="127" t="s">
        <v>62</v>
      </c>
      <c r="J32" s="268" t="s">
        <v>63</v>
      </c>
      <c r="K32" s="268" t="s">
        <v>64</v>
      </c>
      <c r="L32" s="268" t="s">
        <v>65</v>
      </c>
      <c r="M32" s="268" t="s">
        <v>66</v>
      </c>
      <c r="N32" s="268"/>
      <c r="O32" s="268" t="s">
        <v>67</v>
      </c>
      <c r="P32" s="268" t="s">
        <v>55</v>
      </c>
      <c r="Q32" s="268" t="s">
        <v>271</v>
      </c>
      <c r="R32" s="268" t="s">
        <v>68</v>
      </c>
      <c r="S32" s="268" t="s">
        <v>69</v>
      </c>
      <c r="T32" s="268" t="s">
        <v>70</v>
      </c>
      <c r="U32" s="268" t="s">
        <v>71</v>
      </c>
      <c r="V32" s="268" t="s">
        <v>72</v>
      </c>
      <c r="W32" s="268" t="s">
        <v>73</v>
      </c>
    </row>
    <row r="33" spans="1:30" x14ac:dyDescent="0.2">
      <c r="A33" s="8">
        <v>43888</v>
      </c>
      <c r="B33" s="7">
        <v>2</v>
      </c>
      <c r="C33" s="54">
        <v>0.01</v>
      </c>
      <c r="D33" s="176">
        <v>697.51704965229499</v>
      </c>
      <c r="E33" s="22">
        <f t="shared" ref="E33:E37" si="5">D33-$D$32</f>
        <v>689.76704750854435</v>
      </c>
      <c r="F33" s="255" t="s">
        <v>52</v>
      </c>
      <c r="G33" s="255">
        <v>0.99996459014482442</v>
      </c>
      <c r="H33" s="255" t="s">
        <v>58</v>
      </c>
      <c r="I33" s="255">
        <v>1</v>
      </c>
      <c r="J33" s="262">
        <v>107424162.78085369</v>
      </c>
      <c r="K33" s="262">
        <v>107424162.78085369</v>
      </c>
      <c r="L33" s="262">
        <v>42358.838262992307</v>
      </c>
      <c r="M33" s="262">
        <v>2.5294015271439379E-7</v>
      </c>
      <c r="N33" s="262" t="s">
        <v>61</v>
      </c>
      <c r="O33" s="262">
        <v>46.160374423589019</v>
      </c>
      <c r="P33" s="263">
        <v>33.384374950236698</v>
      </c>
      <c r="Q33" s="263">
        <f>P33*SQRT(G37)</f>
        <v>74.649731775070421</v>
      </c>
      <c r="R33" s="263">
        <v>1.3826939846079622</v>
      </c>
      <c r="S33" s="263">
        <v>0.26070704618721063</v>
      </c>
      <c r="T33" s="263">
        <v>-60.083606290997764</v>
      </c>
      <c r="U33" s="263">
        <v>152.40435513817579</v>
      </c>
      <c r="V33" s="263">
        <v>-60.083606290997764</v>
      </c>
      <c r="W33" s="263">
        <v>152.40435513817579</v>
      </c>
      <c r="X33" s="339">
        <f>3.3*Q33/O34</f>
        <v>3.6913043491074208E-3</v>
      </c>
      <c r="Y33" s="162">
        <f>10*Q33/O34</f>
        <v>1.1185770754870974E-2</v>
      </c>
    </row>
    <row r="34" spans="1:30" x14ac:dyDescent="0.2">
      <c r="A34" s="8">
        <v>43888</v>
      </c>
      <c r="B34" s="7">
        <v>2</v>
      </c>
      <c r="C34" s="54">
        <v>0.02</v>
      </c>
      <c r="D34" s="176">
        <v>1367.0655258239401</v>
      </c>
      <c r="E34" s="22">
        <f t="shared" si="5"/>
        <v>1359.3155236801895</v>
      </c>
      <c r="F34" s="255" t="s">
        <v>53</v>
      </c>
      <c r="G34" s="255">
        <v>0.99992918154350674</v>
      </c>
      <c r="H34" s="255" t="s">
        <v>59</v>
      </c>
      <c r="I34" s="255">
        <v>3</v>
      </c>
      <c r="J34" s="262">
        <v>7608.1521958103649</v>
      </c>
      <c r="K34" s="262">
        <v>2536.0507319367885</v>
      </c>
      <c r="L34" s="262"/>
      <c r="M34" s="262"/>
      <c r="N34" s="262" t="s">
        <v>74</v>
      </c>
      <c r="O34" s="262">
        <v>66736.332623805414</v>
      </c>
      <c r="P34" s="263">
        <v>324.25771412798895</v>
      </c>
      <c r="Q34" s="263"/>
      <c r="R34" s="263">
        <v>205.81262901725037</v>
      </c>
      <c r="S34" s="263">
        <v>2.5294015271439379E-7</v>
      </c>
      <c r="T34" s="263">
        <v>65704.39985951905</v>
      </c>
      <c r="U34" s="263">
        <v>67768.265388091779</v>
      </c>
      <c r="V34" s="263">
        <v>65704.39985951905</v>
      </c>
      <c r="W34" s="263">
        <v>67768.265388091779</v>
      </c>
    </row>
    <row r="35" spans="1:30" x14ac:dyDescent="0.2">
      <c r="A35" s="8">
        <v>43888</v>
      </c>
      <c r="B35" s="7">
        <v>2</v>
      </c>
      <c r="C35" s="54">
        <v>0.05</v>
      </c>
      <c r="D35" s="176">
        <v>3398.1542358629599</v>
      </c>
      <c r="E35" s="22">
        <f t="shared" si="5"/>
        <v>3390.4042337192095</v>
      </c>
      <c r="F35" s="255" t="s">
        <v>54</v>
      </c>
      <c r="G35" s="255">
        <v>0.99990557539134228</v>
      </c>
      <c r="H35" s="255" t="s">
        <v>60</v>
      </c>
      <c r="I35" s="255">
        <v>4</v>
      </c>
      <c r="J35" s="262">
        <v>107431770.9330495</v>
      </c>
      <c r="K35" s="262"/>
      <c r="L35" s="262"/>
      <c r="M35" s="262"/>
      <c r="N35" s="264"/>
      <c r="O35" s="264"/>
      <c r="P35" s="265"/>
      <c r="Q35" s="265"/>
      <c r="R35" s="265"/>
      <c r="S35" s="265"/>
      <c r="T35" s="265"/>
      <c r="U35" s="265"/>
      <c r="V35" s="265"/>
      <c r="W35" s="265"/>
    </row>
    <row r="36" spans="1:30" x14ac:dyDescent="0.2">
      <c r="A36" s="8">
        <v>43888</v>
      </c>
      <c r="B36" s="7">
        <v>2</v>
      </c>
      <c r="C36" s="54">
        <v>0.1</v>
      </c>
      <c r="D36" s="176">
        <v>6800.3691435758601</v>
      </c>
      <c r="E36" s="22">
        <f t="shared" si="5"/>
        <v>6792.6191414321092</v>
      </c>
      <c r="F36" s="255" t="s">
        <v>55</v>
      </c>
      <c r="G36" s="255">
        <v>50.359216951187676</v>
      </c>
      <c r="H36" s="54"/>
      <c r="I36" s="256"/>
      <c r="J36" s="264"/>
      <c r="K36" s="264"/>
      <c r="L36" s="264"/>
      <c r="M36" s="264"/>
      <c r="N36" s="264"/>
      <c r="O36" s="264"/>
      <c r="P36" s="265"/>
      <c r="Q36" s="265"/>
      <c r="R36" s="265"/>
      <c r="S36" s="265"/>
      <c r="T36" s="265"/>
      <c r="U36" s="265"/>
      <c r="V36" s="265"/>
      <c r="W36" s="265"/>
    </row>
    <row r="37" spans="1:30" x14ac:dyDescent="0.2">
      <c r="A37" s="244">
        <v>43888</v>
      </c>
      <c r="B37" s="245">
        <v>2</v>
      </c>
      <c r="C37" s="257">
        <v>0.2</v>
      </c>
      <c r="D37" s="181">
        <v>13366.2523249677</v>
      </c>
      <c r="E37" s="259">
        <f t="shared" si="5"/>
        <v>13358.50232282395</v>
      </c>
      <c r="F37" s="258" t="s">
        <v>56</v>
      </c>
      <c r="G37" s="258">
        <v>5</v>
      </c>
      <c r="H37" s="257"/>
      <c r="I37" s="257"/>
      <c r="J37" s="266"/>
      <c r="K37" s="266"/>
      <c r="L37" s="266"/>
      <c r="M37" s="266"/>
      <c r="N37" s="266"/>
      <c r="O37" s="266"/>
      <c r="P37" s="267"/>
      <c r="Q37" s="267"/>
      <c r="R37" s="267"/>
      <c r="S37" s="267"/>
      <c r="T37" s="267"/>
      <c r="U37" s="267"/>
      <c r="V37" s="267"/>
      <c r="W37" s="267"/>
      <c r="X37" s="128"/>
      <c r="Y37" s="128"/>
    </row>
    <row r="38" spans="1:30" x14ac:dyDescent="0.2">
      <c r="B38" s="54"/>
      <c r="C38" s="54"/>
      <c r="D38" s="54"/>
      <c r="E38" s="260"/>
      <c r="F38" s="54"/>
      <c r="G38" s="54"/>
      <c r="H38" s="54"/>
      <c r="I38" s="54"/>
      <c r="J38" s="54"/>
      <c r="K38" s="54"/>
      <c r="L38" s="54"/>
      <c r="M38" s="54"/>
      <c r="N38" s="54"/>
      <c r="O38" s="54"/>
    </row>
    <row r="39" spans="1:30" x14ac:dyDescent="0.2"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  <c r="O39" s="54"/>
    </row>
    <row r="45" spans="1:30" x14ac:dyDescent="0.2">
      <c r="G45" s="13"/>
      <c r="H45" s="13"/>
      <c r="I45" s="13"/>
      <c r="J45" s="13"/>
      <c r="K45" s="13"/>
      <c r="L45" s="13"/>
      <c r="M45" s="13"/>
      <c r="N45" s="13"/>
    </row>
    <row r="46" spans="1:30" x14ac:dyDescent="0.2">
      <c r="G46" s="13"/>
      <c r="H46" s="13"/>
      <c r="I46" s="13"/>
      <c r="J46" s="122"/>
      <c r="K46" s="209"/>
      <c r="L46" s="122"/>
      <c r="M46" s="13"/>
      <c r="N46" s="13"/>
      <c r="AB46" s="48"/>
      <c r="AC46" s="49"/>
      <c r="AD46" s="48"/>
    </row>
    <row r="47" spans="1:30" x14ac:dyDescent="0.2">
      <c r="G47" s="13"/>
      <c r="H47" s="13"/>
      <c r="I47" s="13"/>
      <c r="J47" s="122"/>
      <c r="K47" s="209"/>
      <c r="L47" s="122"/>
      <c r="M47" s="13"/>
      <c r="N47" s="13"/>
      <c r="AB47" s="48"/>
      <c r="AC47" s="49"/>
      <c r="AD47" s="48"/>
    </row>
    <row r="48" spans="1:30" x14ac:dyDescent="0.2">
      <c r="G48" s="13"/>
      <c r="H48" s="13"/>
      <c r="I48" s="13"/>
      <c r="J48" s="13"/>
      <c r="K48" s="13"/>
      <c r="L48" s="13"/>
      <c r="M48" s="13"/>
      <c r="N48" s="13"/>
    </row>
    <row r="49" spans="7:28" x14ac:dyDescent="0.2">
      <c r="G49" s="13"/>
      <c r="H49" s="13"/>
      <c r="I49" s="13"/>
      <c r="J49" s="13"/>
      <c r="K49" s="13"/>
      <c r="L49" s="13"/>
      <c r="M49" s="13"/>
      <c r="N49" s="13"/>
      <c r="Y49" s="13"/>
      <c r="Z49" s="13"/>
      <c r="AA49" s="13"/>
      <c r="AB49" s="13"/>
    </row>
    <row r="50" spans="7:28" x14ac:dyDescent="0.2">
      <c r="G50" s="64"/>
      <c r="H50" s="64"/>
      <c r="I50" s="64"/>
      <c r="J50" s="13"/>
      <c r="K50" s="13"/>
      <c r="L50" s="13"/>
      <c r="M50" s="13"/>
      <c r="N50" s="13"/>
      <c r="Y50" s="64"/>
      <c r="Z50" s="64"/>
      <c r="AA50" s="64"/>
      <c r="AB50" s="13"/>
    </row>
    <row r="51" spans="7:28" x14ac:dyDescent="0.2">
      <c r="G51" s="31"/>
      <c r="H51" s="31"/>
      <c r="I51" s="31"/>
      <c r="J51" s="13"/>
      <c r="K51" s="13"/>
      <c r="L51" s="13"/>
      <c r="M51" s="13"/>
      <c r="N51" s="13"/>
      <c r="Y51" s="31"/>
      <c r="Z51" s="31"/>
      <c r="AA51" s="31"/>
      <c r="AB51" s="13"/>
    </row>
    <row r="52" spans="7:28" x14ac:dyDescent="0.2">
      <c r="G52" s="31"/>
      <c r="H52" s="31"/>
      <c r="I52" s="31"/>
      <c r="J52" s="13"/>
      <c r="K52" s="13"/>
      <c r="L52" s="13"/>
      <c r="M52" s="13"/>
      <c r="N52" s="13"/>
      <c r="Y52" s="31"/>
      <c r="Z52" s="31"/>
      <c r="AA52" s="31"/>
      <c r="AB52" s="13"/>
    </row>
    <row r="53" spans="7:28" x14ac:dyDescent="0.2">
      <c r="G53" s="31"/>
      <c r="H53" s="31"/>
      <c r="I53" s="31"/>
      <c r="J53" s="13"/>
      <c r="K53" s="13"/>
      <c r="L53" s="13"/>
      <c r="M53" s="13"/>
      <c r="N53" s="13"/>
      <c r="Y53" s="31"/>
      <c r="Z53" s="31"/>
      <c r="AA53" s="31"/>
      <c r="AB53" s="13"/>
    </row>
    <row r="54" spans="7:28" x14ac:dyDescent="0.2">
      <c r="G54" s="31"/>
      <c r="H54" s="31"/>
      <c r="I54" s="31"/>
      <c r="J54" s="13"/>
      <c r="K54" s="13"/>
      <c r="L54" s="13"/>
      <c r="M54" s="13"/>
      <c r="N54" s="13"/>
      <c r="Y54" s="31"/>
      <c r="Z54" s="31"/>
      <c r="AA54" s="31"/>
      <c r="AB54" s="13"/>
    </row>
    <row r="55" spans="7:28" x14ac:dyDescent="0.2">
      <c r="G55" s="31"/>
      <c r="H55" s="31"/>
      <c r="I55" s="31"/>
      <c r="J55" s="13"/>
      <c r="K55" s="13"/>
      <c r="L55" s="13"/>
      <c r="M55" s="13"/>
      <c r="N55" s="13"/>
      <c r="Y55" s="31"/>
      <c r="Z55" s="31"/>
      <c r="AA55" s="31"/>
      <c r="AB55" s="13"/>
    </row>
    <row r="56" spans="7:28" x14ac:dyDescent="0.2">
      <c r="G56" s="13"/>
      <c r="H56" s="13"/>
      <c r="I56" s="13"/>
      <c r="J56" s="13"/>
      <c r="K56" s="13"/>
      <c r="L56" s="13"/>
      <c r="M56" s="13"/>
      <c r="N56" s="13"/>
    </row>
    <row r="77" spans="10:30" x14ac:dyDescent="0.2">
      <c r="J77" s="48"/>
      <c r="K77" s="49"/>
      <c r="L77" s="48"/>
      <c r="AB77" s="48"/>
      <c r="AC77" s="49"/>
      <c r="AD77" s="48"/>
    </row>
    <row r="78" spans="10:30" x14ac:dyDescent="0.2">
      <c r="J78" s="48"/>
      <c r="K78" s="49"/>
      <c r="L78" s="48"/>
      <c r="AB78" s="48"/>
      <c r="AC78" s="49"/>
      <c r="AD78" s="48"/>
    </row>
    <row r="79" spans="10:30" x14ac:dyDescent="0.2">
      <c r="X79" s="13"/>
      <c r="Y79" s="13"/>
      <c r="Z79" s="13"/>
      <c r="AA79" s="13"/>
    </row>
    <row r="80" spans="10:30" x14ac:dyDescent="0.2">
      <c r="X80" s="13"/>
      <c r="Y80" s="13"/>
      <c r="Z80" s="13"/>
      <c r="AA80" s="13"/>
    </row>
    <row r="81" spans="7:27" x14ac:dyDescent="0.2">
      <c r="G81" s="64"/>
      <c r="H81" s="64"/>
      <c r="I81" s="64"/>
      <c r="J81" s="13"/>
      <c r="X81" s="13"/>
      <c r="Y81" s="64"/>
      <c r="Z81" s="64"/>
      <c r="AA81" s="64"/>
    </row>
    <row r="82" spans="7:27" x14ac:dyDescent="0.2">
      <c r="G82" s="31"/>
      <c r="H82" s="31"/>
      <c r="I82" s="31"/>
      <c r="J82" s="13"/>
      <c r="X82" s="13"/>
      <c r="Y82" s="31"/>
      <c r="Z82" s="31"/>
      <c r="AA82" s="31"/>
    </row>
    <row r="83" spans="7:27" x14ac:dyDescent="0.2">
      <c r="G83" s="31"/>
      <c r="H83" s="31"/>
      <c r="I83" s="31"/>
      <c r="J83" s="13"/>
      <c r="X83" s="13"/>
      <c r="Y83" s="31"/>
      <c r="Z83" s="31"/>
      <c r="AA83" s="31"/>
    </row>
    <row r="84" spans="7:27" x14ac:dyDescent="0.2">
      <c r="G84" s="31"/>
      <c r="H84" s="31"/>
      <c r="I84" s="31"/>
      <c r="J84" s="13"/>
      <c r="X84" s="13"/>
      <c r="Y84" s="31"/>
      <c r="Z84" s="31"/>
      <c r="AA84" s="31"/>
    </row>
    <row r="85" spans="7:27" x14ac:dyDescent="0.2">
      <c r="G85" s="31"/>
      <c r="H85" s="31"/>
      <c r="I85" s="31"/>
      <c r="J85" s="13"/>
      <c r="X85" s="13"/>
      <c r="Y85" s="31"/>
      <c r="Z85" s="31"/>
      <c r="AA85" s="31"/>
    </row>
    <row r="86" spans="7:27" x14ac:dyDescent="0.2">
      <c r="G86" s="31"/>
      <c r="H86" s="31"/>
      <c r="I86" s="31"/>
      <c r="J86" s="13"/>
      <c r="X86" s="13"/>
      <c r="Y86" s="31"/>
      <c r="Z86" s="31"/>
      <c r="AA86" s="31"/>
    </row>
    <row r="87" spans="7:27" x14ac:dyDescent="0.2">
      <c r="X87" s="13"/>
      <c r="Y87" s="13"/>
      <c r="Z87" s="13"/>
      <c r="AA87" s="13"/>
    </row>
    <row r="88" spans="7:27" x14ac:dyDescent="0.2">
      <c r="X88" s="13"/>
      <c r="Y88" s="13"/>
      <c r="Z88" s="13"/>
      <c r="AA88" s="13"/>
    </row>
    <row r="89" spans="7:27" x14ac:dyDescent="0.2">
      <c r="X89" s="13"/>
      <c r="Y89" s="13"/>
      <c r="Z89" s="13"/>
      <c r="AA89" s="13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CAA1C-5690-7B4B-83CA-0C7177094E76}">
  <dimension ref="A1:AG90"/>
  <sheetViews>
    <sheetView workbookViewId="0">
      <selection activeCell="J1" sqref="A1:XFD1"/>
    </sheetView>
  </sheetViews>
  <sheetFormatPr baseColWidth="10" defaultRowHeight="16" x14ac:dyDescent="0.2"/>
  <cols>
    <col min="10" max="10" width="17.83203125" bestFit="1" customWidth="1"/>
    <col min="11" max="11" width="13.5" customWidth="1"/>
    <col min="12" max="12" width="10.1640625" customWidth="1"/>
    <col min="13" max="13" width="11.1640625" bestFit="1" customWidth="1"/>
    <col min="15" max="15" width="9" customWidth="1"/>
    <col min="16" max="16" width="8.1640625" customWidth="1"/>
    <col min="17" max="17" width="7.1640625" customWidth="1"/>
    <col min="18" max="18" width="8.33203125" customWidth="1"/>
    <col min="19" max="19" width="7.1640625" customWidth="1"/>
    <col min="20" max="23" width="12.6640625" bestFit="1" customWidth="1"/>
  </cols>
  <sheetData>
    <row r="1" spans="1:25" ht="34" x14ac:dyDescent="0.2">
      <c r="A1" s="250" t="s">
        <v>2</v>
      </c>
      <c r="B1" s="251" t="s">
        <v>3</v>
      </c>
      <c r="C1" s="251" t="s">
        <v>4</v>
      </c>
      <c r="D1" s="252" t="s">
        <v>242</v>
      </c>
      <c r="E1" s="251" t="s">
        <v>243</v>
      </c>
      <c r="F1" s="128" t="s">
        <v>50</v>
      </c>
      <c r="G1" s="128"/>
      <c r="H1" s="128" t="s">
        <v>57</v>
      </c>
      <c r="I1" s="128"/>
      <c r="J1" s="128"/>
      <c r="K1" s="128"/>
      <c r="L1" s="128"/>
      <c r="M1" s="128"/>
      <c r="N1" s="128"/>
      <c r="O1" s="128"/>
      <c r="P1" s="128"/>
      <c r="Q1" s="128"/>
      <c r="R1" s="128"/>
      <c r="S1" s="128"/>
      <c r="T1" s="128"/>
      <c r="U1" s="128"/>
      <c r="V1" s="128"/>
      <c r="W1" s="128"/>
      <c r="X1" s="128"/>
      <c r="Y1" s="128"/>
    </row>
    <row r="2" spans="1:25" x14ac:dyDescent="0.2">
      <c r="A2" s="8">
        <v>43838</v>
      </c>
      <c r="B2" s="7">
        <v>1</v>
      </c>
      <c r="C2" s="50">
        <v>0</v>
      </c>
      <c r="D2" s="50">
        <v>79.453726151669997</v>
      </c>
      <c r="E2" s="23">
        <f>D2-$D$2</f>
        <v>0</v>
      </c>
      <c r="F2" s="247" t="s">
        <v>51</v>
      </c>
      <c r="G2" s="247"/>
      <c r="H2" s="127"/>
      <c r="I2" s="127" t="s">
        <v>62</v>
      </c>
      <c r="J2" s="127" t="s">
        <v>63</v>
      </c>
      <c r="K2" s="127" t="s">
        <v>64</v>
      </c>
      <c r="L2" s="127" t="s">
        <v>65</v>
      </c>
      <c r="M2" s="127" t="s">
        <v>66</v>
      </c>
      <c r="N2" s="127"/>
      <c r="O2" s="127" t="s">
        <v>67</v>
      </c>
      <c r="P2" s="127" t="s">
        <v>270</v>
      </c>
      <c r="Q2" s="127" t="s">
        <v>271</v>
      </c>
      <c r="R2" s="127" t="s">
        <v>68</v>
      </c>
      <c r="S2" s="127" t="s">
        <v>69</v>
      </c>
      <c r="T2" s="127" t="s">
        <v>70</v>
      </c>
      <c r="U2" s="127" t="s">
        <v>71</v>
      </c>
      <c r="V2" s="127" t="s">
        <v>72</v>
      </c>
      <c r="W2" s="127" t="s">
        <v>73</v>
      </c>
      <c r="X2" s="178" t="s">
        <v>272</v>
      </c>
      <c r="Y2" s="178" t="s">
        <v>273</v>
      </c>
    </row>
    <row r="3" spans="1:25" x14ac:dyDescent="0.2">
      <c r="A3" s="8">
        <v>43838</v>
      </c>
      <c r="B3" s="7">
        <v>1</v>
      </c>
      <c r="C3" s="6">
        <v>0.05</v>
      </c>
      <c r="D3" s="50">
        <v>1895.32613857353</v>
      </c>
      <c r="E3" s="23">
        <f t="shared" ref="E3:E7" si="0">D3-$D$2</f>
        <v>1815.87241242186</v>
      </c>
      <c r="F3" s="31" t="s">
        <v>52</v>
      </c>
      <c r="G3" s="31">
        <v>0.99996397678388993</v>
      </c>
      <c r="H3" s="31" t="s">
        <v>58</v>
      </c>
      <c r="I3" s="31">
        <v>1</v>
      </c>
      <c r="J3" s="263">
        <v>859884417.16365075</v>
      </c>
      <c r="K3" s="263">
        <v>859884417.16365075</v>
      </c>
      <c r="L3" s="263">
        <v>41637.563499778298</v>
      </c>
      <c r="M3" s="263">
        <v>2.5954055916486784E-7</v>
      </c>
      <c r="N3" s="263" t="s">
        <v>61</v>
      </c>
      <c r="O3" s="263">
        <v>-130.01739664105844</v>
      </c>
      <c r="P3" s="263">
        <v>95.266819454198782</v>
      </c>
      <c r="Q3" s="263">
        <f>P3*SQRT(G7)</f>
        <v>213.02308429978791</v>
      </c>
      <c r="R3" s="263">
        <v>-1.3647710439579293</v>
      </c>
      <c r="S3" s="263">
        <v>0.2656718008290524</v>
      </c>
      <c r="T3" s="263">
        <v>-433.19893422920353</v>
      </c>
      <c r="U3" s="263">
        <v>173.16414094708665</v>
      </c>
      <c r="V3" s="263">
        <v>-433.19893422920353</v>
      </c>
      <c r="W3" s="263">
        <v>173.16414094708665</v>
      </c>
      <c r="X3" s="162">
        <f>3.3*Q3/O4</f>
        <v>1.8615693720772302E-2</v>
      </c>
      <c r="Y3" s="162">
        <f>10*Q3/O4</f>
        <v>5.6411193093249413E-2</v>
      </c>
    </row>
    <row r="4" spans="1:25" x14ac:dyDescent="0.2">
      <c r="A4" s="8">
        <v>43838</v>
      </c>
      <c r="B4" s="7">
        <v>1</v>
      </c>
      <c r="C4" s="6">
        <v>0.1</v>
      </c>
      <c r="D4" s="50">
        <v>3786.44387741931</v>
      </c>
      <c r="E4" s="23">
        <f t="shared" si="0"/>
        <v>3706.9901512676402</v>
      </c>
      <c r="F4" s="31" t="s">
        <v>53</v>
      </c>
      <c r="G4" s="31">
        <v>0.99992795486545194</v>
      </c>
      <c r="H4" s="31" t="s">
        <v>59</v>
      </c>
      <c r="I4" s="31">
        <v>3</v>
      </c>
      <c r="J4" s="263">
        <v>61954.95208322379</v>
      </c>
      <c r="K4" s="263">
        <v>20651.65069440793</v>
      </c>
      <c r="L4" s="263"/>
      <c r="M4" s="263"/>
      <c r="N4" s="263" t="s">
        <v>74</v>
      </c>
      <c r="O4" s="263">
        <v>37762.556084863216</v>
      </c>
      <c r="P4" s="263">
        <v>185.0626297752105</v>
      </c>
      <c r="Q4" s="263"/>
      <c r="R4" s="263">
        <v>204.0528448705833</v>
      </c>
      <c r="S4" s="263">
        <v>2.5954055916486784E-7</v>
      </c>
      <c r="T4" s="263">
        <v>37173.604202489012</v>
      </c>
      <c r="U4" s="263">
        <v>38351.50796723742</v>
      </c>
      <c r="V4" s="263">
        <v>37173.604202489012</v>
      </c>
      <c r="W4" s="263">
        <v>38351.50796723742</v>
      </c>
    </row>
    <row r="5" spans="1:25" x14ac:dyDescent="0.2">
      <c r="A5" s="8">
        <v>43838</v>
      </c>
      <c r="B5" s="7">
        <v>1</v>
      </c>
      <c r="C5" s="6">
        <v>0.25</v>
      </c>
      <c r="D5" s="50">
        <v>9385.7736005742208</v>
      </c>
      <c r="E5" s="23">
        <f t="shared" si="0"/>
        <v>9306.3198744225501</v>
      </c>
      <c r="F5" s="31" t="s">
        <v>54</v>
      </c>
      <c r="G5" s="31">
        <v>0.99990393982060255</v>
      </c>
      <c r="H5" s="31" t="s">
        <v>60</v>
      </c>
      <c r="I5" s="31">
        <v>4</v>
      </c>
      <c r="J5" s="263">
        <v>859946372.11573398</v>
      </c>
      <c r="K5" s="263"/>
      <c r="L5" s="263"/>
      <c r="M5" s="263"/>
      <c r="N5" s="265"/>
      <c r="O5" s="265"/>
      <c r="P5" s="265"/>
      <c r="Q5" s="265"/>
      <c r="R5" s="265"/>
      <c r="S5" s="265"/>
      <c r="T5" s="265"/>
      <c r="U5" s="265"/>
      <c r="V5" s="265"/>
      <c r="W5" s="265"/>
    </row>
    <row r="6" spans="1:25" x14ac:dyDescent="0.2">
      <c r="A6" s="8">
        <v>43838</v>
      </c>
      <c r="B6" s="7">
        <v>1</v>
      </c>
      <c r="C6" s="6">
        <v>0.5</v>
      </c>
      <c r="D6" s="50">
        <v>18618.065697052702</v>
      </c>
      <c r="E6" s="23">
        <f t="shared" si="0"/>
        <v>18538.611970901031</v>
      </c>
      <c r="F6" s="31" t="s">
        <v>55</v>
      </c>
      <c r="G6" s="31">
        <v>143.70682201763398</v>
      </c>
      <c r="H6" s="13"/>
      <c r="I6" s="13"/>
      <c r="J6" s="265"/>
      <c r="K6" s="265"/>
      <c r="L6" s="265"/>
      <c r="M6" s="265"/>
      <c r="N6" s="265"/>
      <c r="O6" s="265"/>
      <c r="P6" s="265"/>
      <c r="Q6" s="265"/>
      <c r="R6" s="265"/>
      <c r="S6" s="265"/>
      <c r="T6" s="265"/>
      <c r="U6" s="265"/>
      <c r="V6" s="265"/>
      <c r="W6" s="265"/>
    </row>
    <row r="7" spans="1:25" x14ac:dyDescent="0.2">
      <c r="A7" s="244">
        <v>43838</v>
      </c>
      <c r="B7" s="245">
        <v>1</v>
      </c>
      <c r="C7" s="272">
        <v>1</v>
      </c>
      <c r="D7" s="274">
        <v>37810.428895173398</v>
      </c>
      <c r="E7" s="273">
        <f t="shared" si="0"/>
        <v>37730.975169021731</v>
      </c>
      <c r="F7" s="67" t="s">
        <v>56</v>
      </c>
      <c r="G7" s="67">
        <v>5</v>
      </c>
      <c r="H7" s="128"/>
      <c r="I7" s="128"/>
      <c r="J7" s="267"/>
      <c r="K7" s="267"/>
      <c r="L7" s="267"/>
      <c r="M7" s="267"/>
      <c r="N7" s="267"/>
      <c r="O7" s="267"/>
      <c r="P7" s="267"/>
      <c r="Q7" s="267"/>
      <c r="R7" s="267"/>
      <c r="S7" s="267"/>
      <c r="T7" s="267"/>
      <c r="U7" s="267"/>
      <c r="V7" s="267"/>
      <c r="W7" s="267"/>
      <c r="X7" s="128"/>
      <c r="Y7" s="128"/>
    </row>
    <row r="8" spans="1:25" x14ac:dyDescent="0.2">
      <c r="A8" s="8">
        <v>43838</v>
      </c>
      <c r="B8" s="7">
        <v>2</v>
      </c>
      <c r="C8" s="50">
        <v>0</v>
      </c>
      <c r="D8" s="50">
        <v>78.448492770732102</v>
      </c>
      <c r="E8" s="23">
        <f>D8-$D$8</f>
        <v>0</v>
      </c>
      <c r="F8" s="247" t="s">
        <v>51</v>
      </c>
      <c r="G8" s="247"/>
      <c r="H8" s="127"/>
      <c r="I8" s="127" t="s">
        <v>62</v>
      </c>
      <c r="J8" s="268" t="s">
        <v>63</v>
      </c>
      <c r="K8" s="268" t="s">
        <v>64</v>
      </c>
      <c r="L8" s="268" t="s">
        <v>65</v>
      </c>
      <c r="M8" s="268" t="s">
        <v>66</v>
      </c>
      <c r="N8" s="268"/>
      <c r="O8" s="268" t="s">
        <v>67</v>
      </c>
      <c r="P8" s="268" t="s">
        <v>270</v>
      </c>
      <c r="Q8" s="268" t="s">
        <v>271</v>
      </c>
      <c r="R8" s="268" t="s">
        <v>68</v>
      </c>
      <c r="S8" s="268" t="s">
        <v>69</v>
      </c>
      <c r="T8" s="268" t="s">
        <v>70</v>
      </c>
      <c r="U8" s="268" t="s">
        <v>71</v>
      </c>
      <c r="V8" s="268" t="s">
        <v>72</v>
      </c>
      <c r="W8" s="268" t="s">
        <v>73</v>
      </c>
      <c r="X8" s="162"/>
      <c r="Y8" s="162"/>
    </row>
    <row r="9" spans="1:25" x14ac:dyDescent="0.2">
      <c r="A9" s="8">
        <v>43838</v>
      </c>
      <c r="B9" s="7">
        <v>2</v>
      </c>
      <c r="C9" s="6">
        <v>0.05</v>
      </c>
      <c r="D9" s="50">
        <v>1762.53534267793</v>
      </c>
      <c r="E9" s="23">
        <f t="shared" ref="E9:E13" si="1">D9-$D$8</f>
        <v>1684.0868499071978</v>
      </c>
      <c r="F9" s="31" t="s">
        <v>52</v>
      </c>
      <c r="G9" s="31">
        <v>0.99999272489723268</v>
      </c>
      <c r="H9" s="31" t="s">
        <v>58</v>
      </c>
      <c r="I9" s="31">
        <v>1</v>
      </c>
      <c r="J9" s="263">
        <v>726553653.66540694</v>
      </c>
      <c r="K9" s="263">
        <v>726553653.66540694</v>
      </c>
      <c r="L9" s="263">
        <v>206180.40445777343</v>
      </c>
      <c r="M9" s="263">
        <v>2.355548671255043E-8</v>
      </c>
      <c r="N9" s="263" t="s">
        <v>61</v>
      </c>
      <c r="O9" s="263">
        <v>-72.915447941126331</v>
      </c>
      <c r="P9" s="263">
        <v>39.352690760709827</v>
      </c>
      <c r="Q9" s="263">
        <f>P9*SQRT(G13)</f>
        <v>87.995291638475081</v>
      </c>
      <c r="R9" s="263">
        <v>-1.8528707067199059</v>
      </c>
      <c r="S9" s="263">
        <v>0.1609649954121064</v>
      </c>
      <c r="T9" s="263">
        <v>-198.15327325551968</v>
      </c>
      <c r="U9" s="263">
        <v>52.322377373267017</v>
      </c>
      <c r="V9" s="263">
        <v>-198.15327325551968</v>
      </c>
      <c r="W9" s="263">
        <v>52.322377373267017</v>
      </c>
      <c r="X9" s="162">
        <f>3.3*Q9/O10</f>
        <v>8.3656210036270745E-3</v>
      </c>
      <c r="Y9" s="162">
        <f>10*Q9/O10</f>
        <v>2.5350366677657801E-2</v>
      </c>
    </row>
    <row r="10" spans="1:25" x14ac:dyDescent="0.2">
      <c r="A10" s="8">
        <v>43838</v>
      </c>
      <c r="B10" s="7">
        <v>2</v>
      </c>
      <c r="C10" s="6">
        <v>0.1</v>
      </c>
      <c r="D10" s="50">
        <v>3479.36128786674</v>
      </c>
      <c r="E10" s="23">
        <f t="shared" si="1"/>
        <v>3400.9127950960078</v>
      </c>
      <c r="F10" s="31" t="s">
        <v>53</v>
      </c>
      <c r="G10" s="31">
        <v>0.99998544984739257</v>
      </c>
      <c r="H10" s="31" t="s">
        <v>59</v>
      </c>
      <c r="I10" s="31">
        <v>3</v>
      </c>
      <c r="J10" s="263">
        <v>10571.620357077261</v>
      </c>
      <c r="K10" s="263">
        <v>3523.873452359087</v>
      </c>
      <c r="L10" s="263"/>
      <c r="M10" s="263"/>
      <c r="N10" s="263" t="s">
        <v>74</v>
      </c>
      <c r="O10" s="263">
        <v>34711.644512830077</v>
      </c>
      <c r="P10" s="263">
        <v>76.445424363189574</v>
      </c>
      <c r="Q10" s="263"/>
      <c r="R10" s="263">
        <v>454.07092447961634</v>
      </c>
      <c r="S10" s="263">
        <v>2.355548671255043E-8</v>
      </c>
      <c r="T10" s="263">
        <v>34468.361054509602</v>
      </c>
      <c r="U10" s="263">
        <v>34954.927971150551</v>
      </c>
      <c r="V10" s="263">
        <v>34468.361054509602</v>
      </c>
      <c r="W10" s="263">
        <v>34954.927971150551</v>
      </c>
    </row>
    <row r="11" spans="1:25" x14ac:dyDescent="0.2">
      <c r="A11" s="8">
        <v>43838</v>
      </c>
      <c r="B11" s="7">
        <v>2</v>
      </c>
      <c r="C11" s="6">
        <v>0.25</v>
      </c>
      <c r="D11" s="50">
        <v>8712.5977161590999</v>
      </c>
      <c r="E11" s="23">
        <f t="shared" si="1"/>
        <v>8634.1492233883673</v>
      </c>
      <c r="F11" s="31" t="s">
        <v>54</v>
      </c>
      <c r="G11" s="31">
        <v>0.99998059979652343</v>
      </c>
      <c r="H11" s="31" t="s">
        <v>60</v>
      </c>
      <c r="I11" s="31">
        <v>4</v>
      </c>
      <c r="J11" s="263">
        <v>726564225.28576398</v>
      </c>
      <c r="K11" s="263"/>
      <c r="L11" s="263"/>
      <c r="M11" s="263"/>
      <c r="N11" s="265"/>
      <c r="O11" s="265"/>
      <c r="P11" s="265"/>
      <c r="Q11" s="265"/>
      <c r="R11" s="265"/>
      <c r="S11" s="265"/>
      <c r="T11" s="265"/>
      <c r="U11" s="265"/>
      <c r="V11" s="265"/>
      <c r="W11" s="265"/>
    </row>
    <row r="12" spans="1:25" x14ac:dyDescent="0.2">
      <c r="A12" s="8">
        <v>43838</v>
      </c>
      <c r="B12" s="7">
        <v>2</v>
      </c>
      <c r="C12" s="6">
        <v>0.5</v>
      </c>
      <c r="D12" s="50">
        <v>17272.1320242113</v>
      </c>
      <c r="E12" s="23">
        <f t="shared" si="1"/>
        <v>17193.683531440569</v>
      </c>
      <c r="F12" s="31" t="s">
        <v>55</v>
      </c>
      <c r="G12" s="31">
        <v>59.362222434466574</v>
      </c>
      <c r="H12" s="13"/>
      <c r="I12" s="13"/>
      <c r="J12" s="265"/>
      <c r="K12" s="265"/>
      <c r="L12" s="265"/>
      <c r="M12" s="265"/>
      <c r="N12" s="265"/>
      <c r="O12" s="265"/>
      <c r="P12" s="265"/>
      <c r="Q12" s="265"/>
      <c r="R12" s="265"/>
      <c r="S12" s="265"/>
      <c r="T12" s="265"/>
      <c r="U12" s="265"/>
      <c r="V12" s="265"/>
      <c r="W12" s="265"/>
    </row>
    <row r="13" spans="1:25" x14ac:dyDescent="0.2">
      <c r="A13" s="244">
        <v>43838</v>
      </c>
      <c r="B13" s="245">
        <v>2</v>
      </c>
      <c r="C13" s="272">
        <v>1</v>
      </c>
      <c r="D13" s="274">
        <v>34753.163427610103</v>
      </c>
      <c r="E13" s="273">
        <f t="shared" si="1"/>
        <v>34674.714934839372</v>
      </c>
      <c r="F13" s="67" t="s">
        <v>56</v>
      </c>
      <c r="G13" s="67">
        <v>5</v>
      </c>
      <c r="H13" s="128"/>
      <c r="I13" s="128"/>
      <c r="J13" s="267"/>
      <c r="K13" s="267"/>
      <c r="L13" s="267"/>
      <c r="M13" s="267"/>
      <c r="N13" s="267"/>
      <c r="O13" s="267"/>
      <c r="P13" s="267"/>
      <c r="Q13" s="267"/>
      <c r="R13" s="267"/>
      <c r="S13" s="267"/>
      <c r="T13" s="267"/>
      <c r="U13" s="267"/>
      <c r="V13" s="267"/>
      <c r="W13" s="267"/>
      <c r="X13" s="128"/>
      <c r="Y13" s="128"/>
    </row>
    <row r="14" spans="1:25" x14ac:dyDescent="0.2">
      <c r="A14" s="8">
        <v>43838</v>
      </c>
      <c r="B14" s="7">
        <v>3</v>
      </c>
      <c r="C14" s="50">
        <v>0</v>
      </c>
      <c r="D14" s="50">
        <v>92.446708072601098</v>
      </c>
      <c r="E14" s="23">
        <f>D14-$D$14</f>
        <v>0</v>
      </c>
      <c r="F14" s="247" t="s">
        <v>51</v>
      </c>
      <c r="G14" s="247"/>
      <c r="H14" s="127"/>
      <c r="I14" s="127" t="s">
        <v>62</v>
      </c>
      <c r="J14" s="268" t="s">
        <v>63</v>
      </c>
      <c r="K14" s="268" t="s">
        <v>64</v>
      </c>
      <c r="L14" s="268" t="s">
        <v>65</v>
      </c>
      <c r="M14" s="268" t="s">
        <v>66</v>
      </c>
      <c r="N14" s="268"/>
      <c r="O14" s="268" t="s">
        <v>67</v>
      </c>
      <c r="P14" s="268" t="s">
        <v>270</v>
      </c>
      <c r="Q14" s="268" t="s">
        <v>271</v>
      </c>
      <c r="R14" s="268" t="s">
        <v>68</v>
      </c>
      <c r="S14" s="268" t="s">
        <v>69</v>
      </c>
      <c r="T14" s="268" t="s">
        <v>70</v>
      </c>
      <c r="U14" s="268" t="s">
        <v>71</v>
      </c>
      <c r="V14" s="268" t="s">
        <v>72</v>
      </c>
      <c r="W14" s="268" t="s">
        <v>73</v>
      </c>
    </row>
    <row r="15" spans="1:25" x14ac:dyDescent="0.2">
      <c r="A15" s="8">
        <v>43838</v>
      </c>
      <c r="B15" s="7">
        <v>3</v>
      </c>
      <c r="C15" s="6">
        <v>0.05</v>
      </c>
      <c r="D15" s="50">
        <v>1708.79036202873</v>
      </c>
      <c r="E15" s="23">
        <f t="shared" ref="E15:E19" si="2">D15-$D$14</f>
        <v>1616.3436539561289</v>
      </c>
      <c r="F15" s="31" t="s">
        <v>52</v>
      </c>
      <c r="G15" s="31">
        <v>0.99998627188310574</v>
      </c>
      <c r="H15" s="31" t="s">
        <v>58</v>
      </c>
      <c r="I15" s="31">
        <v>1</v>
      </c>
      <c r="J15" s="263">
        <v>674867465.8229804</v>
      </c>
      <c r="K15" s="263">
        <v>674867465.8229804</v>
      </c>
      <c r="L15" s="263">
        <v>109262.55387779883</v>
      </c>
      <c r="M15" s="263">
        <v>6.1058961837545088E-8</v>
      </c>
      <c r="N15" s="263" t="s">
        <v>61</v>
      </c>
      <c r="O15" s="263">
        <v>-54.939654583968149</v>
      </c>
      <c r="P15" s="263">
        <v>52.100015587719689</v>
      </c>
      <c r="Q15" s="263">
        <f>P15*SQRT(G19)</f>
        <v>116.49917648293989</v>
      </c>
      <c r="R15" s="263">
        <v>-1.0545036112602966</v>
      </c>
      <c r="S15" s="263">
        <v>0.36907353537389848</v>
      </c>
      <c r="T15" s="263">
        <v>-220.74515669633033</v>
      </c>
      <c r="U15" s="263">
        <v>110.86584752839403</v>
      </c>
      <c r="V15" s="263">
        <v>-220.74515669633033</v>
      </c>
      <c r="W15" s="263">
        <v>110.86584752839403</v>
      </c>
      <c r="X15" s="162">
        <f>3.3*Q15/O16</f>
        <v>1.1491750948766593E-2</v>
      </c>
      <c r="Y15" s="162">
        <f>10*Q15/O16</f>
        <v>3.4823487723535135E-2</v>
      </c>
    </row>
    <row r="16" spans="1:25" x14ac:dyDescent="0.2">
      <c r="A16" s="8">
        <v>43838</v>
      </c>
      <c r="B16" s="7">
        <v>3</v>
      </c>
      <c r="C16" s="6">
        <v>0.1</v>
      </c>
      <c r="D16" s="50">
        <v>3307.5658178280901</v>
      </c>
      <c r="E16" s="23">
        <f t="shared" si="2"/>
        <v>3215.1191097554888</v>
      </c>
      <c r="F16" s="31" t="s">
        <v>53</v>
      </c>
      <c r="G16" s="31">
        <v>0.99997254395467261</v>
      </c>
      <c r="H16" s="31" t="s">
        <v>59</v>
      </c>
      <c r="I16" s="31">
        <v>3</v>
      </c>
      <c r="J16" s="263">
        <v>18529.700483967201</v>
      </c>
      <c r="K16" s="263">
        <v>6176.566827989067</v>
      </c>
      <c r="L16" s="263"/>
      <c r="M16" s="263"/>
      <c r="N16" s="263" t="s">
        <v>74</v>
      </c>
      <c r="O16" s="263">
        <v>33454.195457913593</v>
      </c>
      <c r="P16" s="263">
        <v>101.20801713789045</v>
      </c>
      <c r="Q16" s="263"/>
      <c r="R16" s="263">
        <v>330.54886760931259</v>
      </c>
      <c r="S16" s="263">
        <v>6.1058961837545088E-8</v>
      </c>
      <c r="T16" s="263">
        <v>33132.10637770802</v>
      </c>
      <c r="U16" s="263">
        <v>33776.284538119166</v>
      </c>
      <c r="V16" s="263">
        <v>33132.10637770802</v>
      </c>
      <c r="W16" s="263">
        <v>33776.284538119166</v>
      </c>
    </row>
    <row r="17" spans="1:32" x14ac:dyDescent="0.2">
      <c r="A17" s="8">
        <v>43838</v>
      </c>
      <c r="B17" s="7">
        <v>3</v>
      </c>
      <c r="C17" s="6">
        <v>0.25</v>
      </c>
      <c r="D17" s="50">
        <v>8511.0406265974798</v>
      </c>
      <c r="E17" s="23">
        <f t="shared" si="2"/>
        <v>8418.593918524879</v>
      </c>
      <c r="F17" s="31" t="s">
        <v>54</v>
      </c>
      <c r="G17" s="31">
        <v>0.99996339193956352</v>
      </c>
      <c r="H17" s="31" t="s">
        <v>60</v>
      </c>
      <c r="I17" s="31">
        <v>4</v>
      </c>
      <c r="J17" s="263">
        <v>674885995.52346432</v>
      </c>
      <c r="K17" s="263"/>
      <c r="L17" s="263"/>
      <c r="M17" s="263"/>
      <c r="N17" s="265"/>
      <c r="O17" s="265"/>
      <c r="P17" s="265"/>
      <c r="Q17" s="265"/>
      <c r="R17" s="265"/>
      <c r="S17" s="265"/>
      <c r="T17" s="265"/>
      <c r="U17" s="265"/>
      <c r="V17" s="265"/>
      <c r="W17" s="265"/>
    </row>
    <row r="18" spans="1:32" x14ac:dyDescent="0.2">
      <c r="A18" s="8">
        <v>43838</v>
      </c>
      <c r="B18" s="7">
        <v>3</v>
      </c>
      <c r="C18" s="6">
        <v>0.5</v>
      </c>
      <c r="D18" s="50">
        <v>16737.987408388799</v>
      </c>
      <c r="E18" s="23">
        <f t="shared" si="2"/>
        <v>16645.540700316196</v>
      </c>
      <c r="F18" s="31" t="s">
        <v>55</v>
      </c>
      <c r="G18" s="31">
        <v>78.59113708293745</v>
      </c>
      <c r="H18" s="13"/>
      <c r="I18" s="13"/>
      <c r="J18" s="278"/>
      <c r="K18" s="278"/>
      <c r="L18" s="278"/>
      <c r="M18" s="265"/>
      <c r="N18" s="265"/>
      <c r="O18" s="265"/>
      <c r="P18" s="265"/>
      <c r="Q18" s="265"/>
      <c r="R18" s="265"/>
      <c r="S18" s="265"/>
      <c r="T18" s="265"/>
      <c r="U18" s="265"/>
      <c r="V18" s="265"/>
      <c r="W18" s="265"/>
      <c r="Y18" s="13"/>
      <c r="Z18" s="13"/>
      <c r="AA18" s="13"/>
      <c r="AB18" s="122"/>
      <c r="AC18" s="209"/>
      <c r="AD18" s="122"/>
      <c r="AE18" s="13"/>
      <c r="AF18" s="13"/>
    </row>
    <row r="19" spans="1:32" x14ac:dyDescent="0.2">
      <c r="A19" s="244">
        <v>43838</v>
      </c>
      <c r="B19" s="245">
        <v>3</v>
      </c>
      <c r="C19" s="272">
        <v>1</v>
      </c>
      <c r="D19" s="274">
        <v>33485.122422635897</v>
      </c>
      <c r="E19" s="273">
        <f t="shared" si="2"/>
        <v>33392.675714563295</v>
      </c>
      <c r="F19" s="67" t="s">
        <v>56</v>
      </c>
      <c r="G19" s="67">
        <v>5</v>
      </c>
      <c r="H19" s="128"/>
      <c r="I19" s="128"/>
      <c r="J19" s="279"/>
      <c r="K19" s="279"/>
      <c r="L19" s="279"/>
      <c r="M19" s="267"/>
      <c r="N19" s="267"/>
      <c r="O19" s="267"/>
      <c r="P19" s="267"/>
      <c r="Q19" s="267"/>
      <c r="R19" s="267"/>
      <c r="S19" s="267"/>
      <c r="T19" s="267"/>
      <c r="U19" s="267"/>
      <c r="V19" s="267"/>
      <c r="W19" s="267"/>
      <c r="X19" s="128"/>
      <c r="Y19" s="128"/>
      <c r="Z19" s="13"/>
      <c r="AA19" s="13"/>
      <c r="AB19" s="122"/>
      <c r="AC19" s="209"/>
      <c r="AD19" s="122"/>
      <c r="AE19" s="13"/>
      <c r="AF19" s="13"/>
    </row>
    <row r="20" spans="1:32" x14ac:dyDescent="0.2">
      <c r="A20" s="8">
        <v>43789</v>
      </c>
      <c r="B20" s="7">
        <v>1</v>
      </c>
      <c r="C20" s="50">
        <v>0</v>
      </c>
      <c r="D20" s="55">
        <v>119.679240675419</v>
      </c>
      <c r="E20" s="23">
        <f>D20-$D$20</f>
        <v>0</v>
      </c>
      <c r="F20" s="247" t="s">
        <v>51</v>
      </c>
      <c r="G20" s="247"/>
      <c r="H20" s="127"/>
      <c r="I20" s="127" t="s">
        <v>62</v>
      </c>
      <c r="J20" s="268" t="s">
        <v>63</v>
      </c>
      <c r="K20" s="268" t="s">
        <v>64</v>
      </c>
      <c r="L20" s="268" t="s">
        <v>65</v>
      </c>
      <c r="M20" s="268" t="s">
        <v>66</v>
      </c>
      <c r="N20" s="268"/>
      <c r="O20" s="268" t="s">
        <v>67</v>
      </c>
      <c r="P20" s="268" t="s">
        <v>270</v>
      </c>
      <c r="Q20" s="268" t="s">
        <v>271</v>
      </c>
      <c r="R20" s="268" t="s">
        <v>68</v>
      </c>
      <c r="S20" s="268" t="s">
        <v>69</v>
      </c>
      <c r="T20" s="268" t="s">
        <v>70</v>
      </c>
      <c r="U20" s="268" t="s">
        <v>71</v>
      </c>
      <c r="V20" s="268" t="s">
        <v>72</v>
      </c>
      <c r="W20" s="268" t="s">
        <v>73</v>
      </c>
      <c r="Y20" s="13"/>
      <c r="Z20" s="13"/>
      <c r="AA20" s="13"/>
      <c r="AB20" s="13"/>
      <c r="AC20" s="13"/>
      <c r="AD20" s="13"/>
      <c r="AE20" s="13"/>
      <c r="AF20" s="13"/>
    </row>
    <row r="21" spans="1:32" x14ac:dyDescent="0.2">
      <c r="A21" s="8">
        <v>43789</v>
      </c>
      <c r="B21" s="7">
        <v>1</v>
      </c>
      <c r="C21" s="6">
        <v>0.05</v>
      </c>
      <c r="D21" s="55">
        <v>2770.1699919663802</v>
      </c>
      <c r="E21" s="23">
        <f t="shared" ref="E21:E25" si="3">D21-$D$20</f>
        <v>2650.4907512909613</v>
      </c>
      <c r="F21" s="31" t="s">
        <v>52</v>
      </c>
      <c r="G21" s="31">
        <v>0.99999079550206316</v>
      </c>
      <c r="H21" s="31" t="s">
        <v>58</v>
      </c>
      <c r="I21" s="31">
        <v>1</v>
      </c>
      <c r="J21" s="263">
        <v>1519627268.2784784</v>
      </c>
      <c r="K21" s="263">
        <v>1519627268.2784784</v>
      </c>
      <c r="L21" s="263">
        <v>162961.55425338668</v>
      </c>
      <c r="M21" s="263">
        <v>3.3522269625190621E-8</v>
      </c>
      <c r="N21" s="263" t="s">
        <v>61</v>
      </c>
      <c r="O21" s="263">
        <v>168.76530087360879</v>
      </c>
      <c r="P21" s="263">
        <v>64.016251584416011</v>
      </c>
      <c r="Q21" s="263">
        <f>P21*SQRT(G25)</f>
        <v>143.14469020748282</v>
      </c>
      <c r="R21" s="263">
        <v>2.6362883907856407</v>
      </c>
      <c r="S21" s="263">
        <v>7.7903498633478896E-2</v>
      </c>
      <c r="T21" s="263">
        <v>-34.962982459328316</v>
      </c>
      <c r="U21" s="263">
        <v>372.4935842065459</v>
      </c>
      <c r="V21" s="263">
        <v>-34.962982459328316</v>
      </c>
      <c r="W21" s="263">
        <v>372.4935842065459</v>
      </c>
      <c r="X21" s="162">
        <f>3.3*Q21/O22</f>
        <v>9.4097763206546243E-3</v>
      </c>
      <c r="Y21" s="162">
        <f>10*Q21/O22</f>
        <v>2.8514473698953411E-2</v>
      </c>
      <c r="Z21" s="64"/>
      <c r="AA21" s="64"/>
      <c r="AB21" s="13"/>
      <c r="AC21" s="13"/>
      <c r="AD21" s="13"/>
      <c r="AE21" s="13"/>
      <c r="AF21" s="13"/>
    </row>
    <row r="22" spans="1:32" x14ac:dyDescent="0.2">
      <c r="A22" s="8">
        <v>43789</v>
      </c>
      <c r="B22" s="7">
        <v>1</v>
      </c>
      <c r="C22" s="6">
        <v>0.1</v>
      </c>
      <c r="D22" s="55">
        <v>5217.8709232868196</v>
      </c>
      <c r="E22" s="23">
        <f t="shared" si="3"/>
        <v>5098.1916826114002</v>
      </c>
      <c r="F22" s="31" t="s">
        <v>53</v>
      </c>
      <c r="G22" s="31">
        <v>0.9999815910888491</v>
      </c>
      <c r="H22" s="31" t="s">
        <v>59</v>
      </c>
      <c r="I22" s="31">
        <v>3</v>
      </c>
      <c r="J22" s="263">
        <v>27975.198357195906</v>
      </c>
      <c r="K22" s="263">
        <v>9325.0661190653027</v>
      </c>
      <c r="L22" s="263"/>
      <c r="M22" s="263"/>
      <c r="N22" s="263" t="s">
        <v>74</v>
      </c>
      <c r="O22" s="263">
        <v>50200.71270427719</v>
      </c>
      <c r="P22" s="263">
        <v>124.35616025009817</v>
      </c>
      <c r="Q22" s="263"/>
      <c r="R22" s="263">
        <v>403.68496907042095</v>
      </c>
      <c r="S22" s="263">
        <v>3.3522269625190621E-8</v>
      </c>
      <c r="T22" s="263">
        <v>49804.955901549998</v>
      </c>
      <c r="U22" s="263">
        <v>50596.469507004382</v>
      </c>
      <c r="V22" s="263">
        <v>49804.955901549998</v>
      </c>
      <c r="W22" s="263">
        <v>50596.469507004382</v>
      </c>
      <c r="Y22" s="31"/>
      <c r="Z22" s="31"/>
      <c r="AA22" s="31"/>
      <c r="AB22" s="13"/>
      <c r="AC22" s="13"/>
      <c r="AD22" s="13"/>
      <c r="AE22" s="13"/>
      <c r="AF22" s="13"/>
    </row>
    <row r="23" spans="1:32" x14ac:dyDescent="0.2">
      <c r="A23" s="8">
        <v>43789</v>
      </c>
      <c r="B23" s="7">
        <v>1</v>
      </c>
      <c r="C23" s="6">
        <v>0.25</v>
      </c>
      <c r="D23" s="55">
        <v>12919.7339247821</v>
      </c>
      <c r="E23" s="23">
        <f t="shared" si="3"/>
        <v>12800.054684106681</v>
      </c>
      <c r="F23" s="31" t="s">
        <v>54</v>
      </c>
      <c r="G23" s="31">
        <v>0.99997545478513217</v>
      </c>
      <c r="H23" s="31" t="s">
        <v>60</v>
      </c>
      <c r="I23" s="31">
        <v>4</v>
      </c>
      <c r="J23" s="263">
        <v>1519655243.4768355</v>
      </c>
      <c r="K23" s="263"/>
      <c r="L23" s="263"/>
      <c r="M23" s="263"/>
      <c r="N23" s="265"/>
      <c r="O23" s="265"/>
      <c r="P23" s="265"/>
      <c r="Q23" s="265"/>
      <c r="R23" s="265"/>
      <c r="S23" s="265"/>
      <c r="T23" s="265"/>
      <c r="U23" s="265"/>
      <c r="V23" s="265"/>
      <c r="W23" s="265"/>
      <c r="Y23" s="31"/>
      <c r="Z23" s="31"/>
      <c r="AA23" s="31"/>
      <c r="AB23" s="13"/>
      <c r="AC23" s="13"/>
      <c r="AD23" s="13"/>
      <c r="AE23" s="13"/>
      <c r="AF23" s="13"/>
    </row>
    <row r="24" spans="1:32" x14ac:dyDescent="0.2">
      <c r="A24" s="8">
        <v>43789</v>
      </c>
      <c r="B24" s="7">
        <v>1</v>
      </c>
      <c r="C24" s="6">
        <v>0.5</v>
      </c>
      <c r="D24" s="55">
        <v>25484.084233697198</v>
      </c>
      <c r="E24" s="23">
        <f t="shared" si="3"/>
        <v>25364.404993021781</v>
      </c>
      <c r="F24" s="31" t="s">
        <v>55</v>
      </c>
      <c r="G24" s="31">
        <v>96.566381930075963</v>
      </c>
      <c r="H24" s="31"/>
      <c r="I24" s="31"/>
      <c r="J24" s="265"/>
      <c r="K24" s="265"/>
      <c r="L24" s="265"/>
      <c r="M24" s="265"/>
      <c r="N24" s="265"/>
      <c r="O24" s="265"/>
      <c r="P24" s="265"/>
      <c r="Q24" s="265"/>
      <c r="R24" s="265"/>
      <c r="S24" s="265"/>
      <c r="T24" s="265"/>
      <c r="U24" s="265"/>
      <c r="V24" s="265"/>
      <c r="W24" s="265"/>
      <c r="Y24" s="31"/>
      <c r="Z24" s="31"/>
      <c r="AA24" s="31"/>
      <c r="AB24" s="13"/>
      <c r="AC24" s="13"/>
      <c r="AD24" s="13"/>
      <c r="AE24" s="13"/>
      <c r="AF24" s="13"/>
    </row>
    <row r="25" spans="1:32" x14ac:dyDescent="0.2">
      <c r="A25" s="244">
        <v>43789</v>
      </c>
      <c r="B25" s="245">
        <v>1</v>
      </c>
      <c r="C25" s="272">
        <v>1</v>
      </c>
      <c r="D25" s="246">
        <v>50431.717772139302</v>
      </c>
      <c r="E25" s="273">
        <f t="shared" si="3"/>
        <v>50312.038531463884</v>
      </c>
      <c r="F25" s="67" t="s">
        <v>56</v>
      </c>
      <c r="G25" s="67">
        <v>5</v>
      </c>
      <c r="H25" s="67"/>
      <c r="I25" s="67"/>
      <c r="J25" s="267"/>
      <c r="K25" s="267"/>
      <c r="L25" s="267"/>
      <c r="M25" s="267"/>
      <c r="N25" s="267"/>
      <c r="O25" s="267"/>
      <c r="P25" s="267"/>
      <c r="Q25" s="267"/>
      <c r="R25" s="267"/>
      <c r="S25" s="267"/>
      <c r="T25" s="267"/>
      <c r="U25" s="267"/>
      <c r="V25" s="267"/>
      <c r="W25" s="267"/>
      <c r="X25" s="128"/>
      <c r="Y25" s="67"/>
      <c r="Z25" s="31"/>
      <c r="AA25" s="31"/>
      <c r="AB25" s="13"/>
      <c r="AC25" s="13"/>
      <c r="AD25" s="13"/>
      <c r="AE25" s="13"/>
      <c r="AF25" s="13"/>
    </row>
    <row r="26" spans="1:32" x14ac:dyDescent="0.2">
      <c r="A26" s="8">
        <v>43888</v>
      </c>
      <c r="B26" s="7">
        <v>1</v>
      </c>
      <c r="C26" s="50">
        <v>0</v>
      </c>
      <c r="D26" s="55">
        <v>188.65828452935401</v>
      </c>
      <c r="E26" s="23">
        <f>D26-$D$26</f>
        <v>0</v>
      </c>
      <c r="F26" s="247" t="s">
        <v>51</v>
      </c>
      <c r="G26" s="247"/>
      <c r="H26" s="127"/>
      <c r="I26" s="127" t="s">
        <v>62</v>
      </c>
      <c r="J26" s="268" t="s">
        <v>63</v>
      </c>
      <c r="K26" s="268" t="s">
        <v>64</v>
      </c>
      <c r="L26" s="268" t="s">
        <v>65</v>
      </c>
      <c r="M26" s="268" t="s">
        <v>66</v>
      </c>
      <c r="N26" s="268"/>
      <c r="O26" s="268" t="s">
        <v>67</v>
      </c>
      <c r="P26" s="268" t="s">
        <v>270</v>
      </c>
      <c r="Q26" s="268" t="s">
        <v>271</v>
      </c>
      <c r="R26" s="268" t="s">
        <v>68</v>
      </c>
      <c r="S26" s="268" t="s">
        <v>69</v>
      </c>
      <c r="T26" s="268" t="s">
        <v>70</v>
      </c>
      <c r="U26" s="268" t="s">
        <v>71</v>
      </c>
      <c r="V26" s="268" t="s">
        <v>72</v>
      </c>
      <c r="W26" s="268" t="s">
        <v>73</v>
      </c>
    </row>
    <row r="27" spans="1:32" x14ac:dyDescent="0.2">
      <c r="A27" s="8">
        <v>43888</v>
      </c>
      <c r="B27" s="7">
        <v>1</v>
      </c>
      <c r="C27" s="6">
        <v>0.05</v>
      </c>
      <c r="D27" s="55">
        <v>2794.6897533156798</v>
      </c>
      <c r="E27" s="23">
        <f t="shared" ref="E27:E31" si="4">D27-$D$26</f>
        <v>2606.0314687863256</v>
      </c>
      <c r="F27" s="31" t="s">
        <v>52</v>
      </c>
      <c r="G27" s="31">
        <v>0.99998410396695325</v>
      </c>
      <c r="H27" s="31" t="s">
        <v>58</v>
      </c>
      <c r="I27" s="31">
        <v>1</v>
      </c>
      <c r="J27" s="263">
        <v>1801213040.3471019</v>
      </c>
      <c r="K27" s="263">
        <v>1801213040.3471019</v>
      </c>
      <c r="L27" s="263">
        <v>94360.915682751031</v>
      </c>
      <c r="M27" s="263">
        <v>7.6079203528221457E-8</v>
      </c>
      <c r="N27" s="263" t="s">
        <v>61</v>
      </c>
      <c r="O27" s="263">
        <v>-225.9047570803159</v>
      </c>
      <c r="P27" s="263">
        <v>91.590567263957908</v>
      </c>
      <c r="Q27" s="263">
        <f>P27*SQRT(G31)</f>
        <v>204.80273449997682</v>
      </c>
      <c r="R27" s="263">
        <v>-2.4664631285585714</v>
      </c>
      <c r="S27" s="263">
        <v>9.0347475563875193E-2</v>
      </c>
      <c r="T27" s="263">
        <v>-517.38681946833776</v>
      </c>
      <c r="U27" s="263">
        <v>65.577305307705956</v>
      </c>
      <c r="V27" s="263">
        <v>-517.38681946833776</v>
      </c>
      <c r="W27" s="263">
        <v>65.577305307705956</v>
      </c>
      <c r="X27" s="162">
        <f>3.3*Q27/O28</f>
        <v>1.2365902151067011E-2</v>
      </c>
      <c r="Y27" s="162">
        <f>10*Q27/O28</f>
        <v>3.7472430760809125E-2</v>
      </c>
    </row>
    <row r="28" spans="1:32" x14ac:dyDescent="0.2">
      <c r="A28" s="8">
        <v>43888</v>
      </c>
      <c r="B28" s="7">
        <v>1</v>
      </c>
      <c r="C28" s="6">
        <v>0.1</v>
      </c>
      <c r="D28" s="55">
        <v>5484.2008211498696</v>
      </c>
      <c r="E28" s="23">
        <f t="shared" si="4"/>
        <v>5295.5425366205154</v>
      </c>
      <c r="F28" s="31" t="s">
        <v>53</v>
      </c>
      <c r="G28" s="31">
        <v>0.99996820818659027</v>
      </c>
      <c r="H28" s="31" t="s">
        <v>59</v>
      </c>
      <c r="I28" s="31">
        <v>3</v>
      </c>
      <c r="J28" s="263">
        <v>57265.649468777665</v>
      </c>
      <c r="K28" s="263">
        <v>19088.549822925888</v>
      </c>
      <c r="L28" s="263"/>
      <c r="M28" s="263"/>
      <c r="N28" s="263" t="s">
        <v>74</v>
      </c>
      <c r="O28" s="263">
        <v>54654.243224106925</v>
      </c>
      <c r="P28" s="263">
        <v>177.92124621752873</v>
      </c>
      <c r="Q28" s="263"/>
      <c r="R28" s="263">
        <v>307.18221902113908</v>
      </c>
      <c r="S28" s="263">
        <v>7.6079203528221192E-8</v>
      </c>
      <c r="T28" s="263">
        <v>54088.018411450481</v>
      </c>
      <c r="U28" s="263">
        <v>55220.46803676337</v>
      </c>
      <c r="V28" s="263">
        <v>54088.018411450481</v>
      </c>
      <c r="W28" s="263">
        <v>55220.46803676337</v>
      </c>
    </row>
    <row r="29" spans="1:32" x14ac:dyDescent="0.2">
      <c r="A29" s="8">
        <v>43888</v>
      </c>
      <c r="B29" s="7">
        <v>1</v>
      </c>
      <c r="C29" s="6">
        <v>0.25</v>
      </c>
      <c r="D29" s="55">
        <v>13547.0738096533</v>
      </c>
      <c r="E29" s="23">
        <f t="shared" si="4"/>
        <v>13358.415525123946</v>
      </c>
      <c r="F29" s="31" t="s">
        <v>54</v>
      </c>
      <c r="G29" s="31">
        <v>0.99995761091545365</v>
      </c>
      <c r="H29" s="31" t="s">
        <v>60</v>
      </c>
      <c r="I29" s="31">
        <v>4</v>
      </c>
      <c r="J29" s="263">
        <v>1801270305.9965706</v>
      </c>
      <c r="K29" s="263"/>
      <c r="L29" s="263"/>
      <c r="M29" s="263"/>
      <c r="N29" s="265"/>
      <c r="O29" s="265"/>
      <c r="P29" s="265"/>
      <c r="Q29" s="265"/>
      <c r="R29" s="265"/>
      <c r="S29" s="265"/>
      <c r="T29" s="265"/>
      <c r="U29" s="265"/>
      <c r="V29" s="265"/>
      <c r="W29" s="265"/>
    </row>
    <row r="30" spans="1:32" x14ac:dyDescent="0.2">
      <c r="A30" s="8">
        <v>43888</v>
      </c>
      <c r="B30" s="7">
        <v>1</v>
      </c>
      <c r="C30" s="6">
        <v>0.5</v>
      </c>
      <c r="D30" s="55">
        <v>27119.368854057499</v>
      </c>
      <c r="E30" s="23">
        <f t="shared" si="4"/>
        <v>26930.710569528146</v>
      </c>
      <c r="F30" s="31" t="s">
        <v>55</v>
      </c>
      <c r="G30" s="31">
        <v>138.16131811373938</v>
      </c>
      <c r="H30" s="13"/>
      <c r="I30" s="13"/>
      <c r="J30" s="265"/>
      <c r="K30" s="265"/>
      <c r="L30" s="265"/>
      <c r="M30" s="265"/>
      <c r="N30" s="265"/>
      <c r="O30" s="265"/>
      <c r="P30" s="265"/>
      <c r="Q30" s="265"/>
      <c r="R30" s="265"/>
      <c r="S30" s="265"/>
      <c r="T30" s="265"/>
      <c r="U30" s="265"/>
      <c r="V30" s="265"/>
      <c r="W30" s="265"/>
    </row>
    <row r="31" spans="1:32" x14ac:dyDescent="0.2">
      <c r="A31" s="244">
        <v>43888</v>
      </c>
      <c r="B31" s="245">
        <v>1</v>
      </c>
      <c r="C31" s="272">
        <v>1</v>
      </c>
      <c r="D31" s="246">
        <v>54711.496524871996</v>
      </c>
      <c r="E31" s="273">
        <f t="shared" si="4"/>
        <v>54522.838240342644</v>
      </c>
      <c r="F31" s="67" t="s">
        <v>56</v>
      </c>
      <c r="G31" s="67">
        <v>5</v>
      </c>
      <c r="H31" s="128"/>
      <c r="I31" s="128"/>
      <c r="J31" s="267"/>
      <c r="K31" s="267"/>
      <c r="L31" s="267"/>
      <c r="M31" s="267"/>
      <c r="N31" s="267"/>
      <c r="O31" s="267"/>
      <c r="P31" s="267"/>
      <c r="Q31" s="267"/>
      <c r="R31" s="267"/>
      <c r="S31" s="267"/>
      <c r="T31" s="267"/>
      <c r="U31" s="267"/>
      <c r="V31" s="267"/>
      <c r="W31" s="267"/>
      <c r="X31" s="128"/>
      <c r="Y31" s="128"/>
    </row>
    <row r="32" spans="1:32" x14ac:dyDescent="0.2">
      <c r="A32" s="8">
        <v>43888</v>
      </c>
      <c r="B32" s="7">
        <v>2</v>
      </c>
      <c r="C32" s="50">
        <v>0</v>
      </c>
      <c r="D32" s="55">
        <v>243.424012230203</v>
      </c>
      <c r="E32" s="23">
        <f>D32-$D$32</f>
        <v>0</v>
      </c>
      <c r="F32" s="247" t="s">
        <v>51</v>
      </c>
      <c r="G32" s="247"/>
      <c r="H32" s="127"/>
      <c r="I32" s="127" t="s">
        <v>62</v>
      </c>
      <c r="J32" s="268" t="s">
        <v>63</v>
      </c>
      <c r="K32" s="268" t="s">
        <v>64</v>
      </c>
      <c r="L32" s="268" t="s">
        <v>65</v>
      </c>
      <c r="M32" s="268" t="s">
        <v>66</v>
      </c>
      <c r="N32" s="268"/>
      <c r="O32" s="268" t="s">
        <v>67</v>
      </c>
      <c r="P32" s="268" t="s">
        <v>270</v>
      </c>
      <c r="Q32" s="268"/>
      <c r="R32" s="268" t="s">
        <v>68</v>
      </c>
      <c r="S32" s="268" t="s">
        <v>69</v>
      </c>
      <c r="T32" s="268" t="s">
        <v>70</v>
      </c>
      <c r="U32" s="268" t="s">
        <v>71</v>
      </c>
      <c r="V32" s="268" t="s">
        <v>72</v>
      </c>
      <c r="W32" s="268" t="s">
        <v>73</v>
      </c>
    </row>
    <row r="33" spans="1:30" x14ac:dyDescent="0.2">
      <c r="A33" s="8">
        <v>43888</v>
      </c>
      <c r="B33" s="7">
        <v>2</v>
      </c>
      <c r="C33" s="6">
        <v>0.05</v>
      </c>
      <c r="D33" s="55">
        <v>2597.6550739234599</v>
      </c>
      <c r="E33" s="23">
        <f t="shared" ref="E33:E37" si="5">D33-$D$32</f>
        <v>2354.2310616932568</v>
      </c>
      <c r="F33" s="31" t="s">
        <v>52</v>
      </c>
      <c r="G33" s="31">
        <v>0.99998360504832673</v>
      </c>
      <c r="H33" s="31" t="s">
        <v>58</v>
      </c>
      <c r="I33" s="31">
        <v>1</v>
      </c>
      <c r="J33" s="263">
        <v>1507688925.4729288</v>
      </c>
      <c r="K33" s="263">
        <v>1507688925.4729288</v>
      </c>
      <c r="L33" s="263">
        <v>91489.328017077423</v>
      </c>
      <c r="M33" s="263">
        <v>7.9688930945541017E-8</v>
      </c>
      <c r="N33" s="263" t="s">
        <v>61</v>
      </c>
      <c r="O33" s="263">
        <v>-126.22832744429979</v>
      </c>
      <c r="P33" s="263">
        <v>85.101053108046884</v>
      </c>
      <c r="Q33" s="263">
        <f>P33*SQRT(G37)</f>
        <v>190.29173970641259</v>
      </c>
      <c r="R33" s="263">
        <v>-1.4832757390679581</v>
      </c>
      <c r="S33" s="263">
        <v>0.23463685128988063</v>
      </c>
      <c r="T33" s="263">
        <v>-397.05785948375632</v>
      </c>
      <c r="U33" s="263">
        <v>144.60120459515673</v>
      </c>
      <c r="V33" s="263">
        <v>-397.05785948375632</v>
      </c>
      <c r="W33" s="263">
        <v>144.60120459515673</v>
      </c>
      <c r="X33" s="162">
        <f>3.3*Q33/O34</f>
        <v>1.2558467908464913E-2</v>
      </c>
      <c r="Y33" s="162">
        <f>10*Q33/O34</f>
        <v>3.805596335898459E-2</v>
      </c>
    </row>
    <row r="34" spans="1:30" x14ac:dyDescent="0.2">
      <c r="A34" s="8">
        <v>43888</v>
      </c>
      <c r="B34" s="7">
        <v>2</v>
      </c>
      <c r="C34" s="6">
        <v>0.1</v>
      </c>
      <c r="D34" s="55">
        <v>5160.3576206192301</v>
      </c>
      <c r="E34" s="23">
        <f t="shared" si="5"/>
        <v>4916.9336083890275</v>
      </c>
      <c r="F34" s="31" t="s">
        <v>53</v>
      </c>
      <c r="G34" s="31">
        <v>0.99996721036544789</v>
      </c>
      <c r="H34" s="31" t="s">
        <v>59</v>
      </c>
      <c r="I34" s="31">
        <v>3</v>
      </c>
      <c r="J34" s="263">
        <v>49438.189944673206</v>
      </c>
      <c r="K34" s="263">
        <v>16479.396648224403</v>
      </c>
      <c r="L34" s="263"/>
      <c r="M34" s="263"/>
      <c r="N34" s="263" t="s">
        <v>74</v>
      </c>
      <c r="O34" s="263">
        <v>50003.13299426352</v>
      </c>
      <c r="P34" s="263">
        <v>165.31489951112133</v>
      </c>
      <c r="Q34" s="263"/>
      <c r="R34" s="263">
        <v>302.47202848706104</v>
      </c>
      <c r="S34" s="263">
        <v>7.9688930945541017E-8</v>
      </c>
      <c r="T34" s="263">
        <v>49477.027203106001</v>
      </c>
      <c r="U34" s="263">
        <v>50529.238785421039</v>
      </c>
      <c r="V34" s="263">
        <v>49477.027203106001</v>
      </c>
      <c r="W34" s="263">
        <v>50529.238785421039</v>
      </c>
    </row>
    <row r="35" spans="1:30" x14ac:dyDescent="0.2">
      <c r="A35" s="8">
        <v>43888</v>
      </c>
      <c r="B35" s="7">
        <v>2</v>
      </c>
      <c r="C35" s="6">
        <v>0.25</v>
      </c>
      <c r="D35" s="55">
        <v>12714.0836598437</v>
      </c>
      <c r="E35" s="23">
        <f t="shared" si="5"/>
        <v>12470.659647613496</v>
      </c>
      <c r="F35" s="31" t="s">
        <v>54</v>
      </c>
      <c r="G35" s="31">
        <v>0.99995628048726382</v>
      </c>
      <c r="H35" s="31" t="s">
        <v>60</v>
      </c>
      <c r="I35" s="31">
        <v>4</v>
      </c>
      <c r="J35" s="263">
        <v>1507738363.6628735</v>
      </c>
      <c r="K35" s="263"/>
      <c r="L35" s="263"/>
      <c r="M35" s="263"/>
      <c r="N35" s="265"/>
      <c r="O35" s="265"/>
      <c r="P35" s="265"/>
      <c r="Q35" s="265"/>
      <c r="R35" s="265"/>
      <c r="S35" s="265"/>
      <c r="T35" s="265"/>
      <c r="U35" s="265"/>
      <c r="V35" s="265"/>
      <c r="W35" s="265"/>
    </row>
    <row r="36" spans="1:30" x14ac:dyDescent="0.2">
      <c r="A36" s="8">
        <v>43888</v>
      </c>
      <c r="B36" s="7">
        <v>2</v>
      </c>
      <c r="C36" s="6">
        <v>0.5</v>
      </c>
      <c r="D36" s="55">
        <v>24934.902341740901</v>
      </c>
      <c r="E36" s="23">
        <f t="shared" si="5"/>
        <v>24691.478329510697</v>
      </c>
      <c r="F36" s="31" t="s">
        <v>55</v>
      </c>
      <c r="G36" s="31">
        <v>128.37210229728421</v>
      </c>
      <c r="H36" s="13"/>
      <c r="I36" s="13"/>
      <c r="J36" s="265"/>
      <c r="K36" s="265"/>
      <c r="L36" s="265"/>
      <c r="M36" s="265"/>
      <c r="N36" s="265"/>
      <c r="O36" s="265"/>
      <c r="P36" s="265"/>
      <c r="Q36" s="265"/>
      <c r="R36" s="265"/>
      <c r="S36" s="265"/>
      <c r="T36" s="265"/>
      <c r="U36" s="265"/>
      <c r="V36" s="265"/>
      <c r="W36" s="265"/>
    </row>
    <row r="37" spans="1:30" x14ac:dyDescent="0.2">
      <c r="A37" s="244">
        <v>43888</v>
      </c>
      <c r="B37" s="245">
        <v>2</v>
      </c>
      <c r="C37" s="272">
        <v>1</v>
      </c>
      <c r="D37" s="246">
        <v>50184.932416902899</v>
      </c>
      <c r="E37" s="273">
        <f t="shared" si="5"/>
        <v>49941.508404672699</v>
      </c>
      <c r="F37" s="67" t="s">
        <v>56</v>
      </c>
      <c r="G37" s="67">
        <v>5</v>
      </c>
      <c r="H37" s="128"/>
      <c r="I37" s="128"/>
      <c r="J37" s="267"/>
      <c r="K37" s="267"/>
      <c r="L37" s="267"/>
      <c r="M37" s="267"/>
      <c r="N37" s="267"/>
      <c r="O37" s="267"/>
      <c r="P37" s="267"/>
      <c r="Q37" s="267"/>
      <c r="R37" s="267"/>
      <c r="S37" s="267"/>
      <c r="T37" s="267"/>
      <c r="U37" s="267"/>
      <c r="V37" s="267"/>
      <c r="W37" s="267"/>
      <c r="X37" s="128"/>
      <c r="Y37" s="128"/>
    </row>
    <row r="45" spans="1:30" x14ac:dyDescent="0.2">
      <c r="Y45" s="13"/>
      <c r="Z45" s="13"/>
      <c r="AA45" s="13"/>
      <c r="AB45" s="13"/>
      <c r="AC45" s="13"/>
      <c r="AD45" s="13"/>
    </row>
    <row r="46" spans="1:30" x14ac:dyDescent="0.2">
      <c r="G46" s="13"/>
      <c r="H46" s="13"/>
      <c r="I46" s="13"/>
      <c r="J46" s="122"/>
      <c r="K46" s="209"/>
      <c r="L46" s="122"/>
      <c r="M46" s="13"/>
      <c r="N46" s="13"/>
      <c r="Y46" s="13"/>
      <c r="Z46" s="13"/>
      <c r="AA46" s="13"/>
      <c r="AB46" s="122"/>
      <c r="AC46" s="209"/>
      <c r="AD46" s="122"/>
    </row>
    <row r="47" spans="1:30" x14ac:dyDescent="0.2">
      <c r="G47" s="13"/>
      <c r="H47" s="13"/>
      <c r="I47" s="13"/>
      <c r="J47" s="122"/>
      <c r="K47" s="209"/>
      <c r="L47" s="122"/>
      <c r="M47" s="13"/>
      <c r="N47" s="13"/>
      <c r="Y47" s="13"/>
      <c r="Z47" s="13"/>
      <c r="AA47" s="13"/>
      <c r="AB47" s="122"/>
      <c r="AC47" s="209"/>
      <c r="AD47" s="122"/>
    </row>
    <row r="48" spans="1:30" x14ac:dyDescent="0.2">
      <c r="G48" s="13"/>
      <c r="H48" s="13"/>
      <c r="I48" s="13"/>
      <c r="J48" s="13"/>
      <c r="K48" s="13"/>
      <c r="L48" s="13"/>
      <c r="M48" s="13"/>
      <c r="N48" s="13"/>
      <c r="Y48" s="13"/>
      <c r="Z48" s="13"/>
      <c r="AA48" s="13"/>
      <c r="AB48" s="13"/>
      <c r="AC48" s="13"/>
      <c r="AD48" s="13"/>
    </row>
    <row r="49" spans="7:30" x14ac:dyDescent="0.2">
      <c r="G49" s="13"/>
      <c r="H49" s="13"/>
      <c r="I49" s="13"/>
      <c r="J49" s="13"/>
      <c r="K49" s="13"/>
      <c r="L49" s="13"/>
      <c r="M49" s="13"/>
      <c r="N49" s="13"/>
      <c r="Y49" s="13"/>
      <c r="Z49" s="13"/>
      <c r="AA49" s="13"/>
      <c r="AB49" s="13"/>
      <c r="AC49" s="13"/>
      <c r="AD49" s="13"/>
    </row>
    <row r="50" spans="7:30" x14ac:dyDescent="0.2">
      <c r="G50" s="64"/>
      <c r="H50" s="64"/>
      <c r="I50" s="64"/>
      <c r="J50" s="13"/>
      <c r="K50" s="13"/>
      <c r="L50" s="13"/>
      <c r="M50" s="13"/>
      <c r="N50" s="13"/>
      <c r="Y50" s="64"/>
      <c r="Z50" s="64"/>
      <c r="AA50" s="64"/>
      <c r="AB50" s="13"/>
      <c r="AC50" s="13"/>
      <c r="AD50" s="13"/>
    </row>
    <row r="51" spans="7:30" x14ac:dyDescent="0.2">
      <c r="G51" s="31"/>
      <c r="H51" s="31"/>
      <c r="I51" s="31"/>
      <c r="J51" s="13"/>
      <c r="K51" s="13"/>
      <c r="L51" s="13"/>
      <c r="M51" s="13"/>
      <c r="N51" s="13"/>
      <c r="Y51" s="31"/>
      <c r="Z51" s="31"/>
      <c r="AA51" s="31"/>
      <c r="AB51" s="13"/>
      <c r="AC51" s="13"/>
      <c r="AD51" s="13"/>
    </row>
    <row r="52" spans="7:30" x14ac:dyDescent="0.2">
      <c r="G52" s="31"/>
      <c r="H52" s="31"/>
      <c r="I52" s="31"/>
      <c r="J52" s="13"/>
      <c r="K52" s="13"/>
      <c r="L52" s="13"/>
      <c r="M52" s="13"/>
      <c r="N52" s="13"/>
      <c r="Y52" s="31"/>
      <c r="Z52" s="31"/>
      <c r="AA52" s="31"/>
      <c r="AB52" s="13"/>
      <c r="AC52" s="13"/>
      <c r="AD52" s="13"/>
    </row>
    <row r="53" spans="7:30" x14ac:dyDescent="0.2">
      <c r="G53" s="31"/>
      <c r="H53" s="31"/>
      <c r="I53" s="31"/>
      <c r="J53" s="13"/>
      <c r="K53" s="13"/>
      <c r="L53" s="13"/>
      <c r="M53" s="13"/>
      <c r="N53" s="13"/>
      <c r="Y53" s="31"/>
      <c r="Z53" s="31"/>
      <c r="AA53" s="31"/>
      <c r="AB53" s="13"/>
      <c r="AC53" s="13"/>
      <c r="AD53" s="13"/>
    </row>
    <row r="54" spans="7:30" x14ac:dyDescent="0.2">
      <c r="G54" s="31"/>
      <c r="H54" s="31"/>
      <c r="I54" s="31"/>
      <c r="J54" s="13"/>
      <c r="K54" s="13"/>
      <c r="L54" s="13"/>
      <c r="M54" s="13"/>
      <c r="N54" s="13"/>
      <c r="Y54" s="31"/>
      <c r="Z54" s="31"/>
      <c r="AA54" s="31"/>
      <c r="AB54" s="13"/>
      <c r="AC54" s="13"/>
      <c r="AD54" s="13"/>
    </row>
    <row r="55" spans="7:30" x14ac:dyDescent="0.2">
      <c r="G55" s="31"/>
      <c r="H55" s="31"/>
      <c r="I55" s="31"/>
      <c r="J55" s="13"/>
      <c r="K55" s="13"/>
      <c r="L55" s="13"/>
      <c r="M55" s="13"/>
      <c r="N55" s="13"/>
      <c r="Y55" s="31"/>
      <c r="Z55" s="31"/>
      <c r="AA55" s="31"/>
      <c r="AB55" s="13"/>
      <c r="AC55" s="13"/>
      <c r="AD55" s="13"/>
    </row>
    <row r="56" spans="7:30" x14ac:dyDescent="0.2">
      <c r="Y56" s="13"/>
      <c r="Z56" s="13"/>
      <c r="AA56" s="13"/>
      <c r="AB56" s="13"/>
      <c r="AC56" s="13"/>
      <c r="AD56" s="13"/>
    </row>
    <row r="77" spans="7:33" x14ac:dyDescent="0.2">
      <c r="G77" s="13"/>
      <c r="H77" s="13"/>
      <c r="I77" s="13"/>
      <c r="J77" s="122"/>
      <c r="K77" s="209"/>
      <c r="L77" s="122"/>
      <c r="M77" s="13"/>
      <c r="N77" s="13"/>
      <c r="Y77" s="13"/>
      <c r="Z77" s="13"/>
      <c r="AA77" s="13"/>
      <c r="AB77" s="122"/>
      <c r="AC77" s="209"/>
      <c r="AD77" s="122"/>
      <c r="AE77" s="13"/>
      <c r="AF77" s="13"/>
      <c r="AG77" s="13"/>
    </row>
    <row r="78" spans="7:33" x14ac:dyDescent="0.2">
      <c r="G78" s="13"/>
      <c r="H78" s="13"/>
      <c r="I78" s="13"/>
      <c r="J78" s="122"/>
      <c r="K78" s="209"/>
      <c r="L78" s="122"/>
      <c r="M78" s="13"/>
      <c r="N78" s="13"/>
      <c r="Y78" s="13"/>
      <c r="Z78" s="13"/>
      <c r="AA78" s="13"/>
      <c r="AB78" s="122"/>
      <c r="AC78" s="209"/>
      <c r="AD78" s="122"/>
      <c r="AE78" s="13"/>
      <c r="AF78" s="13"/>
      <c r="AG78" s="13"/>
    </row>
    <row r="79" spans="7:33" x14ac:dyDescent="0.2">
      <c r="G79" s="13"/>
      <c r="H79" s="13"/>
      <c r="I79" s="13"/>
      <c r="J79" s="13"/>
      <c r="K79" s="13"/>
      <c r="L79" s="13"/>
      <c r="M79" s="13"/>
      <c r="N79" s="13"/>
      <c r="Y79" s="13"/>
      <c r="Z79" s="13"/>
      <c r="AA79" s="13"/>
      <c r="AB79" s="13"/>
      <c r="AC79" s="13"/>
      <c r="AD79" s="13"/>
      <c r="AE79" s="13"/>
      <c r="AF79" s="13"/>
      <c r="AG79" s="13"/>
    </row>
    <row r="80" spans="7:33" x14ac:dyDescent="0.2">
      <c r="G80" s="13"/>
      <c r="H80" s="13"/>
      <c r="I80" s="13"/>
      <c r="J80" s="13"/>
      <c r="K80" s="13"/>
      <c r="L80" s="13"/>
      <c r="M80" s="13"/>
      <c r="N80" s="13"/>
      <c r="Y80" s="13"/>
      <c r="Z80" s="13"/>
      <c r="AA80" s="13"/>
      <c r="AB80" s="13"/>
      <c r="AC80" s="13"/>
      <c r="AD80" s="13"/>
      <c r="AE80" s="13"/>
      <c r="AF80" s="13"/>
      <c r="AG80" s="13"/>
    </row>
    <row r="81" spans="7:33" x14ac:dyDescent="0.2">
      <c r="G81" s="64"/>
      <c r="H81" s="64"/>
      <c r="I81" s="64"/>
      <c r="J81" s="13"/>
      <c r="K81" s="13"/>
      <c r="L81" s="13"/>
      <c r="M81" s="13"/>
      <c r="N81" s="13"/>
      <c r="Y81" s="64"/>
      <c r="Z81" s="64"/>
      <c r="AA81" s="64"/>
      <c r="AB81" s="13"/>
      <c r="AC81" s="13"/>
      <c r="AD81" s="13"/>
      <c r="AE81" s="13"/>
      <c r="AF81" s="13"/>
      <c r="AG81" s="13"/>
    </row>
    <row r="82" spans="7:33" x14ac:dyDescent="0.2">
      <c r="G82" s="31"/>
      <c r="H82" s="31"/>
      <c r="I82" s="31"/>
      <c r="J82" s="13"/>
      <c r="K82" s="13"/>
      <c r="L82" s="13"/>
      <c r="M82" s="13"/>
      <c r="N82" s="13"/>
      <c r="Y82" s="31"/>
      <c r="Z82" s="31"/>
      <c r="AA82" s="31"/>
      <c r="AB82" s="13"/>
      <c r="AC82" s="13"/>
      <c r="AD82" s="13"/>
      <c r="AE82" s="13"/>
      <c r="AF82" s="13"/>
      <c r="AG82" s="13"/>
    </row>
    <row r="83" spans="7:33" x14ac:dyDescent="0.2">
      <c r="G83" s="31"/>
      <c r="H83" s="31"/>
      <c r="I83" s="31"/>
      <c r="J83" s="13"/>
      <c r="K83" s="13"/>
      <c r="L83" s="13"/>
      <c r="M83" s="13"/>
      <c r="N83" s="13"/>
      <c r="Y83" s="31"/>
      <c r="Z83" s="31"/>
      <c r="AA83" s="31"/>
      <c r="AB83" s="13"/>
      <c r="AC83" s="13"/>
      <c r="AD83" s="13"/>
      <c r="AE83" s="13"/>
      <c r="AF83" s="13"/>
      <c r="AG83" s="13"/>
    </row>
    <row r="84" spans="7:33" x14ac:dyDescent="0.2">
      <c r="G84" s="31"/>
      <c r="H84" s="31"/>
      <c r="I84" s="31"/>
      <c r="J84" s="13"/>
      <c r="K84" s="13"/>
      <c r="L84" s="13"/>
      <c r="M84" s="13"/>
      <c r="N84" s="13"/>
      <c r="Y84" s="31"/>
      <c r="Z84" s="31"/>
      <c r="AA84" s="31"/>
      <c r="AB84" s="13"/>
      <c r="AC84" s="13"/>
      <c r="AD84" s="13"/>
      <c r="AE84" s="13"/>
      <c r="AF84" s="13"/>
      <c r="AG84" s="13"/>
    </row>
    <row r="85" spans="7:33" x14ac:dyDescent="0.2">
      <c r="G85" s="31"/>
      <c r="H85" s="31"/>
      <c r="I85" s="31"/>
      <c r="J85" s="13"/>
      <c r="K85" s="13"/>
      <c r="L85" s="13"/>
      <c r="M85" s="13"/>
      <c r="N85" s="13"/>
      <c r="Y85" s="31"/>
      <c r="Z85" s="31"/>
      <c r="AA85" s="31"/>
      <c r="AB85" s="13"/>
      <c r="AC85" s="13"/>
      <c r="AD85" s="13"/>
      <c r="AE85" s="13"/>
      <c r="AF85" s="13"/>
      <c r="AG85" s="13"/>
    </row>
    <row r="86" spans="7:33" x14ac:dyDescent="0.2">
      <c r="G86" s="31"/>
      <c r="H86" s="31"/>
      <c r="I86" s="31"/>
      <c r="J86" s="13"/>
      <c r="K86" s="13"/>
      <c r="L86" s="13"/>
      <c r="M86" s="13"/>
      <c r="N86" s="13"/>
      <c r="Y86" s="31"/>
      <c r="Z86" s="31"/>
      <c r="AA86" s="31"/>
      <c r="AB86" s="13"/>
      <c r="AC86" s="13"/>
      <c r="AD86" s="13"/>
      <c r="AE86" s="13"/>
      <c r="AF86" s="13"/>
      <c r="AG86" s="13"/>
    </row>
    <row r="87" spans="7:33" x14ac:dyDescent="0.2">
      <c r="G87" s="13"/>
      <c r="H87" s="13"/>
      <c r="I87" s="13"/>
      <c r="J87" s="13"/>
      <c r="K87" s="13"/>
      <c r="L87" s="13"/>
      <c r="M87" s="13"/>
      <c r="N87" s="13"/>
      <c r="Y87" s="13"/>
      <c r="Z87" s="13"/>
      <c r="AA87" s="13"/>
      <c r="AB87" s="13"/>
      <c r="AC87" s="13"/>
      <c r="AD87" s="13"/>
      <c r="AE87" s="13"/>
      <c r="AF87" s="13"/>
      <c r="AG87" s="13"/>
    </row>
    <row r="88" spans="7:33" x14ac:dyDescent="0.2">
      <c r="G88" s="13"/>
      <c r="H88" s="13"/>
      <c r="I88" s="13"/>
      <c r="J88" s="13"/>
      <c r="K88" s="13"/>
      <c r="L88" s="13"/>
      <c r="M88" s="13"/>
      <c r="N88" s="13"/>
    </row>
    <row r="89" spans="7:33" x14ac:dyDescent="0.2">
      <c r="G89" s="13"/>
      <c r="H89" s="13"/>
      <c r="I89" s="13"/>
      <c r="J89" s="13"/>
      <c r="K89" s="13"/>
      <c r="L89" s="13"/>
      <c r="M89" s="13"/>
      <c r="N89" s="13"/>
    </row>
    <row r="90" spans="7:33" x14ac:dyDescent="0.2">
      <c r="G90" s="13"/>
      <c r="H90" s="13"/>
      <c r="I90" s="13"/>
      <c r="J90" s="13"/>
      <c r="K90" s="13"/>
      <c r="L90" s="13"/>
      <c r="M90" s="13"/>
      <c r="N90" s="13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B3909-B4C3-0D45-B4C0-D57B6C733333}">
  <dimension ref="A1:AH88"/>
  <sheetViews>
    <sheetView workbookViewId="0">
      <selection sqref="A1:XFD1"/>
    </sheetView>
  </sheetViews>
  <sheetFormatPr baseColWidth="10" defaultRowHeight="14" x14ac:dyDescent="0.2"/>
  <cols>
    <col min="1" max="5" width="10.83203125" style="135"/>
    <col min="6" max="6" width="14.5" style="135" customWidth="1"/>
    <col min="7" max="14" width="10.83203125" style="135"/>
    <col min="15" max="15" width="15" style="135" bestFit="1" customWidth="1"/>
    <col min="16" max="16" width="7.6640625" style="135" customWidth="1"/>
    <col min="17" max="17" width="6.1640625" style="135" customWidth="1"/>
    <col min="18" max="18" width="7.6640625" style="135" customWidth="1"/>
    <col min="19" max="19" width="6.83203125" style="135" customWidth="1"/>
    <col min="20" max="20" width="9.83203125" style="135" customWidth="1"/>
    <col min="21" max="21" width="9.1640625" style="135" customWidth="1"/>
    <col min="22" max="23" width="10.33203125" style="135" customWidth="1"/>
    <col min="24" max="16384" width="10.83203125" style="135"/>
  </cols>
  <sheetData>
    <row r="1" spans="1:25" ht="30" x14ac:dyDescent="0.2">
      <c r="A1" s="243" t="s">
        <v>2</v>
      </c>
      <c r="B1" s="120" t="s">
        <v>3</v>
      </c>
      <c r="C1" s="120" t="s">
        <v>4</v>
      </c>
      <c r="D1" s="121" t="s">
        <v>241</v>
      </c>
      <c r="E1" s="120" t="s">
        <v>244</v>
      </c>
      <c r="F1" s="141" t="s">
        <v>50</v>
      </c>
      <c r="G1" s="141"/>
      <c r="H1" s="141" t="s">
        <v>57</v>
      </c>
      <c r="I1" s="141"/>
      <c r="J1" s="141"/>
      <c r="K1" s="141"/>
      <c r="L1" s="141"/>
      <c r="M1" s="141"/>
      <c r="N1" s="141"/>
      <c r="O1" s="141"/>
      <c r="P1" s="141"/>
      <c r="Q1" s="141"/>
      <c r="R1" s="141"/>
      <c r="S1" s="141"/>
      <c r="T1" s="141"/>
      <c r="U1" s="141"/>
      <c r="V1" s="141"/>
      <c r="W1" s="141"/>
      <c r="X1" s="141"/>
      <c r="Y1" s="141"/>
    </row>
    <row r="2" spans="1:25" x14ac:dyDescent="0.2">
      <c r="A2" s="109">
        <v>43838</v>
      </c>
      <c r="B2" s="110">
        <v>1</v>
      </c>
      <c r="C2" s="135">
        <v>0</v>
      </c>
      <c r="D2" s="135">
        <v>6</v>
      </c>
      <c r="E2" s="135">
        <f>D2-$D$2</f>
        <v>0</v>
      </c>
      <c r="F2" s="213" t="s">
        <v>51</v>
      </c>
      <c r="G2" s="213"/>
      <c r="H2" s="146"/>
      <c r="I2" s="146" t="s">
        <v>62</v>
      </c>
      <c r="J2" s="146" t="s">
        <v>63</v>
      </c>
      <c r="K2" s="146" t="s">
        <v>64</v>
      </c>
      <c r="L2" s="146" t="s">
        <v>65</v>
      </c>
      <c r="M2" s="146" t="s">
        <v>66</v>
      </c>
      <c r="N2" s="146"/>
      <c r="O2" s="146" t="s">
        <v>67</v>
      </c>
      <c r="P2" s="146" t="s">
        <v>270</v>
      </c>
      <c r="Q2" s="146" t="s">
        <v>271</v>
      </c>
      <c r="R2" s="146" t="s">
        <v>68</v>
      </c>
      <c r="S2" s="146" t="s">
        <v>69</v>
      </c>
      <c r="T2" s="146" t="s">
        <v>70</v>
      </c>
      <c r="U2" s="146" t="s">
        <v>71</v>
      </c>
      <c r="V2" s="146" t="s">
        <v>72</v>
      </c>
      <c r="W2" s="146" t="s">
        <v>73</v>
      </c>
      <c r="X2" s="178" t="s">
        <v>272</v>
      </c>
      <c r="Y2" s="178" t="s">
        <v>273</v>
      </c>
    </row>
    <row r="3" spans="1:25" x14ac:dyDescent="0.2">
      <c r="A3" s="109">
        <v>43838</v>
      </c>
      <c r="B3" s="110">
        <v>1</v>
      </c>
      <c r="C3" s="135">
        <v>0.01</v>
      </c>
      <c r="D3" s="135">
        <v>204</v>
      </c>
      <c r="E3" s="135">
        <f t="shared" ref="E3:E7" si="0">D3-$D$2</f>
        <v>198</v>
      </c>
      <c r="F3" s="133" t="s">
        <v>52</v>
      </c>
      <c r="G3" s="133">
        <v>0.99989119944097138</v>
      </c>
      <c r="H3" s="133" t="s">
        <v>58</v>
      </c>
      <c r="I3" s="133">
        <v>1</v>
      </c>
      <c r="J3" s="133">
        <v>10512128.175787728</v>
      </c>
      <c r="K3" s="133">
        <v>10512128.175787728</v>
      </c>
      <c r="L3" s="133">
        <v>13784.443908846124</v>
      </c>
      <c r="M3" s="133">
        <v>1.3623022057073275E-6</v>
      </c>
      <c r="N3" s="133" t="s">
        <v>61</v>
      </c>
      <c r="O3" s="283">
        <v>-23.610281923714183</v>
      </c>
      <c r="P3" s="283">
        <v>18.306907175512251</v>
      </c>
      <c r="Q3" s="283">
        <f>P3*SQRT(G7)</f>
        <v>40.935488902224066</v>
      </c>
      <c r="R3" s="283">
        <v>-1.2896925568779771</v>
      </c>
      <c r="S3" s="283">
        <v>0.28758553231722767</v>
      </c>
      <c r="T3" s="283">
        <v>-81.871031025594959</v>
      </c>
      <c r="U3" s="283">
        <v>34.6504671781666</v>
      </c>
      <c r="V3" s="283">
        <v>-81.871031025594959</v>
      </c>
      <c r="W3" s="283">
        <v>34.6504671781666</v>
      </c>
      <c r="X3" s="162">
        <f>3.3*Q3/O4</f>
        <v>6.4707891620555021E-3</v>
      </c>
      <c r="Y3" s="162">
        <f>10*Q3/O4</f>
        <v>1.9608452006228794E-2</v>
      </c>
    </row>
    <row r="4" spans="1:25" x14ac:dyDescent="0.2">
      <c r="A4" s="109">
        <v>43838</v>
      </c>
      <c r="B4" s="110">
        <v>1</v>
      </c>
      <c r="C4" s="135">
        <v>0.02</v>
      </c>
      <c r="D4" s="135">
        <v>391</v>
      </c>
      <c r="E4" s="135">
        <f t="shared" si="0"/>
        <v>385</v>
      </c>
      <c r="F4" s="133" t="s">
        <v>53</v>
      </c>
      <c r="G4" s="133">
        <v>0.99978241071950436</v>
      </c>
      <c r="H4" s="133" t="s">
        <v>59</v>
      </c>
      <c r="I4" s="133">
        <v>3</v>
      </c>
      <c r="J4" s="133">
        <v>2287.8242122719807</v>
      </c>
      <c r="K4" s="133">
        <v>762.60807075732691</v>
      </c>
      <c r="L4" s="133"/>
      <c r="M4" s="133"/>
      <c r="N4" s="133" t="s">
        <v>74</v>
      </c>
      <c r="O4" s="283">
        <v>20876.45107794361</v>
      </c>
      <c r="P4" s="283">
        <v>177.81240123061801</v>
      </c>
      <c r="Q4" s="283"/>
      <c r="R4" s="283">
        <v>117.40717145407311</v>
      </c>
      <c r="S4" s="283">
        <v>1.3623022057073275E-6</v>
      </c>
      <c r="T4" s="283">
        <v>20310.572658613604</v>
      </c>
      <c r="U4" s="283">
        <v>21442.329497273615</v>
      </c>
      <c r="V4" s="283">
        <v>20310.572658613604</v>
      </c>
      <c r="W4" s="283">
        <v>21442.329497273615</v>
      </c>
      <c r="X4" s="137"/>
    </row>
    <row r="5" spans="1:25" x14ac:dyDescent="0.2">
      <c r="A5" s="109">
        <v>43838</v>
      </c>
      <c r="B5" s="110">
        <v>1</v>
      </c>
      <c r="C5" s="135">
        <v>0.05</v>
      </c>
      <c r="D5" s="135">
        <v>1046</v>
      </c>
      <c r="E5" s="135">
        <f t="shared" si="0"/>
        <v>1040</v>
      </c>
      <c r="F5" s="133" t="s">
        <v>54</v>
      </c>
      <c r="G5" s="133">
        <v>0.9997098809593391</v>
      </c>
      <c r="H5" s="133" t="s">
        <v>60</v>
      </c>
      <c r="I5" s="133">
        <v>4</v>
      </c>
      <c r="J5" s="133">
        <v>10514416</v>
      </c>
      <c r="K5" s="133"/>
      <c r="L5" s="133"/>
      <c r="M5" s="133"/>
      <c r="N5" s="137"/>
      <c r="O5" s="284"/>
      <c r="P5" s="284"/>
      <c r="Q5" s="284"/>
      <c r="R5" s="284"/>
      <c r="S5" s="284"/>
      <c r="T5" s="284"/>
      <c r="U5" s="284"/>
      <c r="V5" s="284"/>
      <c r="W5" s="284"/>
      <c r="X5" s="137"/>
    </row>
    <row r="6" spans="1:25" x14ac:dyDescent="0.2">
      <c r="A6" s="109">
        <v>43838</v>
      </c>
      <c r="B6" s="110">
        <v>1</v>
      </c>
      <c r="C6" s="135">
        <v>0.1</v>
      </c>
      <c r="D6" s="135">
        <v>2032</v>
      </c>
      <c r="E6" s="135">
        <f t="shared" si="0"/>
        <v>2026</v>
      </c>
      <c r="F6" s="133" t="s">
        <v>55</v>
      </c>
      <c r="G6" s="133">
        <v>27.615359326963805</v>
      </c>
      <c r="H6" s="137"/>
      <c r="I6" s="137"/>
      <c r="J6" s="137"/>
      <c r="K6" s="137"/>
      <c r="L6" s="137"/>
      <c r="M6" s="137"/>
      <c r="N6" s="137"/>
      <c r="O6" s="284"/>
      <c r="P6" s="284"/>
      <c r="Q6" s="284"/>
      <c r="R6" s="284"/>
      <c r="S6" s="284"/>
      <c r="T6" s="284"/>
      <c r="U6" s="284"/>
      <c r="V6" s="284"/>
      <c r="W6" s="284"/>
      <c r="X6" s="137"/>
    </row>
    <row r="7" spans="1:25" x14ac:dyDescent="0.2">
      <c r="A7" s="123">
        <v>43838</v>
      </c>
      <c r="B7" s="124">
        <v>1</v>
      </c>
      <c r="C7" s="141">
        <v>0.2</v>
      </c>
      <c r="D7" s="141">
        <v>4172</v>
      </c>
      <c r="E7" s="141">
        <f t="shared" si="0"/>
        <v>4166</v>
      </c>
      <c r="F7" s="148" t="s">
        <v>56</v>
      </c>
      <c r="G7" s="148">
        <v>5</v>
      </c>
      <c r="H7" s="141"/>
      <c r="I7" s="141"/>
      <c r="J7" s="141"/>
      <c r="K7" s="141"/>
      <c r="L7" s="141"/>
      <c r="M7" s="141"/>
      <c r="N7" s="141"/>
      <c r="O7" s="285"/>
      <c r="P7" s="285"/>
      <c r="Q7" s="285"/>
      <c r="R7" s="285"/>
      <c r="S7" s="285"/>
      <c r="T7" s="285"/>
      <c r="U7" s="285"/>
      <c r="V7" s="285"/>
      <c r="W7" s="285"/>
      <c r="X7" s="141"/>
      <c r="Y7" s="141"/>
    </row>
    <row r="8" spans="1:25" x14ac:dyDescent="0.2">
      <c r="A8" s="109">
        <v>43838</v>
      </c>
      <c r="B8" s="110">
        <v>2</v>
      </c>
      <c r="C8" s="135">
        <v>0</v>
      </c>
      <c r="D8" s="135">
        <v>5</v>
      </c>
      <c r="E8" s="135">
        <f>D8-$D$8</f>
        <v>0</v>
      </c>
      <c r="F8" s="213" t="s">
        <v>51</v>
      </c>
      <c r="G8" s="213"/>
      <c r="H8" s="146"/>
      <c r="I8" s="146" t="s">
        <v>62</v>
      </c>
      <c r="J8" s="146" t="s">
        <v>63</v>
      </c>
      <c r="K8" s="146" t="s">
        <v>64</v>
      </c>
      <c r="L8" s="146" t="s">
        <v>65</v>
      </c>
      <c r="M8" s="146" t="s">
        <v>66</v>
      </c>
      <c r="N8" s="146"/>
      <c r="O8" s="286" t="s">
        <v>67</v>
      </c>
      <c r="P8" s="286" t="s">
        <v>270</v>
      </c>
      <c r="Q8" s="286" t="s">
        <v>271</v>
      </c>
      <c r="R8" s="286" t="s">
        <v>68</v>
      </c>
      <c r="S8" s="286" t="s">
        <v>69</v>
      </c>
      <c r="T8" s="286" t="s">
        <v>70</v>
      </c>
      <c r="U8" s="286" t="s">
        <v>71</v>
      </c>
      <c r="V8" s="286" t="s">
        <v>72</v>
      </c>
      <c r="W8" s="286" t="s">
        <v>73</v>
      </c>
    </row>
    <row r="9" spans="1:25" x14ac:dyDescent="0.2">
      <c r="A9" s="109">
        <v>43838</v>
      </c>
      <c r="B9" s="110">
        <v>2</v>
      </c>
      <c r="C9" s="135">
        <v>0.01</v>
      </c>
      <c r="D9" s="135">
        <v>209</v>
      </c>
      <c r="E9" s="135">
        <f t="shared" ref="E9:E13" si="1">D9-$D$8</f>
        <v>204</v>
      </c>
      <c r="F9" s="133" t="s">
        <v>52</v>
      </c>
      <c r="G9" s="133">
        <v>0.99997098591307132</v>
      </c>
      <c r="H9" s="133" t="s">
        <v>58</v>
      </c>
      <c r="I9" s="133">
        <v>1</v>
      </c>
      <c r="J9" s="133">
        <v>8549129.088059701</v>
      </c>
      <c r="K9" s="133">
        <v>8549129.088059701</v>
      </c>
      <c r="L9" s="133">
        <v>51696.774822123392</v>
      </c>
      <c r="M9" s="133">
        <v>1.8760539752564731E-7</v>
      </c>
      <c r="N9" s="133" t="s">
        <v>61</v>
      </c>
      <c r="O9" s="283">
        <v>11.577114427861261</v>
      </c>
      <c r="P9" s="283">
        <v>8.5249824453343983</v>
      </c>
      <c r="Q9" s="283">
        <f>P9*SQRT(G13)</f>
        <v>19.062440254760102</v>
      </c>
      <c r="R9" s="283">
        <v>1.3580220841624431</v>
      </c>
      <c r="S9" s="283">
        <v>0.2675673604073448</v>
      </c>
      <c r="T9" s="283">
        <v>-15.553184457901676</v>
      </c>
      <c r="U9" s="283">
        <v>38.707413313624201</v>
      </c>
      <c r="V9" s="283">
        <v>-15.553184457901676</v>
      </c>
      <c r="W9" s="283">
        <v>38.707413313624201</v>
      </c>
      <c r="X9" s="162">
        <f>3.3*Q9/O10</f>
        <v>3.3413359990968586E-3</v>
      </c>
      <c r="Y9" s="162">
        <f>10*Q9/O10</f>
        <v>1.0125260603323815E-2</v>
      </c>
    </row>
    <row r="10" spans="1:25" x14ac:dyDescent="0.2">
      <c r="A10" s="109">
        <v>43838</v>
      </c>
      <c r="B10" s="110">
        <v>2</v>
      </c>
      <c r="C10" s="135">
        <v>0.02</v>
      </c>
      <c r="D10" s="135">
        <v>381</v>
      </c>
      <c r="E10" s="135">
        <f t="shared" si="1"/>
        <v>376</v>
      </c>
      <c r="F10" s="133" t="s">
        <v>53</v>
      </c>
      <c r="G10" s="133">
        <v>0.99994197266795992</v>
      </c>
      <c r="H10" s="133" t="s">
        <v>59</v>
      </c>
      <c r="I10" s="133">
        <v>3</v>
      </c>
      <c r="J10" s="133">
        <v>496.11194029851595</v>
      </c>
      <c r="K10" s="133">
        <v>165.37064676617197</v>
      </c>
      <c r="L10" s="133"/>
      <c r="M10" s="133"/>
      <c r="N10" s="133" t="s">
        <v>74</v>
      </c>
      <c r="O10" s="283">
        <v>18826.616915422881</v>
      </c>
      <c r="P10" s="283">
        <v>82.801949259971593</v>
      </c>
      <c r="Q10" s="283"/>
      <c r="R10" s="283">
        <v>227.36924774938976</v>
      </c>
      <c r="S10" s="283">
        <v>1.8760539752564731E-7</v>
      </c>
      <c r="T10" s="283">
        <v>18563.104157930196</v>
      </c>
      <c r="U10" s="283">
        <v>19090.129672915566</v>
      </c>
      <c r="V10" s="283">
        <v>18563.104157930196</v>
      </c>
      <c r="W10" s="283">
        <v>19090.129672915566</v>
      </c>
    </row>
    <row r="11" spans="1:25" x14ac:dyDescent="0.2">
      <c r="A11" s="109">
        <v>43838</v>
      </c>
      <c r="B11" s="110">
        <v>2</v>
      </c>
      <c r="C11" s="135">
        <v>0.05</v>
      </c>
      <c r="D11" s="135">
        <v>956</v>
      </c>
      <c r="E11" s="135">
        <f t="shared" si="1"/>
        <v>951</v>
      </c>
      <c r="F11" s="133" t="s">
        <v>54</v>
      </c>
      <c r="G11" s="133">
        <v>0.99992263022394656</v>
      </c>
      <c r="H11" s="133" t="s">
        <v>60</v>
      </c>
      <c r="I11" s="133">
        <v>4</v>
      </c>
      <c r="J11" s="133">
        <v>8549625.1999999993</v>
      </c>
      <c r="K11" s="133"/>
      <c r="L11" s="133"/>
      <c r="M11" s="133"/>
      <c r="N11" s="137"/>
      <c r="O11" s="284"/>
      <c r="P11" s="284"/>
      <c r="Q11" s="284"/>
      <c r="R11" s="284"/>
      <c r="S11" s="284"/>
      <c r="T11" s="284"/>
      <c r="U11" s="284"/>
      <c r="V11" s="284"/>
      <c r="W11" s="284"/>
    </row>
    <row r="12" spans="1:25" x14ac:dyDescent="0.2">
      <c r="A12" s="109">
        <v>43838</v>
      </c>
      <c r="B12" s="110">
        <v>2</v>
      </c>
      <c r="C12" s="135">
        <v>0.1</v>
      </c>
      <c r="D12" s="135">
        <v>1916</v>
      </c>
      <c r="E12" s="135">
        <f t="shared" si="1"/>
        <v>1911</v>
      </c>
      <c r="F12" s="133" t="s">
        <v>55</v>
      </c>
      <c r="G12" s="133">
        <v>12.859651891329406</v>
      </c>
      <c r="H12" s="137"/>
      <c r="I12" s="137"/>
      <c r="J12" s="137"/>
      <c r="K12" s="137"/>
      <c r="L12" s="137"/>
      <c r="M12" s="137"/>
      <c r="N12" s="137"/>
      <c r="O12" s="284"/>
      <c r="P12" s="284"/>
      <c r="Q12" s="284"/>
      <c r="R12" s="284"/>
      <c r="S12" s="284"/>
      <c r="T12" s="284"/>
      <c r="U12" s="284"/>
      <c r="V12" s="284"/>
      <c r="W12" s="284"/>
    </row>
    <row r="13" spans="1:25" x14ac:dyDescent="0.2">
      <c r="A13" s="123">
        <v>43838</v>
      </c>
      <c r="B13" s="124">
        <v>2</v>
      </c>
      <c r="C13" s="141">
        <v>0.2</v>
      </c>
      <c r="D13" s="141">
        <v>3775</v>
      </c>
      <c r="E13" s="141">
        <f t="shared" si="1"/>
        <v>3770</v>
      </c>
      <c r="F13" s="148" t="s">
        <v>56</v>
      </c>
      <c r="G13" s="148">
        <v>5</v>
      </c>
      <c r="H13" s="141"/>
      <c r="I13" s="141"/>
      <c r="J13" s="141"/>
      <c r="K13" s="141"/>
      <c r="L13" s="141"/>
      <c r="M13" s="141"/>
      <c r="N13" s="141"/>
      <c r="O13" s="285"/>
      <c r="P13" s="285"/>
      <c r="Q13" s="285"/>
      <c r="R13" s="285"/>
      <c r="S13" s="285"/>
      <c r="T13" s="285"/>
      <c r="U13" s="285"/>
      <c r="V13" s="285"/>
      <c r="W13" s="285"/>
      <c r="X13" s="141"/>
      <c r="Y13" s="141"/>
    </row>
    <row r="14" spans="1:25" x14ac:dyDescent="0.2">
      <c r="A14" s="109">
        <v>43838</v>
      </c>
      <c r="B14" s="110">
        <v>3</v>
      </c>
      <c r="C14" s="135">
        <v>0</v>
      </c>
      <c r="D14" s="135">
        <v>5</v>
      </c>
      <c r="E14" s="135">
        <f>D14-$D$8</f>
        <v>0</v>
      </c>
      <c r="F14" s="213" t="s">
        <v>51</v>
      </c>
      <c r="G14" s="213"/>
      <c r="H14" s="146"/>
      <c r="I14" s="146" t="s">
        <v>62</v>
      </c>
      <c r="J14" s="146" t="s">
        <v>63</v>
      </c>
      <c r="K14" s="146" t="s">
        <v>64</v>
      </c>
      <c r="L14" s="146" t="s">
        <v>65</v>
      </c>
      <c r="M14" s="146" t="s">
        <v>66</v>
      </c>
      <c r="N14" s="146"/>
      <c r="O14" s="286" t="s">
        <v>67</v>
      </c>
      <c r="P14" s="286" t="s">
        <v>270</v>
      </c>
      <c r="Q14" s="286" t="s">
        <v>271</v>
      </c>
      <c r="R14" s="286" t="s">
        <v>68</v>
      </c>
      <c r="S14" s="286" t="s">
        <v>69</v>
      </c>
      <c r="T14" s="286" t="s">
        <v>70</v>
      </c>
      <c r="U14" s="286" t="s">
        <v>71</v>
      </c>
      <c r="V14" s="286" t="s">
        <v>72</v>
      </c>
      <c r="W14" s="286" t="s">
        <v>73</v>
      </c>
    </row>
    <row r="15" spans="1:25" x14ac:dyDescent="0.2">
      <c r="A15" s="109">
        <v>43838</v>
      </c>
      <c r="B15" s="110">
        <v>3</v>
      </c>
      <c r="C15" s="135">
        <v>0.01</v>
      </c>
      <c r="D15" s="135">
        <v>193</v>
      </c>
      <c r="E15" s="135">
        <f t="shared" ref="E15:E19" si="2">D15-$D$8</f>
        <v>188</v>
      </c>
      <c r="F15" s="133" t="s">
        <v>52</v>
      </c>
      <c r="G15" s="133">
        <v>0.99976347632673679</v>
      </c>
      <c r="H15" s="133" t="s">
        <v>58</v>
      </c>
      <c r="I15" s="133">
        <v>1</v>
      </c>
      <c r="J15" s="133">
        <v>8182267.2265339969</v>
      </c>
      <c r="K15" s="133">
        <v>8182267.2265339969</v>
      </c>
      <c r="L15" s="133">
        <v>6339.6099934898057</v>
      </c>
      <c r="M15" s="133">
        <v>4.3664689001049303E-6</v>
      </c>
      <c r="N15" s="133" t="s">
        <v>61</v>
      </c>
      <c r="O15" s="283">
        <v>13.61359867330043</v>
      </c>
      <c r="P15" s="283">
        <v>23.81605583368335</v>
      </c>
      <c r="Q15" s="283">
        <f>P15*SQRT(G19)</f>
        <v>53.254319800046396</v>
      </c>
      <c r="R15" s="283">
        <v>0.57161432473829465</v>
      </c>
      <c r="S15" s="283">
        <v>0.60760346412981203</v>
      </c>
      <c r="T15" s="283">
        <v>-62.17972022103568</v>
      </c>
      <c r="U15" s="283">
        <v>89.40691756763654</v>
      </c>
      <c r="V15" s="283">
        <v>-62.17972022103568</v>
      </c>
      <c r="W15" s="283">
        <v>89.40691756763654</v>
      </c>
      <c r="X15" s="162">
        <f>3.3*Q15/O16</f>
        <v>9.5415867686618576E-3</v>
      </c>
      <c r="Y15" s="162">
        <f>10*Q15/O16</f>
        <v>2.8913899298975327E-2</v>
      </c>
    </row>
    <row r="16" spans="1:25" x14ac:dyDescent="0.2">
      <c r="A16" s="109">
        <v>43838</v>
      </c>
      <c r="B16" s="110">
        <v>3</v>
      </c>
      <c r="C16" s="135">
        <v>0.02</v>
      </c>
      <c r="D16" s="135">
        <v>363</v>
      </c>
      <c r="E16" s="135">
        <f t="shared" si="2"/>
        <v>358</v>
      </c>
      <c r="F16" s="133" t="s">
        <v>53</v>
      </c>
      <c r="G16" s="133">
        <v>0.99952700859692156</v>
      </c>
      <c r="H16" s="133" t="s">
        <v>59</v>
      </c>
      <c r="I16" s="133">
        <v>3</v>
      </c>
      <c r="J16" s="133">
        <v>3871.9734660033173</v>
      </c>
      <c r="K16" s="133">
        <v>1290.6578220011058</v>
      </c>
      <c r="L16" s="133"/>
      <c r="M16" s="133"/>
      <c r="N16" s="133" t="s">
        <v>74</v>
      </c>
      <c r="O16" s="283">
        <v>18418.242122719734</v>
      </c>
      <c r="P16" s="283">
        <v>231.3219832836788</v>
      </c>
      <c r="Q16" s="283"/>
      <c r="R16" s="283">
        <v>79.621667864280568</v>
      </c>
      <c r="S16" s="283">
        <v>4.3664689001049303E-6</v>
      </c>
      <c r="T16" s="283">
        <v>17682.07233168769</v>
      </c>
      <c r="U16" s="283">
        <v>19154.411913751777</v>
      </c>
      <c r="V16" s="283">
        <v>17682.07233168769</v>
      </c>
      <c r="W16" s="283">
        <v>19154.411913751777</v>
      </c>
    </row>
    <row r="17" spans="1:31" x14ac:dyDescent="0.2">
      <c r="A17" s="109">
        <v>43838</v>
      </c>
      <c r="B17" s="110">
        <v>3</v>
      </c>
      <c r="C17" s="135">
        <v>0.05</v>
      </c>
      <c r="D17" s="135">
        <v>993</v>
      </c>
      <c r="E17" s="135">
        <f t="shared" si="2"/>
        <v>988</v>
      </c>
      <c r="F17" s="133" t="s">
        <v>54</v>
      </c>
      <c r="G17" s="133">
        <v>0.99936934479589545</v>
      </c>
      <c r="H17" s="133" t="s">
        <v>60</v>
      </c>
      <c r="I17" s="133">
        <v>4</v>
      </c>
      <c r="J17" s="133">
        <v>8186139.2000000002</v>
      </c>
      <c r="K17" s="133"/>
      <c r="L17" s="133"/>
      <c r="M17" s="133"/>
      <c r="N17" s="137"/>
      <c r="O17" s="284"/>
      <c r="P17" s="284"/>
      <c r="Q17" s="284"/>
      <c r="R17" s="284"/>
      <c r="S17" s="284"/>
      <c r="T17" s="284"/>
      <c r="U17" s="284"/>
      <c r="V17" s="284"/>
      <c r="W17" s="284"/>
    </row>
    <row r="18" spans="1:31" x14ac:dyDescent="0.2">
      <c r="A18" s="109">
        <v>43838</v>
      </c>
      <c r="B18" s="110">
        <v>3</v>
      </c>
      <c r="C18" s="135">
        <v>0.1</v>
      </c>
      <c r="D18" s="135">
        <v>1842</v>
      </c>
      <c r="E18" s="135">
        <f t="shared" si="2"/>
        <v>1837</v>
      </c>
      <c r="F18" s="133" t="s">
        <v>55</v>
      </c>
      <c r="G18" s="133">
        <v>35.925726464486502</v>
      </c>
      <c r="H18" s="137"/>
      <c r="I18" s="137"/>
      <c r="J18" s="144"/>
      <c r="K18" s="220"/>
      <c r="L18" s="144"/>
      <c r="M18" s="137"/>
      <c r="N18" s="137"/>
      <c r="O18" s="284"/>
      <c r="P18" s="284"/>
      <c r="Q18" s="284"/>
      <c r="R18" s="284"/>
      <c r="S18" s="284"/>
      <c r="T18" s="284"/>
      <c r="U18" s="284"/>
      <c r="V18" s="284"/>
      <c r="W18" s="284"/>
      <c r="Y18" s="137"/>
      <c r="Z18" s="137"/>
      <c r="AA18" s="137"/>
      <c r="AB18" s="144"/>
      <c r="AC18" s="220"/>
      <c r="AD18" s="144"/>
      <c r="AE18" s="137"/>
    </row>
    <row r="19" spans="1:31" x14ac:dyDescent="0.2">
      <c r="A19" s="123">
        <v>43838</v>
      </c>
      <c r="B19" s="124">
        <v>3</v>
      </c>
      <c r="C19" s="141">
        <v>0.2</v>
      </c>
      <c r="D19" s="141">
        <v>3701</v>
      </c>
      <c r="E19" s="141">
        <f t="shared" si="2"/>
        <v>3696</v>
      </c>
      <c r="F19" s="148" t="s">
        <v>56</v>
      </c>
      <c r="G19" s="148">
        <v>5</v>
      </c>
      <c r="H19" s="141"/>
      <c r="I19" s="141"/>
      <c r="J19" s="143"/>
      <c r="K19" s="280"/>
      <c r="L19" s="143"/>
      <c r="M19" s="141"/>
      <c r="N19" s="141"/>
      <c r="O19" s="285"/>
      <c r="P19" s="285"/>
      <c r="Q19" s="285"/>
      <c r="R19" s="285"/>
      <c r="S19" s="285"/>
      <c r="T19" s="285"/>
      <c r="U19" s="285"/>
      <c r="V19" s="285"/>
      <c r="W19" s="285"/>
      <c r="X19" s="141"/>
      <c r="Y19" s="141"/>
      <c r="Z19" s="137"/>
      <c r="AA19" s="137"/>
      <c r="AB19" s="144"/>
      <c r="AC19" s="220"/>
      <c r="AD19" s="144"/>
      <c r="AE19" s="137"/>
    </row>
    <row r="20" spans="1:31" x14ac:dyDescent="0.2">
      <c r="A20" s="109">
        <v>43789</v>
      </c>
      <c r="B20" s="110">
        <v>1</v>
      </c>
      <c r="C20" s="135">
        <v>0</v>
      </c>
      <c r="D20" s="224">
        <v>1.7500002537500401</v>
      </c>
      <c r="E20" s="281">
        <f>D20-$D$20</f>
        <v>0</v>
      </c>
      <c r="F20" s="213" t="s">
        <v>51</v>
      </c>
      <c r="G20" s="213"/>
      <c r="H20" s="146"/>
      <c r="I20" s="146" t="s">
        <v>62</v>
      </c>
      <c r="J20" s="146" t="s">
        <v>63</v>
      </c>
      <c r="K20" s="146" t="s">
        <v>64</v>
      </c>
      <c r="L20" s="146" t="s">
        <v>65</v>
      </c>
      <c r="M20" s="146" t="s">
        <v>66</v>
      </c>
      <c r="N20" s="146"/>
      <c r="O20" s="286" t="s">
        <v>67</v>
      </c>
      <c r="P20" s="286" t="s">
        <v>270</v>
      </c>
      <c r="Q20" s="286" t="s">
        <v>271</v>
      </c>
      <c r="R20" s="286" t="s">
        <v>68</v>
      </c>
      <c r="S20" s="286" t="s">
        <v>69</v>
      </c>
      <c r="T20" s="286" t="s">
        <v>70</v>
      </c>
      <c r="U20" s="286" t="s">
        <v>71</v>
      </c>
      <c r="V20" s="286" t="s">
        <v>72</v>
      </c>
      <c r="W20" s="286" t="s">
        <v>73</v>
      </c>
      <c r="Y20" s="137"/>
      <c r="Z20" s="137"/>
      <c r="AA20" s="137"/>
      <c r="AB20" s="137"/>
      <c r="AC20" s="137"/>
      <c r="AD20" s="137"/>
      <c r="AE20" s="137"/>
    </row>
    <row r="21" spans="1:31" x14ac:dyDescent="0.2">
      <c r="A21" s="109">
        <v>43789</v>
      </c>
      <c r="B21" s="110">
        <v>1</v>
      </c>
      <c r="C21" s="135">
        <v>0.01</v>
      </c>
      <c r="D21" s="224">
        <v>278.75241834801</v>
      </c>
      <c r="E21" s="281">
        <f t="shared" ref="E21:E25" si="3">D21-$D$20</f>
        <v>277.00241809425995</v>
      </c>
      <c r="F21" s="133" t="s">
        <v>52</v>
      </c>
      <c r="G21" s="133">
        <v>0.99993883206340572</v>
      </c>
      <c r="H21" s="133" t="s">
        <v>58</v>
      </c>
      <c r="I21" s="133">
        <v>1</v>
      </c>
      <c r="J21" s="133">
        <v>17202512.362526186</v>
      </c>
      <c r="K21" s="133">
        <v>17202512.362526186</v>
      </c>
      <c r="L21" s="133">
        <v>24520.401652486365</v>
      </c>
      <c r="M21" s="133">
        <v>5.7426932449580031E-7</v>
      </c>
      <c r="N21" s="133" t="s">
        <v>61</v>
      </c>
      <c r="O21" s="283">
        <v>25.019345691697026</v>
      </c>
      <c r="P21" s="283">
        <v>17.558864616129206</v>
      </c>
      <c r="Q21" s="283">
        <f>P21*SQRT(G25)</f>
        <v>39.262814889380657</v>
      </c>
      <c r="R21" s="283">
        <v>1.4248840251729475</v>
      </c>
      <c r="S21" s="283">
        <v>0.24940867269609746</v>
      </c>
      <c r="T21" s="283">
        <v>-30.86079813088022</v>
      </c>
      <c r="U21" s="283">
        <v>80.899489514274279</v>
      </c>
      <c r="V21" s="283">
        <v>-30.86079813088022</v>
      </c>
      <c r="W21" s="283">
        <v>80.899489514274279</v>
      </c>
      <c r="X21" s="162">
        <f>3.3*Q21/O22</f>
        <v>4.8516346018579485E-3</v>
      </c>
      <c r="Y21" s="162">
        <f>10*Q21/O22</f>
        <v>1.4701923035933179E-2</v>
      </c>
      <c r="Z21" s="145"/>
      <c r="AA21" s="145"/>
      <c r="AB21" s="137"/>
      <c r="AC21" s="137"/>
      <c r="AD21" s="137"/>
      <c r="AE21" s="137"/>
    </row>
    <row r="22" spans="1:31" x14ac:dyDescent="0.2">
      <c r="A22" s="109">
        <v>43789</v>
      </c>
      <c r="B22" s="110">
        <v>1</v>
      </c>
      <c r="C22" s="135">
        <v>0.02</v>
      </c>
      <c r="D22" s="224">
        <v>549.01024427045502</v>
      </c>
      <c r="E22" s="281">
        <f t="shared" si="3"/>
        <v>547.26024401670497</v>
      </c>
      <c r="F22" s="133" t="s">
        <v>53</v>
      </c>
      <c r="G22" s="133">
        <v>0.99987766786832788</v>
      </c>
      <c r="H22" s="133" t="s">
        <v>59</v>
      </c>
      <c r="I22" s="133">
        <v>3</v>
      </c>
      <c r="J22" s="133">
        <v>2104.6774771059086</v>
      </c>
      <c r="K22" s="133">
        <v>701.55915903530286</v>
      </c>
      <c r="L22" s="133"/>
      <c r="M22" s="133"/>
      <c r="N22" s="133" t="s">
        <v>74</v>
      </c>
      <c r="O22" s="283">
        <v>26705.904250360891</v>
      </c>
      <c r="P22" s="283">
        <v>170.54676960691506</v>
      </c>
      <c r="Q22" s="283"/>
      <c r="R22" s="283">
        <v>156.58991555169311</v>
      </c>
      <c r="S22" s="283">
        <v>5.7426932449580031E-7</v>
      </c>
      <c r="T22" s="283">
        <v>26163.148313547292</v>
      </c>
      <c r="U22" s="283">
        <v>27248.66018717449</v>
      </c>
      <c r="V22" s="283">
        <v>26163.148313547292</v>
      </c>
      <c r="W22" s="283">
        <v>27248.66018717449</v>
      </c>
      <c r="Y22" s="133"/>
      <c r="Z22" s="133"/>
      <c r="AA22" s="133"/>
      <c r="AB22" s="137"/>
      <c r="AC22" s="137"/>
      <c r="AD22" s="137"/>
      <c r="AE22" s="137"/>
    </row>
    <row r="23" spans="1:31" x14ac:dyDescent="0.2">
      <c r="A23" s="109">
        <v>43789</v>
      </c>
      <c r="B23" s="110">
        <v>1</v>
      </c>
      <c r="C23" s="135">
        <v>0.05</v>
      </c>
      <c r="D23" s="224">
        <v>1402.31852324282</v>
      </c>
      <c r="E23" s="281">
        <f t="shared" si="3"/>
        <v>1400.5685229890701</v>
      </c>
      <c r="F23" s="133" t="s">
        <v>54</v>
      </c>
      <c r="G23" s="133">
        <v>0.9998368904911038</v>
      </c>
      <c r="H23" s="133" t="s">
        <v>60</v>
      </c>
      <c r="I23" s="133">
        <v>4</v>
      </c>
      <c r="J23" s="133">
        <v>17204617.040003292</v>
      </c>
      <c r="K23" s="133"/>
      <c r="L23" s="133"/>
      <c r="M23" s="133"/>
      <c r="N23" s="137"/>
      <c r="O23" s="284"/>
      <c r="P23" s="284"/>
      <c r="Q23" s="284"/>
      <c r="R23" s="284"/>
      <c r="S23" s="284"/>
      <c r="T23" s="284"/>
      <c r="U23" s="284"/>
      <c r="V23" s="284"/>
      <c r="W23" s="284"/>
      <c r="Y23" s="133"/>
      <c r="Z23" s="133"/>
      <c r="AA23" s="133"/>
      <c r="AB23" s="137"/>
      <c r="AC23" s="137"/>
      <c r="AD23" s="137"/>
      <c r="AE23" s="137"/>
    </row>
    <row r="24" spans="1:31" x14ac:dyDescent="0.2">
      <c r="A24" s="109">
        <v>43789</v>
      </c>
      <c r="B24" s="110">
        <v>1</v>
      </c>
      <c r="C24" s="135">
        <v>0.1</v>
      </c>
      <c r="D24" s="224">
        <v>2687.0021030325101</v>
      </c>
      <c r="E24" s="281">
        <f t="shared" si="3"/>
        <v>2685.2521027787602</v>
      </c>
      <c r="F24" s="133" t="s">
        <v>55</v>
      </c>
      <c r="G24" s="133">
        <v>26.486962057497323</v>
      </c>
      <c r="H24" s="133"/>
      <c r="I24" s="133"/>
      <c r="J24" s="137"/>
      <c r="K24" s="137"/>
      <c r="L24" s="137"/>
      <c r="M24" s="137"/>
      <c r="N24" s="137"/>
      <c r="O24" s="284"/>
      <c r="P24" s="284"/>
      <c r="Q24" s="284"/>
      <c r="R24" s="284"/>
      <c r="S24" s="284"/>
      <c r="T24" s="284"/>
      <c r="U24" s="284"/>
      <c r="V24" s="284"/>
      <c r="W24" s="284"/>
      <c r="Y24" s="133"/>
      <c r="Z24" s="133"/>
      <c r="AA24" s="133"/>
      <c r="AB24" s="137"/>
      <c r="AC24" s="137"/>
      <c r="AD24" s="137"/>
      <c r="AE24" s="137"/>
    </row>
    <row r="25" spans="1:31" x14ac:dyDescent="0.2">
      <c r="A25" s="123">
        <v>43789</v>
      </c>
      <c r="B25" s="124">
        <v>1</v>
      </c>
      <c r="C25" s="141">
        <v>0.2</v>
      </c>
      <c r="D25" s="225">
        <v>5365.00705597058</v>
      </c>
      <c r="E25" s="282">
        <f t="shared" si="3"/>
        <v>5363.2570557168301</v>
      </c>
      <c r="F25" s="148" t="s">
        <v>56</v>
      </c>
      <c r="G25" s="148">
        <v>5</v>
      </c>
      <c r="H25" s="148"/>
      <c r="I25" s="148"/>
      <c r="J25" s="141"/>
      <c r="K25" s="141"/>
      <c r="L25" s="141"/>
      <c r="M25" s="141"/>
      <c r="N25" s="141"/>
      <c r="O25" s="285"/>
      <c r="P25" s="285"/>
      <c r="Q25" s="285"/>
      <c r="R25" s="285"/>
      <c r="S25" s="285"/>
      <c r="T25" s="285"/>
      <c r="U25" s="285"/>
      <c r="V25" s="285"/>
      <c r="W25" s="285"/>
      <c r="X25" s="141"/>
      <c r="Y25" s="148"/>
      <c r="Z25" s="133"/>
      <c r="AA25" s="133"/>
      <c r="AB25" s="137"/>
      <c r="AC25" s="137"/>
      <c r="AD25" s="137"/>
      <c r="AE25" s="137"/>
    </row>
    <row r="26" spans="1:31" x14ac:dyDescent="0.2">
      <c r="A26" s="109">
        <v>43888</v>
      </c>
      <c r="B26" s="110">
        <v>1</v>
      </c>
      <c r="C26" s="135">
        <v>0</v>
      </c>
      <c r="D26" s="224">
        <v>1.4996906224891799</v>
      </c>
      <c r="E26" s="281">
        <f>D26-$D$26</f>
        <v>0</v>
      </c>
      <c r="F26" s="213" t="s">
        <v>51</v>
      </c>
      <c r="G26" s="213"/>
      <c r="H26" s="146"/>
      <c r="I26" s="146" t="s">
        <v>62</v>
      </c>
      <c r="J26" s="146" t="s">
        <v>63</v>
      </c>
      <c r="K26" s="146" t="s">
        <v>64</v>
      </c>
      <c r="L26" s="146" t="s">
        <v>65</v>
      </c>
      <c r="M26" s="146" t="s">
        <v>66</v>
      </c>
      <c r="N26" s="146"/>
      <c r="O26" s="286" t="s">
        <v>67</v>
      </c>
      <c r="P26" s="286" t="s">
        <v>270</v>
      </c>
      <c r="Q26" s="286" t="s">
        <v>271</v>
      </c>
      <c r="R26" s="286" t="s">
        <v>68</v>
      </c>
      <c r="S26" s="286" t="s">
        <v>69</v>
      </c>
      <c r="T26" s="286" t="s">
        <v>70</v>
      </c>
      <c r="U26" s="286" t="s">
        <v>71</v>
      </c>
      <c r="V26" s="286" t="s">
        <v>72</v>
      </c>
      <c r="W26" s="286" t="s">
        <v>73</v>
      </c>
      <c r="Y26" s="137"/>
      <c r="Z26" s="137"/>
      <c r="AA26" s="137"/>
      <c r="AB26" s="137"/>
      <c r="AC26" s="137"/>
      <c r="AD26" s="137"/>
      <c r="AE26" s="137"/>
    </row>
    <row r="27" spans="1:31" x14ac:dyDescent="0.2">
      <c r="A27" s="109">
        <v>43888</v>
      </c>
      <c r="B27" s="110">
        <v>1</v>
      </c>
      <c r="C27" s="135">
        <v>0.01</v>
      </c>
      <c r="D27" s="224">
        <v>248.001846046249</v>
      </c>
      <c r="E27" s="281">
        <f t="shared" ref="E27:E31" si="4">D27-$D$26</f>
        <v>246.50215542375983</v>
      </c>
      <c r="F27" s="133" t="s">
        <v>52</v>
      </c>
      <c r="G27" s="133">
        <v>0.99994261504574555</v>
      </c>
      <c r="H27" s="133" t="s">
        <v>58</v>
      </c>
      <c r="I27" s="133">
        <v>1</v>
      </c>
      <c r="J27" s="133">
        <v>14099922.642258521</v>
      </c>
      <c r="K27" s="133">
        <v>14099922.642258521</v>
      </c>
      <c r="L27" s="133">
        <v>26137.005850655718</v>
      </c>
      <c r="M27" s="133">
        <v>5.2182775990346178E-7</v>
      </c>
      <c r="N27" s="133" t="s">
        <v>61</v>
      </c>
      <c r="O27" s="283">
        <v>7.4429997355562136</v>
      </c>
      <c r="P27" s="283">
        <v>15.397305556001239</v>
      </c>
      <c r="Q27" s="283">
        <f>P27*SQRT(G31)</f>
        <v>34.429421893553965</v>
      </c>
      <c r="R27" s="283">
        <v>0.48339624803089248</v>
      </c>
      <c r="S27" s="283">
        <v>0.66190073090803603</v>
      </c>
      <c r="T27" s="283">
        <v>-41.558098442464257</v>
      </c>
      <c r="U27" s="283">
        <v>56.444097913576684</v>
      </c>
      <c r="V27" s="283">
        <v>-41.558098442464257</v>
      </c>
      <c r="W27" s="283">
        <v>56.444097913576684</v>
      </c>
      <c r="X27" s="162">
        <f>3.3*Q27/O28</f>
        <v>4.6992003025301248E-3</v>
      </c>
      <c r="Y27" s="162">
        <f>10*Q27/O28</f>
        <v>1.4240000916757955E-2</v>
      </c>
    </row>
    <row r="28" spans="1:31" x14ac:dyDescent="0.2">
      <c r="A28" s="109">
        <v>43888</v>
      </c>
      <c r="B28" s="110">
        <v>1</v>
      </c>
      <c r="C28" s="135">
        <v>0.02</v>
      </c>
      <c r="D28" s="224">
        <v>490.00840779183699</v>
      </c>
      <c r="E28" s="281">
        <f t="shared" si="4"/>
        <v>488.50871716934779</v>
      </c>
      <c r="F28" s="133" t="s">
        <v>53</v>
      </c>
      <c r="G28" s="133">
        <v>0.99988523338452406</v>
      </c>
      <c r="H28" s="133" t="s">
        <v>59</v>
      </c>
      <c r="I28" s="133">
        <v>3</v>
      </c>
      <c r="J28" s="133">
        <v>1618.3861368234861</v>
      </c>
      <c r="K28" s="133">
        <v>539.46204560782871</v>
      </c>
      <c r="L28" s="133"/>
      <c r="M28" s="133"/>
      <c r="N28" s="133" t="s">
        <v>74</v>
      </c>
      <c r="O28" s="283">
        <v>24177.963256334235</v>
      </c>
      <c r="P28" s="283">
        <v>149.55185204938959</v>
      </c>
      <c r="Q28" s="283"/>
      <c r="R28" s="283">
        <v>161.66943387868875</v>
      </c>
      <c r="S28" s="283">
        <v>5.2182775990346178E-7</v>
      </c>
      <c r="T28" s="283">
        <v>23702.022517331319</v>
      </c>
      <c r="U28" s="283">
        <v>24653.90399533715</v>
      </c>
      <c r="V28" s="283">
        <v>23702.022517331319</v>
      </c>
      <c r="W28" s="283">
        <v>24653.90399533715</v>
      </c>
    </row>
    <row r="29" spans="1:31" x14ac:dyDescent="0.2">
      <c r="A29" s="109">
        <v>43888</v>
      </c>
      <c r="B29" s="110">
        <v>1</v>
      </c>
      <c r="C29" s="135">
        <v>0.05</v>
      </c>
      <c r="D29" s="224">
        <v>1243.80417690995</v>
      </c>
      <c r="E29" s="281">
        <f t="shared" si="4"/>
        <v>1242.3044862874608</v>
      </c>
      <c r="F29" s="133" t="s">
        <v>54</v>
      </c>
      <c r="G29" s="133">
        <v>0.99984697784603205</v>
      </c>
      <c r="H29" s="133" t="s">
        <v>60</v>
      </c>
      <c r="I29" s="133">
        <v>4</v>
      </c>
      <c r="J29" s="133">
        <v>14101541.028395345</v>
      </c>
      <c r="K29" s="133"/>
      <c r="L29" s="133"/>
      <c r="M29" s="133"/>
      <c r="N29" s="137"/>
      <c r="O29" s="284"/>
      <c r="P29" s="284"/>
      <c r="Q29" s="284"/>
      <c r="R29" s="284"/>
      <c r="S29" s="284"/>
      <c r="T29" s="284"/>
      <c r="U29" s="284"/>
      <c r="V29" s="284"/>
      <c r="W29" s="284"/>
    </row>
    <row r="30" spans="1:31" x14ac:dyDescent="0.2">
      <c r="A30" s="109">
        <v>43888</v>
      </c>
      <c r="B30" s="110">
        <v>1</v>
      </c>
      <c r="C30" s="135">
        <v>0.1</v>
      </c>
      <c r="D30" s="224">
        <v>2397.4513222986502</v>
      </c>
      <c r="E30" s="281">
        <f t="shared" si="4"/>
        <v>2395.951631676161</v>
      </c>
      <c r="F30" s="133" t="s">
        <v>55</v>
      </c>
      <c r="G30" s="133">
        <v>23.226322257469622</v>
      </c>
      <c r="H30" s="137"/>
      <c r="I30" s="137"/>
      <c r="J30" s="137"/>
      <c r="K30" s="137"/>
      <c r="L30" s="137"/>
      <c r="M30" s="137"/>
      <c r="N30" s="137"/>
      <c r="O30" s="284"/>
      <c r="P30" s="284"/>
      <c r="Q30" s="284"/>
      <c r="R30" s="284"/>
      <c r="S30" s="284"/>
      <c r="T30" s="284"/>
      <c r="U30" s="284"/>
      <c r="V30" s="284"/>
      <c r="W30" s="284"/>
    </row>
    <row r="31" spans="1:31" x14ac:dyDescent="0.2">
      <c r="A31" s="123">
        <v>43888</v>
      </c>
      <c r="B31" s="124">
        <v>1</v>
      </c>
      <c r="C31" s="141">
        <v>0.2</v>
      </c>
      <c r="D31" s="225">
        <v>4853.0737361505498</v>
      </c>
      <c r="E31" s="282">
        <f t="shared" si="4"/>
        <v>4851.5740455280611</v>
      </c>
      <c r="F31" s="148" t="s">
        <v>56</v>
      </c>
      <c r="G31" s="148">
        <v>5</v>
      </c>
      <c r="H31" s="141"/>
      <c r="I31" s="141"/>
      <c r="J31" s="141"/>
      <c r="K31" s="141"/>
      <c r="L31" s="141"/>
      <c r="M31" s="141"/>
      <c r="N31" s="141"/>
      <c r="O31" s="285"/>
      <c r="P31" s="285"/>
      <c r="Q31" s="285"/>
      <c r="R31" s="285"/>
      <c r="S31" s="285"/>
      <c r="T31" s="285"/>
      <c r="U31" s="285"/>
      <c r="V31" s="285"/>
      <c r="W31" s="285"/>
      <c r="X31" s="141"/>
      <c r="Y31" s="141"/>
    </row>
    <row r="32" spans="1:31" x14ac:dyDescent="0.2">
      <c r="A32" s="109">
        <v>43888</v>
      </c>
      <c r="B32" s="110">
        <v>2</v>
      </c>
      <c r="C32" s="135">
        <v>0</v>
      </c>
      <c r="D32" s="224">
        <v>1.75000013125001</v>
      </c>
      <c r="E32" s="281">
        <f>D32-$D$32</f>
        <v>0</v>
      </c>
      <c r="F32" s="213" t="s">
        <v>51</v>
      </c>
      <c r="G32" s="213"/>
      <c r="H32" s="146"/>
      <c r="I32" s="146" t="s">
        <v>62</v>
      </c>
      <c r="J32" s="146" t="s">
        <v>63</v>
      </c>
      <c r="K32" s="146" t="s">
        <v>64</v>
      </c>
      <c r="L32" s="146" t="s">
        <v>65</v>
      </c>
      <c r="M32" s="146" t="s">
        <v>66</v>
      </c>
      <c r="N32" s="146"/>
      <c r="O32" s="286" t="s">
        <v>67</v>
      </c>
      <c r="P32" s="286" t="s">
        <v>270</v>
      </c>
      <c r="Q32" s="286" t="s">
        <v>271</v>
      </c>
      <c r="R32" s="286" t="s">
        <v>68</v>
      </c>
      <c r="S32" s="286" t="s">
        <v>69</v>
      </c>
      <c r="T32" s="286" t="s">
        <v>70</v>
      </c>
      <c r="U32" s="286" t="s">
        <v>71</v>
      </c>
      <c r="V32" s="286" t="s">
        <v>72</v>
      </c>
      <c r="W32" s="286" t="s">
        <v>73</v>
      </c>
    </row>
    <row r="33" spans="1:30" x14ac:dyDescent="0.2">
      <c r="A33" s="109">
        <v>43888</v>
      </c>
      <c r="B33" s="110">
        <v>2</v>
      </c>
      <c r="C33" s="135">
        <v>0.01</v>
      </c>
      <c r="D33" s="224">
        <v>231.50157922050801</v>
      </c>
      <c r="E33" s="281">
        <f t="shared" ref="E33:E37" si="5">D33-$D$32</f>
        <v>229.751579089258</v>
      </c>
      <c r="F33" s="133" t="s">
        <v>52</v>
      </c>
      <c r="G33" s="133">
        <v>0.99980632283556736</v>
      </c>
      <c r="H33" s="133" t="s">
        <v>58</v>
      </c>
      <c r="I33" s="133">
        <v>1</v>
      </c>
      <c r="J33" s="133">
        <v>10831307.600488866</v>
      </c>
      <c r="K33" s="133">
        <v>10831307.600488866</v>
      </c>
      <c r="L33" s="133">
        <v>7742.5970420472686</v>
      </c>
      <c r="M33" s="133">
        <v>3.2354810999330114E-6</v>
      </c>
      <c r="N33" s="133" t="s">
        <v>61</v>
      </c>
      <c r="O33" s="283">
        <v>33.353351690074078</v>
      </c>
      <c r="P33" s="283">
        <v>24.794844961651386</v>
      </c>
      <c r="Q33" s="283">
        <f>P33*SQRT(G37)</f>
        <v>55.442958825820668</v>
      </c>
      <c r="R33" s="283">
        <v>1.3451728269186434</v>
      </c>
      <c r="S33" s="283">
        <v>0.27121617453580171</v>
      </c>
      <c r="T33" s="283">
        <v>-45.554911048215757</v>
      </c>
      <c r="U33" s="283">
        <v>112.26161442836391</v>
      </c>
      <c r="V33" s="283">
        <v>-45.554911048215757</v>
      </c>
      <c r="W33" s="283">
        <v>112.26161442836391</v>
      </c>
      <c r="X33" s="162">
        <f>3.3*Q33/O34</f>
        <v>8.6339304523735394E-3</v>
      </c>
      <c r="Y33" s="162">
        <f>10*Q33/O34</f>
        <v>2.6163425613253147E-2</v>
      </c>
    </row>
    <row r="34" spans="1:30" x14ac:dyDescent="0.2">
      <c r="A34" s="109">
        <v>43888</v>
      </c>
      <c r="B34" s="110">
        <v>2</v>
      </c>
      <c r="C34" s="135">
        <v>0.02</v>
      </c>
      <c r="D34" s="224">
        <v>443.25689355871702</v>
      </c>
      <c r="E34" s="281">
        <f t="shared" si="5"/>
        <v>441.50689342746699</v>
      </c>
      <c r="F34" s="133" t="s">
        <v>53</v>
      </c>
      <c r="G34" s="133">
        <v>0.99961268318197882</v>
      </c>
      <c r="H34" s="133" t="s">
        <v>59</v>
      </c>
      <c r="I34" s="133">
        <v>3</v>
      </c>
      <c r="J34" s="133">
        <v>4196.7730756235605</v>
      </c>
      <c r="K34" s="133">
        <v>1398.9243585411868</v>
      </c>
      <c r="L34" s="133"/>
      <c r="M34" s="133"/>
      <c r="N34" s="133" t="s">
        <v>74</v>
      </c>
      <c r="O34" s="283">
        <v>21191.016667838747</v>
      </c>
      <c r="P34" s="283">
        <v>240.82882370592233</v>
      </c>
      <c r="Q34" s="283"/>
      <c r="R34" s="283">
        <v>87.99202828692647</v>
      </c>
      <c r="S34" s="283">
        <v>3.2354810999330173E-6</v>
      </c>
      <c r="T34" s="283">
        <v>20424.591867630013</v>
      </c>
      <c r="U34" s="283">
        <v>21957.44146804748</v>
      </c>
      <c r="V34" s="283">
        <v>20424.591867630013</v>
      </c>
      <c r="W34" s="283">
        <v>21957.44146804748</v>
      </c>
    </row>
    <row r="35" spans="1:30" x14ac:dyDescent="0.2">
      <c r="A35" s="109">
        <v>43888</v>
      </c>
      <c r="B35" s="110">
        <v>2</v>
      </c>
      <c r="C35" s="135">
        <v>0.05</v>
      </c>
      <c r="D35" s="224">
        <v>1096.2921323206101</v>
      </c>
      <c r="E35" s="281">
        <f t="shared" si="5"/>
        <v>1094.54213218936</v>
      </c>
      <c r="F35" s="133" t="s">
        <v>54</v>
      </c>
      <c r="G35" s="133">
        <v>0.99948357757597173</v>
      </c>
      <c r="H35" s="133" t="s">
        <v>60</v>
      </c>
      <c r="I35" s="133">
        <v>4</v>
      </c>
      <c r="J35" s="133">
        <v>10835504.373564489</v>
      </c>
      <c r="K35" s="133"/>
      <c r="L35" s="133"/>
      <c r="M35" s="133"/>
      <c r="N35" s="137"/>
      <c r="O35" s="284"/>
      <c r="P35" s="284"/>
      <c r="Q35" s="284"/>
      <c r="R35" s="284"/>
      <c r="S35" s="284"/>
      <c r="T35" s="284"/>
      <c r="U35" s="284"/>
      <c r="V35" s="284"/>
      <c r="W35" s="284"/>
    </row>
    <row r="36" spans="1:30" x14ac:dyDescent="0.2">
      <c r="A36" s="109">
        <v>43888</v>
      </c>
      <c r="B36" s="110">
        <v>2</v>
      </c>
      <c r="C36" s="135">
        <v>0.1</v>
      </c>
      <c r="D36" s="224">
        <v>2209.42100748955</v>
      </c>
      <c r="E36" s="281">
        <f t="shared" si="5"/>
        <v>2207.6710073582999</v>
      </c>
      <c r="F36" s="133" t="s">
        <v>55</v>
      </c>
      <c r="G36" s="133">
        <v>37.402197242156603</v>
      </c>
    </row>
    <row r="37" spans="1:30" x14ac:dyDescent="0.2">
      <c r="A37" s="123">
        <v>43888</v>
      </c>
      <c r="B37" s="124">
        <v>2</v>
      </c>
      <c r="C37" s="141">
        <v>0.2</v>
      </c>
      <c r="D37" s="225">
        <v>4247.6314802959596</v>
      </c>
      <c r="E37" s="282">
        <f t="shared" si="5"/>
        <v>4245.8814801647095</v>
      </c>
      <c r="F37" s="148" t="s">
        <v>56</v>
      </c>
      <c r="G37" s="148">
        <v>5</v>
      </c>
      <c r="H37" s="141"/>
      <c r="I37" s="141"/>
      <c r="J37" s="141"/>
      <c r="K37" s="141"/>
      <c r="L37" s="141"/>
      <c r="M37" s="141"/>
      <c r="N37" s="141"/>
      <c r="O37" s="141"/>
      <c r="P37" s="141"/>
      <c r="Q37" s="141"/>
      <c r="R37" s="141"/>
      <c r="S37" s="141"/>
      <c r="T37" s="141"/>
      <c r="U37" s="141"/>
      <c r="V37" s="141"/>
      <c r="W37" s="141"/>
      <c r="X37" s="141"/>
      <c r="Y37" s="141"/>
    </row>
    <row r="46" spans="1:30" x14ac:dyDescent="0.2">
      <c r="G46" s="137"/>
      <c r="H46" s="137"/>
      <c r="I46" s="137"/>
      <c r="J46" s="144"/>
      <c r="K46" s="220"/>
      <c r="L46" s="144"/>
      <c r="M46" s="137"/>
      <c r="N46" s="137"/>
      <c r="Y46" s="137"/>
      <c r="Z46" s="137"/>
      <c r="AA46" s="137"/>
      <c r="AB46" s="144"/>
      <c r="AC46" s="220"/>
      <c r="AD46" s="144"/>
    </row>
    <row r="47" spans="1:30" x14ac:dyDescent="0.2">
      <c r="G47" s="137"/>
      <c r="H47" s="137"/>
      <c r="I47" s="137"/>
      <c r="J47" s="144"/>
      <c r="K47" s="220"/>
      <c r="L47" s="144"/>
      <c r="M47" s="137"/>
      <c r="N47" s="137"/>
      <c r="Y47" s="137"/>
      <c r="Z47" s="137"/>
      <c r="AA47" s="137"/>
      <c r="AB47" s="144"/>
      <c r="AC47" s="220"/>
      <c r="AD47" s="144"/>
    </row>
    <row r="48" spans="1:30" x14ac:dyDescent="0.2">
      <c r="G48" s="137"/>
      <c r="H48" s="137"/>
      <c r="I48" s="137"/>
      <c r="J48" s="137"/>
      <c r="K48" s="137"/>
      <c r="L48" s="137"/>
      <c r="M48" s="137"/>
      <c r="N48" s="137"/>
      <c r="Y48" s="137"/>
      <c r="Z48" s="137"/>
      <c r="AA48" s="137"/>
      <c r="AB48" s="137"/>
      <c r="AC48" s="137"/>
      <c r="AD48" s="137"/>
    </row>
    <row r="49" spans="7:30" x14ac:dyDescent="0.2">
      <c r="G49" s="137"/>
      <c r="H49" s="137"/>
      <c r="I49" s="137"/>
      <c r="J49" s="137"/>
      <c r="K49" s="137"/>
      <c r="L49" s="137"/>
      <c r="M49" s="137"/>
      <c r="N49" s="137"/>
      <c r="Y49" s="137"/>
      <c r="Z49" s="137"/>
      <c r="AA49" s="137"/>
      <c r="AB49" s="137"/>
      <c r="AC49" s="137"/>
      <c r="AD49" s="137"/>
    </row>
    <row r="50" spans="7:30" x14ac:dyDescent="0.2">
      <c r="G50" s="145"/>
      <c r="H50" s="145"/>
      <c r="I50" s="145"/>
      <c r="J50" s="137"/>
      <c r="K50" s="137"/>
      <c r="L50" s="137"/>
      <c r="M50" s="137"/>
      <c r="N50" s="137"/>
      <c r="Y50" s="145"/>
      <c r="Z50" s="145"/>
      <c r="AA50" s="145"/>
      <c r="AB50" s="137"/>
      <c r="AC50" s="137"/>
      <c r="AD50" s="137"/>
    </row>
    <row r="51" spans="7:30" x14ac:dyDescent="0.2">
      <c r="G51" s="133"/>
      <c r="H51" s="133"/>
      <c r="I51" s="133"/>
      <c r="J51" s="137"/>
      <c r="K51" s="137"/>
      <c r="L51" s="137"/>
      <c r="M51" s="137"/>
      <c r="N51" s="137"/>
      <c r="Y51" s="133"/>
      <c r="Z51" s="133"/>
      <c r="AA51" s="133"/>
      <c r="AB51" s="137"/>
      <c r="AC51" s="137"/>
      <c r="AD51" s="137"/>
    </row>
    <row r="52" spans="7:30" x14ac:dyDescent="0.2">
      <c r="G52" s="133"/>
      <c r="H52" s="133"/>
      <c r="I52" s="133"/>
      <c r="J52" s="137"/>
      <c r="K52" s="137"/>
      <c r="L52" s="137"/>
      <c r="M52" s="137"/>
      <c r="N52" s="137"/>
      <c r="Y52" s="133"/>
      <c r="Z52" s="133"/>
      <c r="AA52" s="133"/>
      <c r="AB52" s="137"/>
      <c r="AC52" s="137"/>
      <c r="AD52" s="137"/>
    </row>
    <row r="53" spans="7:30" x14ac:dyDescent="0.2">
      <c r="G53" s="133"/>
      <c r="H53" s="133"/>
      <c r="I53" s="133"/>
      <c r="J53" s="137"/>
      <c r="K53" s="137"/>
      <c r="L53" s="137"/>
      <c r="M53" s="137"/>
      <c r="N53" s="137"/>
      <c r="Y53" s="133"/>
      <c r="Z53" s="133"/>
      <c r="AA53" s="133"/>
      <c r="AB53" s="137"/>
      <c r="AC53" s="137"/>
      <c r="AD53" s="137"/>
    </row>
    <row r="54" spans="7:30" x14ac:dyDescent="0.2">
      <c r="G54" s="133"/>
      <c r="H54" s="133"/>
      <c r="I54" s="133"/>
      <c r="J54" s="137"/>
      <c r="K54" s="137"/>
      <c r="L54" s="137"/>
      <c r="M54" s="137"/>
      <c r="N54" s="137"/>
      <c r="Y54" s="133"/>
      <c r="Z54" s="133"/>
      <c r="AA54" s="133"/>
      <c r="AB54" s="137"/>
      <c r="AC54" s="137"/>
      <c r="AD54" s="137"/>
    </row>
    <row r="55" spans="7:30" x14ac:dyDescent="0.2">
      <c r="G55" s="133"/>
      <c r="H55" s="133"/>
      <c r="I55" s="133"/>
      <c r="J55" s="137"/>
      <c r="K55" s="137"/>
      <c r="L55" s="137"/>
      <c r="M55" s="137"/>
      <c r="N55" s="137"/>
      <c r="Y55" s="133"/>
      <c r="Z55" s="133"/>
      <c r="AA55" s="133"/>
      <c r="AB55" s="137"/>
      <c r="AC55" s="137"/>
      <c r="AD55" s="137"/>
    </row>
    <row r="56" spans="7:30" x14ac:dyDescent="0.2">
      <c r="G56" s="137"/>
      <c r="H56" s="137"/>
      <c r="I56" s="137"/>
      <c r="J56" s="137"/>
      <c r="K56" s="137"/>
      <c r="L56" s="137"/>
      <c r="M56" s="137"/>
      <c r="N56" s="137"/>
    </row>
    <row r="77" spans="7:34" x14ac:dyDescent="0.2">
      <c r="J77" s="136"/>
      <c r="K77" s="140"/>
      <c r="L77" s="136"/>
      <c r="Y77" s="137"/>
      <c r="Z77" s="137"/>
      <c r="AA77" s="137"/>
      <c r="AB77" s="144"/>
      <c r="AC77" s="220"/>
      <c r="AD77" s="144"/>
      <c r="AE77" s="137"/>
      <c r="AF77" s="137"/>
      <c r="AG77" s="137"/>
      <c r="AH77" s="137"/>
    </row>
    <row r="78" spans="7:34" x14ac:dyDescent="0.2">
      <c r="J78" s="136"/>
      <c r="K78" s="140"/>
      <c r="L78" s="136"/>
      <c r="Y78" s="137"/>
      <c r="Z78" s="137"/>
      <c r="AA78" s="137"/>
      <c r="AB78" s="144"/>
      <c r="AC78" s="220"/>
      <c r="AD78" s="144"/>
      <c r="AE78" s="137"/>
      <c r="AF78" s="137"/>
      <c r="AG78" s="137"/>
      <c r="AH78" s="137"/>
    </row>
    <row r="79" spans="7:34" x14ac:dyDescent="0.2">
      <c r="Y79" s="137"/>
      <c r="Z79" s="137"/>
      <c r="AA79" s="137"/>
      <c r="AB79" s="137"/>
      <c r="AC79" s="137"/>
      <c r="AD79" s="137"/>
      <c r="AE79" s="137"/>
      <c r="AF79" s="137"/>
      <c r="AG79" s="137"/>
      <c r="AH79" s="137"/>
    </row>
    <row r="80" spans="7:34" x14ac:dyDescent="0.2">
      <c r="G80" s="137"/>
      <c r="H80" s="137"/>
      <c r="I80" s="137"/>
      <c r="J80" s="137"/>
      <c r="K80" s="137"/>
      <c r="Y80" s="137"/>
      <c r="Z80" s="137"/>
      <c r="AA80" s="137"/>
      <c r="AB80" s="137"/>
      <c r="AC80" s="137"/>
      <c r="AD80" s="137"/>
      <c r="AE80" s="137"/>
      <c r="AF80" s="137"/>
      <c r="AG80" s="137"/>
      <c r="AH80" s="137"/>
    </row>
    <row r="81" spans="7:34" x14ac:dyDescent="0.2">
      <c r="G81" s="145"/>
      <c r="H81" s="145"/>
      <c r="I81" s="145"/>
      <c r="J81" s="137"/>
      <c r="K81" s="137"/>
      <c r="Y81" s="145"/>
      <c r="Z81" s="145"/>
      <c r="AA81" s="145"/>
      <c r="AB81" s="137"/>
      <c r="AC81" s="137"/>
      <c r="AD81" s="137"/>
      <c r="AE81" s="137"/>
      <c r="AF81" s="137"/>
      <c r="AG81" s="137"/>
      <c r="AH81" s="137"/>
    </row>
    <row r="82" spans="7:34" x14ac:dyDescent="0.2">
      <c r="G82" s="133"/>
      <c r="H82" s="133"/>
      <c r="I82" s="133"/>
      <c r="J82" s="137"/>
      <c r="K82" s="137"/>
      <c r="Y82" s="133"/>
      <c r="Z82" s="133"/>
      <c r="AA82" s="133"/>
      <c r="AB82" s="137"/>
      <c r="AC82" s="137"/>
      <c r="AD82" s="137"/>
      <c r="AE82" s="137"/>
      <c r="AF82" s="137"/>
      <c r="AG82" s="137"/>
      <c r="AH82" s="137"/>
    </row>
    <row r="83" spans="7:34" x14ac:dyDescent="0.2">
      <c r="G83" s="133"/>
      <c r="H83" s="133"/>
      <c r="I83" s="133"/>
      <c r="J83" s="137"/>
      <c r="K83" s="137"/>
      <c r="Y83" s="133"/>
      <c r="Z83" s="133"/>
      <c r="AA83" s="133"/>
      <c r="AB83" s="137"/>
      <c r="AC83" s="137"/>
      <c r="AD83" s="137"/>
      <c r="AE83" s="137"/>
      <c r="AF83" s="137"/>
      <c r="AG83" s="137"/>
      <c r="AH83" s="137"/>
    </row>
    <row r="84" spans="7:34" x14ac:dyDescent="0.2">
      <c r="G84" s="133"/>
      <c r="H84" s="133"/>
      <c r="I84" s="133"/>
      <c r="J84" s="137"/>
      <c r="K84" s="137"/>
      <c r="Y84" s="133"/>
      <c r="Z84" s="133"/>
      <c r="AA84" s="133"/>
      <c r="AB84" s="137"/>
      <c r="AC84" s="137"/>
      <c r="AD84" s="137"/>
      <c r="AE84" s="137"/>
      <c r="AF84" s="137"/>
      <c r="AG84" s="137"/>
      <c r="AH84" s="137"/>
    </row>
    <row r="85" spans="7:34" x14ac:dyDescent="0.2">
      <c r="G85" s="133"/>
      <c r="H85" s="133"/>
      <c r="I85" s="133"/>
      <c r="J85" s="137"/>
      <c r="K85" s="137"/>
      <c r="Y85" s="133"/>
      <c r="Z85" s="133"/>
      <c r="AA85" s="133"/>
      <c r="AB85" s="137"/>
      <c r="AC85" s="137"/>
      <c r="AD85" s="137"/>
      <c r="AE85" s="137"/>
      <c r="AF85" s="137"/>
      <c r="AG85" s="137"/>
      <c r="AH85" s="137"/>
    </row>
    <row r="86" spans="7:34" x14ac:dyDescent="0.2">
      <c r="G86" s="133"/>
      <c r="H86" s="133"/>
      <c r="I86" s="133"/>
      <c r="J86" s="137"/>
      <c r="K86" s="137"/>
      <c r="Y86" s="133"/>
      <c r="Z86" s="133"/>
      <c r="AA86" s="133"/>
      <c r="AB86" s="137"/>
      <c r="AC86" s="137"/>
      <c r="AD86" s="137"/>
      <c r="AE86" s="137"/>
      <c r="AF86" s="137"/>
      <c r="AG86" s="137"/>
      <c r="AH86" s="137"/>
    </row>
    <row r="87" spans="7:34" x14ac:dyDescent="0.2">
      <c r="G87" s="137"/>
      <c r="H87" s="137"/>
      <c r="I87" s="137"/>
      <c r="J87" s="137"/>
      <c r="K87" s="137"/>
    </row>
    <row r="88" spans="7:34" x14ac:dyDescent="0.2">
      <c r="G88" s="137"/>
      <c r="H88" s="137"/>
      <c r="I88" s="137"/>
      <c r="J88" s="137"/>
      <c r="K88" s="137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3AC83-485F-6F41-8A6D-B458D45EAE0A}">
  <dimension ref="A1:AE90"/>
  <sheetViews>
    <sheetView workbookViewId="0">
      <selection sqref="A1:XFD1"/>
    </sheetView>
  </sheetViews>
  <sheetFormatPr baseColWidth="10" defaultRowHeight="14" x14ac:dyDescent="0.2"/>
  <cols>
    <col min="1" max="8" width="10.83203125" style="135"/>
    <col min="9" max="9" width="5.5" style="135" customWidth="1"/>
    <col min="10" max="14" width="10.83203125" style="135"/>
    <col min="15" max="15" width="11" style="135" bestFit="1" customWidth="1"/>
    <col min="16" max="16" width="8" style="135" customWidth="1"/>
    <col min="17" max="17" width="7.83203125" style="135" customWidth="1"/>
    <col min="18" max="18" width="8.5" style="135" customWidth="1"/>
    <col min="19" max="19" width="9.33203125" style="135" customWidth="1"/>
    <col min="20" max="20" width="11.33203125" style="135" bestFit="1" customWidth="1"/>
    <col min="21" max="21" width="11.6640625" style="135" bestFit="1" customWidth="1"/>
    <col min="22" max="22" width="11.33203125" style="135" bestFit="1" customWidth="1"/>
    <col min="23" max="23" width="11.6640625" style="135" bestFit="1" customWidth="1"/>
    <col min="24" max="16384" width="10.83203125" style="135"/>
  </cols>
  <sheetData>
    <row r="1" spans="1:25" ht="30" x14ac:dyDescent="0.2">
      <c r="A1" s="243" t="s">
        <v>2</v>
      </c>
      <c r="B1" s="120" t="s">
        <v>3</v>
      </c>
      <c r="C1" s="120" t="s">
        <v>4</v>
      </c>
      <c r="D1" s="121" t="s">
        <v>245</v>
      </c>
      <c r="E1" s="120" t="s">
        <v>246</v>
      </c>
      <c r="F1" s="141" t="s">
        <v>50</v>
      </c>
      <c r="G1" s="141"/>
      <c r="H1" s="141" t="s">
        <v>57</v>
      </c>
      <c r="I1" s="141"/>
      <c r="J1" s="141"/>
      <c r="K1" s="141"/>
      <c r="L1" s="141"/>
      <c r="M1" s="141"/>
      <c r="N1" s="141"/>
      <c r="O1" s="141"/>
      <c r="P1" s="141"/>
      <c r="Q1" s="141"/>
      <c r="R1" s="141"/>
      <c r="S1" s="141"/>
      <c r="T1" s="141"/>
      <c r="U1" s="141"/>
      <c r="V1" s="141"/>
      <c r="W1" s="141"/>
      <c r="X1" s="141"/>
      <c r="Y1" s="141"/>
    </row>
    <row r="2" spans="1:25" x14ac:dyDescent="0.2">
      <c r="A2" s="109">
        <v>43838</v>
      </c>
      <c r="B2" s="110">
        <v>1</v>
      </c>
      <c r="C2" s="111">
        <v>0</v>
      </c>
      <c r="D2" s="112">
        <v>2</v>
      </c>
      <c r="E2" s="115">
        <f>D2-$D$2</f>
        <v>0</v>
      </c>
      <c r="F2" s="213" t="s">
        <v>51</v>
      </c>
      <c r="G2" s="213"/>
      <c r="H2" s="146"/>
      <c r="I2" s="146" t="s">
        <v>62</v>
      </c>
      <c r="J2" s="146" t="s">
        <v>63</v>
      </c>
      <c r="K2" s="146" t="s">
        <v>64</v>
      </c>
      <c r="L2" s="146" t="s">
        <v>65</v>
      </c>
      <c r="M2" s="146" t="s">
        <v>66</v>
      </c>
      <c r="N2" s="146"/>
      <c r="O2" s="146" t="s">
        <v>67</v>
      </c>
      <c r="P2" s="146" t="s">
        <v>270</v>
      </c>
      <c r="Q2" s="146" t="s">
        <v>271</v>
      </c>
      <c r="R2" s="146" t="s">
        <v>68</v>
      </c>
      <c r="S2" s="146" t="s">
        <v>69</v>
      </c>
      <c r="T2" s="146" t="s">
        <v>70</v>
      </c>
      <c r="U2" s="146" t="s">
        <v>71</v>
      </c>
      <c r="V2" s="146" t="s">
        <v>72</v>
      </c>
      <c r="W2" s="146" t="s">
        <v>73</v>
      </c>
      <c r="X2" s="178" t="s">
        <v>272</v>
      </c>
      <c r="Y2" s="178" t="s">
        <v>273</v>
      </c>
    </row>
    <row r="3" spans="1:25" x14ac:dyDescent="0.2">
      <c r="A3" s="109">
        <v>43838</v>
      </c>
      <c r="B3" s="110">
        <v>1</v>
      </c>
      <c r="C3" s="113">
        <v>0.05</v>
      </c>
      <c r="D3" s="232">
        <v>2900.5446084825699</v>
      </c>
      <c r="E3" s="115">
        <f t="shared" ref="E3:E7" si="0">D3-$D$2</f>
        <v>2898.5446084825699</v>
      </c>
      <c r="F3" s="133" t="s">
        <v>52</v>
      </c>
      <c r="G3" s="133">
        <v>0.9999955234847272</v>
      </c>
      <c r="H3" s="133" t="s">
        <v>58</v>
      </c>
      <c r="I3" s="133">
        <v>1</v>
      </c>
      <c r="J3" s="133">
        <v>2175318926.0903659</v>
      </c>
      <c r="K3" s="133">
        <v>2175318926.0903659</v>
      </c>
      <c r="L3" s="133">
        <v>335079.81910376623</v>
      </c>
      <c r="M3" s="133">
        <v>1.1369560359177463E-8</v>
      </c>
      <c r="N3" s="133" t="s">
        <v>61</v>
      </c>
      <c r="O3" s="134">
        <v>-199.44547615697593</v>
      </c>
      <c r="P3" s="134">
        <v>53.413570993687969</v>
      </c>
      <c r="Q3" s="134">
        <f>P3*SQRT(G7)</f>
        <v>119.43637566289729</v>
      </c>
      <c r="R3" s="134">
        <v>-3.7339850612224552</v>
      </c>
      <c r="S3" s="134">
        <v>3.3482823272506727E-2</v>
      </c>
      <c r="T3" s="134">
        <v>-369.43129781784728</v>
      </c>
      <c r="U3" s="134">
        <v>-29.459654496104548</v>
      </c>
      <c r="V3" s="134">
        <v>-369.43129781784728</v>
      </c>
      <c r="W3" s="134">
        <v>-29.459654496104548</v>
      </c>
      <c r="X3" s="162">
        <f>3.3*Q3/O4</f>
        <v>6.5621740162506914E-3</v>
      </c>
      <c r="Y3" s="162">
        <f>10*Q3/O4</f>
        <v>1.9885375806820278E-2</v>
      </c>
    </row>
    <row r="4" spans="1:25" x14ac:dyDescent="0.2">
      <c r="A4" s="109">
        <v>43838</v>
      </c>
      <c r="B4" s="110">
        <v>1</v>
      </c>
      <c r="C4" s="113">
        <v>0.1</v>
      </c>
      <c r="D4" s="232">
        <v>5801.6781309439903</v>
      </c>
      <c r="E4" s="115">
        <f t="shared" si="0"/>
        <v>5799.6781309439903</v>
      </c>
      <c r="F4" s="133" t="s">
        <v>53</v>
      </c>
      <c r="G4" s="133">
        <v>0.99999104698949348</v>
      </c>
      <c r="H4" s="133" t="s">
        <v>59</v>
      </c>
      <c r="I4" s="133">
        <v>3</v>
      </c>
      <c r="J4" s="133">
        <v>19475.827567670269</v>
      </c>
      <c r="K4" s="133">
        <v>6491.9425225567566</v>
      </c>
      <c r="L4" s="133"/>
      <c r="M4" s="133"/>
      <c r="N4" s="133" t="s">
        <v>74</v>
      </c>
      <c r="O4" s="134">
        <v>60062.418142448711</v>
      </c>
      <c r="P4" s="134">
        <v>103.75969272837034</v>
      </c>
      <c r="Q4" s="134"/>
      <c r="R4" s="134">
        <v>578.86079423620185</v>
      </c>
      <c r="S4" s="134">
        <v>1.1369560359177463E-8</v>
      </c>
      <c r="T4" s="134">
        <v>59732.208491687932</v>
      </c>
      <c r="U4" s="134">
        <v>60392.627793209489</v>
      </c>
      <c r="V4" s="134">
        <v>59732.208491687932</v>
      </c>
      <c r="W4" s="134">
        <v>60392.627793209489</v>
      </c>
    </row>
    <row r="5" spans="1:25" x14ac:dyDescent="0.2">
      <c r="A5" s="109">
        <v>43838</v>
      </c>
      <c r="B5" s="110">
        <v>1</v>
      </c>
      <c r="C5" s="113">
        <v>0.25</v>
      </c>
      <c r="D5" s="232">
        <v>14726.8383387712</v>
      </c>
      <c r="E5" s="115">
        <f t="shared" si="0"/>
        <v>14724.8383387712</v>
      </c>
      <c r="F5" s="133" t="s">
        <v>54</v>
      </c>
      <c r="G5" s="133">
        <v>0.99998806265265794</v>
      </c>
      <c r="H5" s="133" t="s">
        <v>60</v>
      </c>
      <c r="I5" s="133">
        <v>4</v>
      </c>
      <c r="J5" s="133">
        <v>2175338401.9179335</v>
      </c>
      <c r="K5" s="133"/>
      <c r="L5" s="133"/>
      <c r="M5" s="133"/>
      <c r="N5" s="137"/>
      <c r="O5" s="138"/>
      <c r="P5" s="138"/>
      <c r="Q5" s="138"/>
      <c r="R5" s="138"/>
      <c r="S5" s="138"/>
      <c r="T5" s="138"/>
      <c r="U5" s="138"/>
      <c r="V5" s="138"/>
      <c r="W5" s="138"/>
    </row>
    <row r="6" spans="1:25" x14ac:dyDescent="0.2">
      <c r="A6" s="109">
        <v>43838</v>
      </c>
      <c r="B6" s="110">
        <v>1</v>
      </c>
      <c r="C6" s="114">
        <v>0.5</v>
      </c>
      <c r="D6" s="232">
        <v>29803.306011669902</v>
      </c>
      <c r="E6" s="115">
        <f t="shared" si="0"/>
        <v>29801.306011669902</v>
      </c>
      <c r="F6" s="133" t="s">
        <v>55</v>
      </c>
      <c r="G6" s="133">
        <v>80.572591633611708</v>
      </c>
      <c r="O6" s="139"/>
      <c r="P6" s="139"/>
      <c r="Q6" s="139"/>
      <c r="R6" s="139"/>
      <c r="S6" s="139"/>
      <c r="T6" s="139"/>
      <c r="U6" s="139"/>
      <c r="V6" s="139"/>
      <c r="W6" s="139"/>
    </row>
    <row r="7" spans="1:25" x14ac:dyDescent="0.2">
      <c r="A7" s="123">
        <v>43838</v>
      </c>
      <c r="B7" s="124">
        <v>1</v>
      </c>
      <c r="C7" s="125">
        <v>1</v>
      </c>
      <c r="D7" s="235">
        <v>59899</v>
      </c>
      <c r="E7" s="156">
        <f t="shared" si="0"/>
        <v>59897</v>
      </c>
      <c r="F7" s="148" t="s">
        <v>56</v>
      </c>
      <c r="G7" s="148">
        <v>5</v>
      </c>
      <c r="H7" s="141"/>
      <c r="I7" s="141"/>
      <c r="J7" s="141"/>
      <c r="K7" s="141"/>
      <c r="L7" s="141"/>
      <c r="M7" s="141"/>
      <c r="N7" s="141"/>
      <c r="O7" s="142"/>
      <c r="P7" s="142"/>
      <c r="Q7" s="142"/>
      <c r="R7" s="142"/>
      <c r="S7" s="142"/>
      <c r="T7" s="142"/>
      <c r="U7" s="142"/>
      <c r="V7" s="142"/>
      <c r="W7" s="142"/>
      <c r="X7" s="141"/>
      <c r="Y7" s="141"/>
    </row>
    <row r="8" spans="1:25" x14ac:dyDescent="0.2">
      <c r="A8" s="109">
        <v>43838</v>
      </c>
      <c r="B8" s="110">
        <v>2</v>
      </c>
      <c r="C8" s="111">
        <v>0</v>
      </c>
      <c r="D8" s="232">
        <v>12.5000057750028</v>
      </c>
      <c r="E8" s="116">
        <f>D8-$D$8</f>
        <v>0</v>
      </c>
      <c r="F8" s="213" t="s">
        <v>51</v>
      </c>
      <c r="G8" s="213"/>
      <c r="H8" s="146"/>
      <c r="I8" s="146" t="s">
        <v>62</v>
      </c>
      <c r="J8" s="146" t="s">
        <v>63</v>
      </c>
      <c r="K8" s="146" t="s">
        <v>64</v>
      </c>
      <c r="L8" s="146" t="s">
        <v>65</v>
      </c>
      <c r="M8" s="146" t="s">
        <v>66</v>
      </c>
      <c r="N8" s="146"/>
      <c r="O8" s="215" t="s">
        <v>67</v>
      </c>
      <c r="P8" s="215" t="s">
        <v>270</v>
      </c>
      <c r="Q8" s="215" t="s">
        <v>271</v>
      </c>
      <c r="R8" s="215" t="s">
        <v>68</v>
      </c>
      <c r="S8" s="215" t="s">
        <v>69</v>
      </c>
      <c r="T8" s="215" t="s">
        <v>70</v>
      </c>
      <c r="U8" s="215" t="s">
        <v>71</v>
      </c>
      <c r="V8" s="215" t="s">
        <v>72</v>
      </c>
      <c r="W8" s="215" t="s">
        <v>73</v>
      </c>
    </row>
    <row r="9" spans="1:25" x14ac:dyDescent="0.2">
      <c r="A9" s="109">
        <v>43838</v>
      </c>
      <c r="B9" s="110">
        <v>2</v>
      </c>
      <c r="C9" s="113">
        <v>0.05</v>
      </c>
      <c r="D9" s="232">
        <v>2622.4907001094598</v>
      </c>
      <c r="E9" s="116">
        <f t="shared" ref="E9:E13" si="1">D9-$D$8</f>
        <v>2609.9906943344572</v>
      </c>
      <c r="F9" s="133" t="s">
        <v>52</v>
      </c>
      <c r="G9" s="133">
        <v>0.9999803840791841</v>
      </c>
      <c r="H9" s="133" t="s">
        <v>58</v>
      </c>
      <c r="I9" s="133">
        <v>1</v>
      </c>
      <c r="J9" s="133">
        <v>1734192091.327774</v>
      </c>
      <c r="K9" s="133">
        <v>1734192091.327774</v>
      </c>
      <c r="L9" s="133">
        <v>76466.247921815011</v>
      </c>
      <c r="M9" s="133">
        <v>1.0429071120437435E-7</v>
      </c>
      <c r="N9" s="133" t="s">
        <v>61</v>
      </c>
      <c r="O9" s="134">
        <v>-118.57801864634166</v>
      </c>
      <c r="P9" s="134">
        <v>99.833889463784246</v>
      </c>
      <c r="Q9" s="134">
        <f>P9*SQRT(G13)</f>
        <v>223.2353632992216</v>
      </c>
      <c r="R9" s="134">
        <v>-1.187753169622396</v>
      </c>
      <c r="S9" s="134">
        <v>0.32039948554016101</v>
      </c>
      <c r="T9" s="134">
        <v>-436.29401131246402</v>
      </c>
      <c r="U9" s="134">
        <v>199.1379740197807</v>
      </c>
      <c r="V9" s="134">
        <v>-436.29401131246402</v>
      </c>
      <c r="W9" s="134">
        <v>199.1379740197807</v>
      </c>
      <c r="X9" s="162">
        <f>3.3*Q9/O10</f>
        <v>1.3736844709875559E-2</v>
      </c>
      <c r="Y9" s="162">
        <f>10*Q9/O10</f>
        <v>4.1626802151138065E-2</v>
      </c>
    </row>
    <row r="10" spans="1:25" x14ac:dyDescent="0.2">
      <c r="A10" s="109">
        <v>43838</v>
      </c>
      <c r="B10" s="110">
        <v>2</v>
      </c>
      <c r="C10" s="113">
        <v>0.1</v>
      </c>
      <c r="D10" s="232">
        <v>5246.7134602942797</v>
      </c>
      <c r="E10" s="116">
        <f t="shared" si="1"/>
        <v>5234.2134545192766</v>
      </c>
      <c r="F10" s="133" t="s">
        <v>53</v>
      </c>
      <c r="G10" s="133">
        <v>0.99996076854315263</v>
      </c>
      <c r="H10" s="133" t="s">
        <v>59</v>
      </c>
      <c r="I10" s="133">
        <v>3</v>
      </c>
      <c r="J10" s="133">
        <v>68037.551408339496</v>
      </c>
      <c r="K10" s="133">
        <v>22679.183802779833</v>
      </c>
      <c r="L10" s="133"/>
      <c r="M10" s="133"/>
      <c r="N10" s="133" t="s">
        <v>74</v>
      </c>
      <c r="O10" s="134">
        <v>53627.795497886553</v>
      </c>
      <c r="P10" s="134">
        <v>193.93449084062294</v>
      </c>
      <c r="Q10" s="134"/>
      <c r="R10" s="134">
        <v>276.52531153913384</v>
      </c>
      <c r="S10" s="134">
        <v>1.0429071120437435E-7</v>
      </c>
      <c r="T10" s="134">
        <v>53010.609394043735</v>
      </c>
      <c r="U10" s="134">
        <v>54244.981601729371</v>
      </c>
      <c r="V10" s="134">
        <v>53010.609394043735</v>
      </c>
      <c r="W10" s="134">
        <v>54244.981601729371</v>
      </c>
    </row>
    <row r="11" spans="1:25" x14ac:dyDescent="0.2">
      <c r="A11" s="109">
        <v>43838</v>
      </c>
      <c r="B11" s="110">
        <v>2</v>
      </c>
      <c r="C11" s="113">
        <v>0.25</v>
      </c>
      <c r="D11" s="232">
        <v>13400.2827892243</v>
      </c>
      <c r="E11" s="116">
        <f t="shared" si="1"/>
        <v>13387.782783449298</v>
      </c>
      <c r="F11" s="133" t="s">
        <v>54</v>
      </c>
      <c r="G11" s="133">
        <v>0.99994769139087014</v>
      </c>
      <c r="H11" s="133" t="s">
        <v>60</v>
      </c>
      <c r="I11" s="133">
        <v>4</v>
      </c>
      <c r="J11" s="133">
        <v>1734260128.8791823</v>
      </c>
      <c r="K11" s="133"/>
      <c r="L11" s="133"/>
      <c r="M11" s="133"/>
      <c r="N11" s="137"/>
      <c r="O11" s="138"/>
      <c r="P11" s="138"/>
      <c r="Q11" s="138"/>
      <c r="R11" s="138"/>
      <c r="S11" s="138"/>
      <c r="T11" s="138"/>
      <c r="U11" s="138"/>
      <c r="V11" s="138"/>
      <c r="W11" s="138"/>
    </row>
    <row r="12" spans="1:25" x14ac:dyDescent="0.2">
      <c r="A12" s="109">
        <v>43838</v>
      </c>
      <c r="B12" s="110">
        <v>2</v>
      </c>
      <c r="C12" s="114">
        <v>0.5</v>
      </c>
      <c r="D12" s="232">
        <v>26487.040400193098</v>
      </c>
      <c r="E12" s="116">
        <f t="shared" si="1"/>
        <v>26474.540394418094</v>
      </c>
      <c r="F12" s="133" t="s">
        <v>55</v>
      </c>
      <c r="G12" s="133">
        <v>150.59609491211859</v>
      </c>
      <c r="O12" s="139"/>
      <c r="P12" s="139"/>
      <c r="Q12" s="139"/>
      <c r="R12" s="139"/>
      <c r="S12" s="139"/>
      <c r="T12" s="139"/>
      <c r="U12" s="139"/>
      <c r="V12" s="139"/>
      <c r="W12" s="139"/>
    </row>
    <row r="13" spans="1:25" x14ac:dyDescent="0.2">
      <c r="A13" s="123">
        <v>43838</v>
      </c>
      <c r="B13" s="124">
        <v>2</v>
      </c>
      <c r="C13" s="125">
        <v>1</v>
      </c>
      <c r="D13" s="235">
        <v>53605.894031806602</v>
      </c>
      <c r="E13" s="126">
        <f t="shared" si="1"/>
        <v>53593.394026031601</v>
      </c>
      <c r="F13" s="148" t="s">
        <v>56</v>
      </c>
      <c r="G13" s="148">
        <v>5</v>
      </c>
      <c r="H13" s="141"/>
      <c r="I13" s="141"/>
      <c r="J13" s="141"/>
      <c r="K13" s="141"/>
      <c r="L13" s="141"/>
      <c r="M13" s="141"/>
      <c r="N13" s="141"/>
      <c r="O13" s="142"/>
      <c r="P13" s="142"/>
      <c r="Q13" s="142"/>
      <c r="R13" s="142"/>
      <c r="S13" s="142"/>
      <c r="T13" s="142"/>
      <c r="U13" s="142"/>
      <c r="V13" s="142"/>
      <c r="W13" s="142"/>
      <c r="X13" s="141"/>
      <c r="Y13" s="141"/>
    </row>
    <row r="14" spans="1:25" x14ac:dyDescent="0.2">
      <c r="A14" s="109">
        <v>43838</v>
      </c>
      <c r="B14" s="110">
        <v>3</v>
      </c>
      <c r="C14" s="111">
        <v>0</v>
      </c>
      <c r="D14" s="232">
        <v>23.000019197516501</v>
      </c>
      <c r="E14" s="116">
        <f>D14-$D$14</f>
        <v>0</v>
      </c>
      <c r="F14" s="213" t="s">
        <v>51</v>
      </c>
      <c r="G14" s="213"/>
      <c r="H14" s="146"/>
      <c r="I14" s="146" t="s">
        <v>62</v>
      </c>
      <c r="J14" s="146" t="s">
        <v>63</v>
      </c>
      <c r="K14" s="146" t="s">
        <v>64</v>
      </c>
      <c r="L14" s="146" t="s">
        <v>65</v>
      </c>
      <c r="M14" s="146" t="s">
        <v>66</v>
      </c>
      <c r="N14" s="146"/>
      <c r="O14" s="215" t="s">
        <v>67</v>
      </c>
      <c r="P14" s="215" t="s">
        <v>270</v>
      </c>
      <c r="Q14" s="215" t="s">
        <v>271</v>
      </c>
      <c r="R14" s="215" t="s">
        <v>68</v>
      </c>
      <c r="S14" s="215" t="s">
        <v>69</v>
      </c>
      <c r="T14" s="215" t="s">
        <v>70</v>
      </c>
      <c r="U14" s="215" t="s">
        <v>71</v>
      </c>
      <c r="V14" s="215" t="s">
        <v>72</v>
      </c>
      <c r="W14" s="215" t="s">
        <v>73</v>
      </c>
    </row>
    <row r="15" spans="1:25" x14ac:dyDescent="0.2">
      <c r="A15" s="109">
        <v>43838</v>
      </c>
      <c r="B15" s="110">
        <v>3</v>
      </c>
      <c r="C15" s="113">
        <v>0.05</v>
      </c>
      <c r="D15" s="232">
        <v>2457.96161415509</v>
      </c>
      <c r="E15" s="116">
        <f t="shared" ref="E15:E19" si="2">D15-$D$14</f>
        <v>2434.9615949575737</v>
      </c>
      <c r="F15" s="133" t="s">
        <v>52</v>
      </c>
      <c r="G15" s="133">
        <v>0.99998547430923268</v>
      </c>
      <c r="H15" s="133" t="s">
        <v>58</v>
      </c>
      <c r="I15" s="133">
        <v>1</v>
      </c>
      <c r="J15" s="133">
        <v>1582210505.8293517</v>
      </c>
      <c r="K15" s="133">
        <v>1582210505.8293517</v>
      </c>
      <c r="L15" s="133">
        <v>103263.06275592084</v>
      </c>
      <c r="M15" s="133">
        <v>6.645659758495397E-8</v>
      </c>
      <c r="N15" s="133" t="s">
        <v>61</v>
      </c>
      <c r="O15" s="134">
        <v>-146.53605952091675</v>
      </c>
      <c r="P15" s="134">
        <v>82.058563845931531</v>
      </c>
      <c r="Q15" s="134">
        <f>P15*SQRT(G19)</f>
        <v>183.48852689550949</v>
      </c>
      <c r="R15" s="134">
        <v>-1.7857497457065479</v>
      </c>
      <c r="S15" s="134">
        <v>0.17212122883460845</v>
      </c>
      <c r="T15" s="134">
        <v>-407.68303284928891</v>
      </c>
      <c r="U15" s="134">
        <v>114.6109138074554</v>
      </c>
      <c r="V15" s="134">
        <v>-407.68303284928891</v>
      </c>
      <c r="W15" s="134">
        <v>114.6109138074554</v>
      </c>
      <c r="X15" s="162">
        <f>3.3*Q15/O16</f>
        <v>1.182086828047854E-2</v>
      </c>
      <c r="Y15" s="162">
        <f>10*Q15/O16</f>
        <v>3.5820812971147087E-2</v>
      </c>
    </row>
    <row r="16" spans="1:25" x14ac:dyDescent="0.2">
      <c r="A16" s="109">
        <v>43838</v>
      </c>
      <c r="B16" s="110">
        <v>3</v>
      </c>
      <c r="C16" s="113">
        <v>0.1</v>
      </c>
      <c r="D16" s="232">
        <v>5068.64912613863</v>
      </c>
      <c r="E16" s="116">
        <f t="shared" si="2"/>
        <v>5045.6491069411131</v>
      </c>
      <c r="F16" s="133" t="s">
        <v>53</v>
      </c>
      <c r="G16" s="133">
        <v>0.99997094882946114</v>
      </c>
      <c r="H16" s="133" t="s">
        <v>59</v>
      </c>
      <c r="I16" s="133">
        <v>3</v>
      </c>
      <c r="J16" s="133">
        <v>45966.402611042984</v>
      </c>
      <c r="K16" s="133">
        <v>15322.134203680995</v>
      </c>
      <c r="L16" s="133"/>
      <c r="M16" s="133"/>
      <c r="N16" s="133" t="s">
        <v>74</v>
      </c>
      <c r="O16" s="134">
        <v>51223.998473542641</v>
      </c>
      <c r="P16" s="134">
        <v>159.40464589778847</v>
      </c>
      <c r="Q16" s="134"/>
      <c r="R16" s="134">
        <v>321.3457059864358</v>
      </c>
      <c r="S16" s="134">
        <v>6.645659758495397E-8</v>
      </c>
      <c r="T16" s="134">
        <v>50716.701747160165</v>
      </c>
      <c r="U16" s="134">
        <v>51731.295199925116</v>
      </c>
      <c r="V16" s="134">
        <v>50716.701747160165</v>
      </c>
      <c r="W16" s="134">
        <v>51731.295199925116</v>
      </c>
    </row>
    <row r="17" spans="1:31" x14ac:dyDescent="0.2">
      <c r="A17" s="109">
        <v>43838</v>
      </c>
      <c r="B17" s="110">
        <v>3</v>
      </c>
      <c r="C17" s="113">
        <v>0.25</v>
      </c>
      <c r="D17" s="232">
        <v>12695.8907974389</v>
      </c>
      <c r="E17" s="116">
        <f t="shared" si="2"/>
        <v>12672.890778241384</v>
      </c>
      <c r="F17" s="133" t="s">
        <v>54</v>
      </c>
      <c r="G17" s="133">
        <v>0.99996126510594818</v>
      </c>
      <c r="H17" s="133" t="s">
        <v>60</v>
      </c>
      <c r="I17" s="133">
        <v>4</v>
      </c>
      <c r="J17" s="133">
        <v>1582256472.2319627</v>
      </c>
      <c r="K17" s="133"/>
      <c r="L17" s="133"/>
      <c r="M17" s="133"/>
      <c r="N17" s="137"/>
      <c r="O17" s="138"/>
      <c r="P17" s="138"/>
      <c r="Q17" s="138"/>
      <c r="R17" s="138"/>
      <c r="S17" s="138"/>
      <c r="T17" s="138"/>
      <c r="U17" s="138"/>
      <c r="V17" s="138"/>
      <c r="W17" s="138"/>
    </row>
    <row r="18" spans="1:31" x14ac:dyDescent="0.2">
      <c r="A18" s="109">
        <v>43838</v>
      </c>
      <c r="B18" s="110">
        <v>3</v>
      </c>
      <c r="C18" s="114">
        <v>0.5</v>
      </c>
      <c r="D18" s="232">
        <v>25304.143104466399</v>
      </c>
      <c r="E18" s="116">
        <f t="shared" si="2"/>
        <v>25281.143085268883</v>
      </c>
      <c r="F18" s="133" t="s">
        <v>55</v>
      </c>
      <c r="G18" s="133">
        <v>123.78260864790738</v>
      </c>
      <c r="H18" s="137"/>
      <c r="I18" s="137"/>
      <c r="J18" s="144"/>
      <c r="K18" s="220"/>
      <c r="L18" s="144"/>
      <c r="M18" s="137"/>
      <c r="O18" s="139"/>
      <c r="P18" s="139"/>
      <c r="Q18" s="139"/>
      <c r="R18" s="139"/>
      <c r="S18" s="139"/>
      <c r="T18" s="139"/>
      <c r="U18" s="139"/>
      <c r="V18" s="139"/>
      <c r="W18" s="139"/>
      <c r="Y18" s="137"/>
      <c r="Z18" s="137"/>
      <c r="AA18" s="137"/>
      <c r="AB18" s="144"/>
      <c r="AC18" s="220"/>
      <c r="AD18" s="144"/>
      <c r="AE18" s="137"/>
    </row>
    <row r="19" spans="1:31" x14ac:dyDescent="0.2">
      <c r="A19" s="123">
        <v>43838</v>
      </c>
      <c r="B19" s="124">
        <v>3</v>
      </c>
      <c r="C19" s="125">
        <v>1</v>
      </c>
      <c r="D19" s="235">
        <v>51181.272255914999</v>
      </c>
      <c r="E19" s="126">
        <f t="shared" si="2"/>
        <v>51158.272236717479</v>
      </c>
      <c r="F19" s="148" t="s">
        <v>56</v>
      </c>
      <c r="G19" s="148">
        <v>5</v>
      </c>
      <c r="H19" s="141"/>
      <c r="I19" s="141"/>
      <c r="J19" s="143"/>
      <c r="K19" s="280"/>
      <c r="L19" s="143"/>
      <c r="M19" s="141"/>
      <c r="N19" s="141"/>
      <c r="O19" s="142"/>
      <c r="P19" s="142"/>
      <c r="Q19" s="142"/>
      <c r="R19" s="142"/>
      <c r="S19" s="142"/>
      <c r="T19" s="142"/>
      <c r="U19" s="142"/>
      <c r="V19" s="142"/>
      <c r="W19" s="142"/>
      <c r="X19" s="141"/>
      <c r="Y19" s="141"/>
      <c r="Z19" s="137"/>
      <c r="AA19" s="137"/>
      <c r="AB19" s="144"/>
      <c r="AC19" s="220"/>
      <c r="AD19" s="144"/>
      <c r="AE19" s="137"/>
    </row>
    <row r="20" spans="1:31" x14ac:dyDescent="0.2">
      <c r="A20" s="290">
        <v>43789</v>
      </c>
      <c r="B20" s="291">
        <v>1</v>
      </c>
      <c r="C20" s="111">
        <v>0</v>
      </c>
      <c r="D20" s="232">
        <v>2</v>
      </c>
      <c r="E20" s="116">
        <f>D20-$D$20</f>
        <v>0</v>
      </c>
      <c r="F20" s="213" t="s">
        <v>51</v>
      </c>
      <c r="G20" s="213"/>
      <c r="H20" s="146"/>
      <c r="I20" s="146" t="s">
        <v>62</v>
      </c>
      <c r="J20" s="146" t="s">
        <v>63</v>
      </c>
      <c r="K20" s="146" t="s">
        <v>64</v>
      </c>
      <c r="L20" s="146" t="s">
        <v>65</v>
      </c>
      <c r="M20" s="146" t="s">
        <v>66</v>
      </c>
      <c r="N20" s="146"/>
      <c r="O20" s="215" t="s">
        <v>67</v>
      </c>
      <c r="P20" s="215" t="s">
        <v>270</v>
      </c>
      <c r="Q20" s="215" t="s">
        <v>271</v>
      </c>
      <c r="R20" s="215" t="s">
        <v>68</v>
      </c>
      <c r="S20" s="215" t="s">
        <v>69</v>
      </c>
      <c r="T20" s="215" t="s">
        <v>70</v>
      </c>
      <c r="U20" s="215" t="s">
        <v>71</v>
      </c>
      <c r="V20" s="215" t="s">
        <v>72</v>
      </c>
      <c r="W20" s="215" t="s">
        <v>73</v>
      </c>
      <c r="Y20" s="137"/>
      <c r="Z20" s="137"/>
      <c r="AA20" s="137"/>
      <c r="AB20" s="137"/>
      <c r="AC20" s="137"/>
      <c r="AD20" s="137"/>
      <c r="AE20" s="137"/>
    </row>
    <row r="21" spans="1:31" x14ac:dyDescent="0.2">
      <c r="A21" s="290">
        <v>43789</v>
      </c>
      <c r="B21" s="291">
        <v>1</v>
      </c>
      <c r="C21" s="113">
        <v>0.05</v>
      </c>
      <c r="D21" s="176">
        <v>3374.14845498872</v>
      </c>
      <c r="E21" s="116">
        <f t="shared" ref="E21:E25" si="3">D21-$D$20</f>
        <v>3372.14845498872</v>
      </c>
      <c r="F21" s="133" t="s">
        <v>52</v>
      </c>
      <c r="G21" s="133">
        <v>0.99988693327147515</v>
      </c>
      <c r="H21" s="133" t="s">
        <v>58</v>
      </c>
      <c r="I21" s="133">
        <v>1</v>
      </c>
      <c r="J21" s="133">
        <v>2322092580.4570818</v>
      </c>
      <c r="K21" s="133">
        <v>2322092580.4570818</v>
      </c>
      <c r="L21" s="133">
        <v>13264.252218331712</v>
      </c>
      <c r="M21" s="133">
        <v>1.4432073478202329E-6</v>
      </c>
      <c r="N21" s="133" t="s">
        <v>61</v>
      </c>
      <c r="O21" s="134">
        <v>554.71154448409288</v>
      </c>
      <c r="P21" s="134">
        <v>277.37202721194996</v>
      </c>
      <c r="Q21" s="134">
        <f>P21*SQRT(G25)</f>
        <v>620.22270790284165</v>
      </c>
      <c r="R21" s="134">
        <v>1.9998827930122089</v>
      </c>
      <c r="S21" s="134">
        <v>0.13934179482673981</v>
      </c>
      <c r="T21" s="134">
        <v>-328.01003870562965</v>
      </c>
      <c r="U21" s="134">
        <v>1437.4331276738153</v>
      </c>
      <c r="V21" s="134">
        <v>-328.01003870562965</v>
      </c>
      <c r="W21" s="134">
        <v>1437.4331276738153</v>
      </c>
      <c r="X21" s="162">
        <f>3.3*Q21/O22</f>
        <v>3.2982266259577342E-2</v>
      </c>
      <c r="Y21" s="162">
        <f>10*Q21/O22</f>
        <v>9.9946261392658609E-2</v>
      </c>
      <c r="Z21" s="145"/>
      <c r="AA21" s="145"/>
      <c r="AB21" s="137"/>
      <c r="AC21" s="137"/>
      <c r="AD21" s="137"/>
      <c r="AE21" s="137"/>
    </row>
    <row r="22" spans="1:31" x14ac:dyDescent="0.2">
      <c r="A22" s="290">
        <v>43789</v>
      </c>
      <c r="B22" s="291">
        <v>1</v>
      </c>
      <c r="C22" s="113">
        <v>0.1</v>
      </c>
      <c r="D22" s="176">
        <v>6627.28706524875</v>
      </c>
      <c r="E22" s="116">
        <f t="shared" si="3"/>
        <v>6625.28706524875</v>
      </c>
      <c r="F22" s="133" t="s">
        <v>53</v>
      </c>
      <c r="G22" s="133">
        <v>0.99977387932703543</v>
      </c>
      <c r="H22" s="133" t="s">
        <v>59</v>
      </c>
      <c r="I22" s="133">
        <v>3</v>
      </c>
      <c r="J22" s="133">
        <v>525191.89372346061</v>
      </c>
      <c r="K22" s="133">
        <v>175063.96457448686</v>
      </c>
      <c r="L22" s="133"/>
      <c r="M22" s="133"/>
      <c r="N22" s="133" t="s">
        <v>74</v>
      </c>
      <c r="O22" s="134">
        <v>62055.61861550522</v>
      </c>
      <c r="P22" s="134">
        <v>538.81505728868262</v>
      </c>
      <c r="Q22" s="134"/>
      <c r="R22" s="134">
        <v>115.17053537399102</v>
      </c>
      <c r="S22" s="134">
        <v>1.4432073478202329E-6</v>
      </c>
      <c r="T22" s="134">
        <v>60340.868627205622</v>
      </c>
      <c r="U22" s="134">
        <v>63770.368603804818</v>
      </c>
      <c r="V22" s="134">
        <v>60340.868627205622</v>
      </c>
      <c r="W22" s="134">
        <v>63770.368603804818</v>
      </c>
      <c r="Y22" s="133"/>
      <c r="Z22" s="133"/>
      <c r="AA22" s="133"/>
      <c r="AB22" s="137"/>
      <c r="AC22" s="137"/>
      <c r="AD22" s="137"/>
      <c r="AE22" s="137"/>
    </row>
    <row r="23" spans="1:31" x14ac:dyDescent="0.2">
      <c r="A23" s="290">
        <v>43789</v>
      </c>
      <c r="B23" s="291">
        <v>1</v>
      </c>
      <c r="C23" s="113">
        <v>0.25</v>
      </c>
      <c r="D23" s="176">
        <v>16217.4509991793</v>
      </c>
      <c r="E23" s="116">
        <f t="shared" si="3"/>
        <v>16215.4509991793</v>
      </c>
      <c r="F23" s="133" t="s">
        <v>54</v>
      </c>
      <c r="G23" s="133">
        <v>0.99969850576938057</v>
      </c>
      <c r="H23" s="133" t="s">
        <v>60</v>
      </c>
      <c r="I23" s="133">
        <v>4</v>
      </c>
      <c r="J23" s="133">
        <v>2322617772.3508053</v>
      </c>
      <c r="K23" s="133"/>
      <c r="L23" s="133"/>
      <c r="M23" s="133"/>
      <c r="N23" s="137"/>
      <c r="O23" s="138"/>
      <c r="P23" s="138"/>
      <c r="Q23" s="138"/>
      <c r="R23" s="138"/>
      <c r="S23" s="138"/>
      <c r="T23" s="138"/>
      <c r="U23" s="138"/>
      <c r="V23" s="138"/>
      <c r="W23" s="138"/>
      <c r="Y23" s="133"/>
      <c r="Z23" s="133"/>
      <c r="AA23" s="133"/>
      <c r="AB23" s="137"/>
      <c r="AC23" s="137"/>
      <c r="AD23" s="137"/>
      <c r="AE23" s="137"/>
    </row>
    <row r="24" spans="1:31" x14ac:dyDescent="0.2">
      <c r="A24" s="290">
        <v>43789</v>
      </c>
      <c r="B24" s="291">
        <v>1</v>
      </c>
      <c r="C24" s="114">
        <v>0.5</v>
      </c>
      <c r="D24" s="176">
        <v>32149.397702937102</v>
      </c>
      <c r="E24" s="116">
        <f t="shared" si="3"/>
        <v>32147.397702937102</v>
      </c>
      <c r="F24" s="133" t="s">
        <v>55</v>
      </c>
      <c r="G24" s="133">
        <v>418.40645857167033</v>
      </c>
      <c r="H24" s="133"/>
      <c r="I24" s="133"/>
      <c r="J24" s="137"/>
      <c r="K24" s="137"/>
      <c r="L24" s="137"/>
      <c r="M24" s="137"/>
      <c r="N24" s="137"/>
      <c r="O24" s="138"/>
      <c r="P24" s="138"/>
      <c r="Q24" s="138"/>
      <c r="R24" s="138"/>
      <c r="S24" s="138"/>
      <c r="T24" s="138"/>
      <c r="U24" s="138"/>
      <c r="V24" s="138"/>
      <c r="W24" s="138"/>
      <c r="Y24" s="133"/>
      <c r="Z24" s="133"/>
      <c r="AA24" s="133"/>
      <c r="AB24" s="137"/>
      <c r="AC24" s="137"/>
      <c r="AD24" s="137"/>
      <c r="AE24" s="137"/>
    </row>
    <row r="25" spans="1:31" x14ac:dyDescent="0.2">
      <c r="A25" s="292">
        <v>43789</v>
      </c>
      <c r="B25" s="293">
        <v>1</v>
      </c>
      <c r="C25" s="125">
        <v>1</v>
      </c>
      <c r="D25" s="181">
        <v>62320.948869526503</v>
      </c>
      <c r="E25" s="126">
        <f t="shared" si="3"/>
        <v>62318.948869526503</v>
      </c>
      <c r="F25" s="148" t="s">
        <v>56</v>
      </c>
      <c r="G25" s="148">
        <v>5</v>
      </c>
      <c r="H25" s="148"/>
      <c r="I25" s="148"/>
      <c r="J25" s="141"/>
      <c r="K25" s="141"/>
      <c r="L25" s="141"/>
      <c r="M25" s="141"/>
      <c r="N25" s="141"/>
      <c r="O25" s="142"/>
      <c r="P25" s="142"/>
      <c r="Q25" s="142"/>
      <c r="R25" s="142"/>
      <c r="S25" s="142"/>
      <c r="T25" s="142"/>
      <c r="U25" s="142"/>
      <c r="V25" s="142"/>
      <c r="W25" s="142"/>
      <c r="X25" s="141"/>
      <c r="Y25" s="148"/>
      <c r="Z25" s="133"/>
      <c r="AA25" s="133"/>
      <c r="AB25" s="137"/>
      <c r="AC25" s="137"/>
      <c r="AD25" s="137"/>
      <c r="AE25" s="137"/>
    </row>
    <row r="26" spans="1:31" x14ac:dyDescent="0.2">
      <c r="A26" s="109">
        <v>43888</v>
      </c>
      <c r="B26" s="110">
        <v>1</v>
      </c>
      <c r="C26" s="111">
        <v>0</v>
      </c>
      <c r="D26" s="176">
        <v>1.2500000787500101</v>
      </c>
      <c r="E26" s="116">
        <f>D26-$D$26</f>
        <v>0</v>
      </c>
      <c r="F26" s="213" t="s">
        <v>51</v>
      </c>
      <c r="G26" s="213"/>
      <c r="H26" s="146"/>
      <c r="I26" s="146" t="s">
        <v>62</v>
      </c>
      <c r="J26" s="146" t="s">
        <v>63</v>
      </c>
      <c r="K26" s="146" t="s">
        <v>64</v>
      </c>
      <c r="L26" s="146" t="s">
        <v>65</v>
      </c>
      <c r="M26" s="146" t="s">
        <v>66</v>
      </c>
      <c r="N26" s="146"/>
      <c r="O26" s="215" t="s">
        <v>67</v>
      </c>
      <c r="P26" s="215" t="s">
        <v>270</v>
      </c>
      <c r="Q26" s="215" t="s">
        <v>271</v>
      </c>
      <c r="R26" s="215" t="s">
        <v>68</v>
      </c>
      <c r="S26" s="215" t="s">
        <v>69</v>
      </c>
      <c r="T26" s="215" t="s">
        <v>70</v>
      </c>
      <c r="U26" s="215" t="s">
        <v>71</v>
      </c>
      <c r="V26" s="215" t="s">
        <v>72</v>
      </c>
      <c r="W26" s="215" t="s">
        <v>73</v>
      </c>
      <c r="Y26" s="137"/>
      <c r="Z26" s="137"/>
      <c r="AA26" s="137"/>
      <c r="AB26" s="137"/>
      <c r="AC26" s="137"/>
      <c r="AD26" s="137"/>
      <c r="AE26" s="137"/>
    </row>
    <row r="27" spans="1:31" x14ac:dyDescent="0.2">
      <c r="A27" s="109">
        <v>43888</v>
      </c>
      <c r="B27" s="110">
        <v>1</v>
      </c>
      <c r="C27" s="113">
        <v>0.05</v>
      </c>
      <c r="D27" s="176">
        <v>3059.57766914577</v>
      </c>
      <c r="E27" s="116">
        <f t="shared" ref="E27:E31" si="4">D27-$D$26</f>
        <v>3058.32766906702</v>
      </c>
      <c r="F27" s="133" t="s">
        <v>52</v>
      </c>
      <c r="G27" s="133">
        <v>0.88872087368355812</v>
      </c>
      <c r="H27" s="133" t="s">
        <v>58</v>
      </c>
      <c r="I27" s="133">
        <v>1</v>
      </c>
      <c r="J27" s="133">
        <v>2790536758.6976509</v>
      </c>
      <c r="K27" s="133">
        <v>2790536758.6976509</v>
      </c>
      <c r="L27" s="133">
        <v>11.273805263969031</v>
      </c>
      <c r="M27" s="133">
        <v>4.3809587371803675E-2</v>
      </c>
      <c r="N27" s="133" t="s">
        <v>61</v>
      </c>
      <c r="O27" s="134">
        <v>3829.8099943464949</v>
      </c>
      <c r="P27" s="134">
        <v>10429.725786833233</v>
      </c>
      <c r="Q27" s="134">
        <f>P27*SQRT(G31)</f>
        <v>23321.575846041589</v>
      </c>
      <c r="R27" s="134">
        <v>0.36720140803522855</v>
      </c>
      <c r="S27" s="134">
        <v>0.73784274640245573</v>
      </c>
      <c r="T27" s="134">
        <v>-29362.23230108315</v>
      </c>
      <c r="U27" s="134">
        <v>37021.852289776143</v>
      </c>
      <c r="V27" s="134">
        <v>-29362.23230108315</v>
      </c>
      <c r="W27" s="134">
        <v>37021.852289776143</v>
      </c>
      <c r="X27" s="162">
        <f>3.3*Q27/O28</f>
        <v>1.1313229950333075</v>
      </c>
      <c r="Y27" s="162">
        <f>10*Q27/O28</f>
        <v>3.4282515001009313</v>
      </c>
    </row>
    <row r="28" spans="1:31" x14ac:dyDescent="0.2">
      <c r="A28" s="109">
        <v>43888</v>
      </c>
      <c r="B28" s="110">
        <v>1</v>
      </c>
      <c r="C28" s="113">
        <v>0.1</v>
      </c>
      <c r="D28" s="176">
        <v>6173.5839336791996</v>
      </c>
      <c r="E28" s="116">
        <f t="shared" si="4"/>
        <v>6172.3339336004492</v>
      </c>
      <c r="F28" s="133" t="s">
        <v>53</v>
      </c>
      <c r="G28" s="133">
        <v>0.78982479132086691</v>
      </c>
      <c r="H28" s="133" t="s">
        <v>59</v>
      </c>
      <c r="I28" s="133">
        <v>3</v>
      </c>
      <c r="J28" s="133">
        <v>742571836.22361612</v>
      </c>
      <c r="K28" s="133">
        <v>247523945.40787205</v>
      </c>
      <c r="L28" s="133"/>
      <c r="M28" s="133"/>
      <c r="N28" s="133" t="s">
        <v>74</v>
      </c>
      <c r="O28" s="134">
        <v>68027.610708709602</v>
      </c>
      <c r="P28" s="134">
        <v>20260.490410028229</v>
      </c>
      <c r="Q28" s="134"/>
      <c r="R28" s="134">
        <v>3.3576487701915809</v>
      </c>
      <c r="S28" s="134">
        <v>4.3809587371803675E-2</v>
      </c>
      <c r="T28" s="134">
        <v>3549.6878600792406</v>
      </c>
      <c r="U28" s="134">
        <v>132505.53355733998</v>
      </c>
      <c r="V28" s="134">
        <v>3549.6878600792406</v>
      </c>
      <c r="W28" s="134">
        <v>132505.53355733998</v>
      </c>
    </row>
    <row r="29" spans="1:31" x14ac:dyDescent="0.2">
      <c r="A29" s="109">
        <v>43888</v>
      </c>
      <c r="B29" s="110">
        <v>1</v>
      </c>
      <c r="C29" s="113">
        <v>0.25</v>
      </c>
      <c r="D29" s="176">
        <v>15471.376270528301</v>
      </c>
      <c r="E29" s="116">
        <f t="shared" si="4"/>
        <v>15470.126270449551</v>
      </c>
      <c r="F29" s="133" t="s">
        <v>54</v>
      </c>
      <c r="G29" s="133">
        <v>0.71976638842782259</v>
      </c>
      <c r="H29" s="133" t="s">
        <v>60</v>
      </c>
      <c r="I29" s="133">
        <v>4</v>
      </c>
      <c r="J29" s="133">
        <v>3533108594.921267</v>
      </c>
      <c r="K29" s="133"/>
      <c r="L29" s="133"/>
      <c r="M29" s="133"/>
      <c r="N29" s="137"/>
      <c r="O29" s="138"/>
      <c r="P29" s="138"/>
      <c r="Q29" s="138"/>
      <c r="R29" s="138"/>
      <c r="S29" s="138"/>
      <c r="T29" s="138"/>
      <c r="U29" s="138"/>
      <c r="V29" s="138"/>
      <c r="W29" s="138"/>
    </row>
    <row r="30" spans="1:31" x14ac:dyDescent="0.2">
      <c r="A30" s="109">
        <v>43888</v>
      </c>
      <c r="B30" s="110">
        <v>1</v>
      </c>
      <c r="C30" s="114">
        <v>0.5</v>
      </c>
      <c r="D30" s="176">
        <v>61851.611222660598</v>
      </c>
      <c r="E30" s="116">
        <f t="shared" si="4"/>
        <v>61850.361222581851</v>
      </c>
      <c r="F30" s="133" t="s">
        <v>55</v>
      </c>
      <c r="G30" s="133">
        <v>15732.893739165471</v>
      </c>
      <c r="H30" s="137"/>
      <c r="I30" s="137"/>
      <c r="J30" s="137"/>
      <c r="K30" s="137"/>
      <c r="L30" s="137"/>
      <c r="M30" s="137"/>
      <c r="N30" s="137"/>
      <c r="O30" s="138"/>
      <c r="P30" s="138"/>
      <c r="Q30" s="138"/>
      <c r="R30" s="138"/>
      <c r="S30" s="138"/>
      <c r="T30" s="138"/>
      <c r="U30" s="138"/>
      <c r="V30" s="138"/>
      <c r="W30" s="138"/>
    </row>
    <row r="31" spans="1:31" x14ac:dyDescent="0.2">
      <c r="A31" s="123">
        <v>43888</v>
      </c>
      <c r="B31" s="124">
        <v>1</v>
      </c>
      <c r="C31" s="125">
        <v>1</v>
      </c>
      <c r="D31" s="181">
        <v>61851.611222660598</v>
      </c>
      <c r="E31" s="126">
        <f t="shared" si="4"/>
        <v>61850.361222581851</v>
      </c>
      <c r="F31" s="148" t="s">
        <v>56</v>
      </c>
      <c r="G31" s="148">
        <v>5</v>
      </c>
      <c r="H31" s="141"/>
      <c r="I31" s="141"/>
      <c r="J31" s="141"/>
      <c r="K31" s="141"/>
      <c r="L31" s="141"/>
      <c r="M31" s="141"/>
      <c r="N31" s="141"/>
      <c r="O31" s="142"/>
      <c r="P31" s="142"/>
      <c r="Q31" s="142"/>
      <c r="R31" s="142"/>
      <c r="S31" s="142"/>
      <c r="T31" s="142"/>
      <c r="U31" s="142"/>
      <c r="V31" s="142"/>
      <c r="W31" s="142"/>
      <c r="X31" s="141"/>
      <c r="Y31" s="141"/>
    </row>
    <row r="32" spans="1:31" x14ac:dyDescent="0.2">
      <c r="A32" s="109">
        <v>43888</v>
      </c>
      <c r="B32" s="110">
        <v>2</v>
      </c>
      <c r="C32" s="111">
        <v>0</v>
      </c>
      <c r="D32" s="176">
        <v>1.0000000524999999</v>
      </c>
      <c r="E32" s="116">
        <f>D32-$D$32</f>
        <v>0</v>
      </c>
      <c r="F32" s="213" t="s">
        <v>51</v>
      </c>
      <c r="G32" s="213"/>
      <c r="H32" s="146"/>
      <c r="I32" s="146" t="s">
        <v>62</v>
      </c>
      <c r="J32" s="146" t="s">
        <v>63</v>
      </c>
      <c r="K32" s="146" t="s">
        <v>64</v>
      </c>
      <c r="L32" s="146" t="s">
        <v>65</v>
      </c>
      <c r="M32" s="146" t="s">
        <v>66</v>
      </c>
      <c r="N32" s="146"/>
      <c r="O32" s="215" t="s">
        <v>67</v>
      </c>
      <c r="P32" s="215" t="s">
        <v>55</v>
      </c>
      <c r="Q32" s="215" t="s">
        <v>271</v>
      </c>
      <c r="R32" s="215" t="s">
        <v>68</v>
      </c>
      <c r="S32" s="215" t="s">
        <v>69</v>
      </c>
      <c r="T32" s="215" t="s">
        <v>70</v>
      </c>
      <c r="U32" s="215" t="s">
        <v>71</v>
      </c>
      <c r="V32" s="215" t="s">
        <v>72</v>
      </c>
      <c r="W32" s="215" t="s">
        <v>73</v>
      </c>
    </row>
    <row r="33" spans="1:30" x14ac:dyDescent="0.2">
      <c r="A33" s="109">
        <v>43888</v>
      </c>
      <c r="B33" s="110">
        <v>2</v>
      </c>
      <c r="C33" s="113">
        <v>0.05</v>
      </c>
      <c r="D33" s="176">
        <v>2598.48641551833</v>
      </c>
      <c r="E33" s="116">
        <f t="shared" ref="E33:E37" si="5">D33-$D$32</f>
        <v>2597.4864154658299</v>
      </c>
      <c r="F33" s="133" t="s">
        <v>52</v>
      </c>
      <c r="G33" s="133">
        <v>0.99998433194288527</v>
      </c>
      <c r="H33" s="133" t="s">
        <v>58</v>
      </c>
      <c r="I33" s="133">
        <v>1</v>
      </c>
      <c r="J33" s="133">
        <v>1630103491.1784518</v>
      </c>
      <c r="K33" s="133">
        <v>1630103491.1784518</v>
      </c>
      <c r="L33" s="133">
        <v>95733.93407853035</v>
      </c>
      <c r="M33" s="133">
        <v>7.4448432081839898E-8</v>
      </c>
      <c r="N33" s="133" t="s">
        <v>61</v>
      </c>
      <c r="O33" s="134">
        <v>147.81779946688766</v>
      </c>
      <c r="P33" s="134">
        <v>86.504543098933226</v>
      </c>
      <c r="Q33" s="134">
        <f>P33*SQRT(G37)</f>
        <v>193.43003873177503</v>
      </c>
      <c r="R33" s="134">
        <v>1.708786546595962</v>
      </c>
      <c r="S33" s="134">
        <v>0.18602347622736273</v>
      </c>
      <c r="T33" s="134">
        <v>-127.47826410856777</v>
      </c>
      <c r="U33" s="134">
        <v>423.1138630423431</v>
      </c>
      <c r="V33" s="134">
        <v>-127.47826410856777</v>
      </c>
      <c r="W33" s="134">
        <v>423.1138630423431</v>
      </c>
      <c r="X33" s="162">
        <f>3.3*Q33/O34</f>
        <v>1.2276905868230973E-2</v>
      </c>
      <c r="Y33" s="162">
        <f>10*Q33/O34</f>
        <v>3.7202745055245373E-2</v>
      </c>
    </row>
    <row r="34" spans="1:30" x14ac:dyDescent="0.2">
      <c r="A34" s="109">
        <v>43888</v>
      </c>
      <c r="B34" s="110">
        <v>2</v>
      </c>
      <c r="C34" s="113">
        <v>0.1</v>
      </c>
      <c r="D34" s="176">
        <v>5353.0029231189501</v>
      </c>
      <c r="E34" s="116">
        <f t="shared" si="5"/>
        <v>5352.0029230664504</v>
      </c>
      <c r="F34" s="133" t="s">
        <v>53</v>
      </c>
      <c r="G34" s="133">
        <v>0.99996866413125851</v>
      </c>
      <c r="H34" s="133" t="s">
        <v>59</v>
      </c>
      <c r="I34" s="133">
        <v>3</v>
      </c>
      <c r="J34" s="133">
        <v>51082.309743208127</v>
      </c>
      <c r="K34" s="133">
        <v>17027.436581069374</v>
      </c>
      <c r="L34" s="133"/>
      <c r="M34" s="133"/>
      <c r="N34" s="133" t="s">
        <v>74</v>
      </c>
      <c r="O34" s="134">
        <v>51993.485546438867</v>
      </c>
      <c r="P34" s="134">
        <v>168.04127948333698</v>
      </c>
      <c r="Q34" s="134"/>
      <c r="R34" s="134">
        <v>309.40900775273229</v>
      </c>
      <c r="S34" s="134">
        <v>7.4448432081839898E-8</v>
      </c>
      <c r="T34" s="134">
        <v>51458.703197411975</v>
      </c>
      <c r="U34" s="134">
        <v>52528.26789546576</v>
      </c>
      <c r="V34" s="134">
        <v>51458.703197411975</v>
      </c>
      <c r="W34" s="134">
        <v>52528.26789546576</v>
      </c>
    </row>
    <row r="35" spans="1:30" x14ac:dyDescent="0.2">
      <c r="A35" s="109">
        <v>43888</v>
      </c>
      <c r="B35" s="110">
        <v>2</v>
      </c>
      <c r="C35" s="113">
        <v>0.25</v>
      </c>
      <c r="D35" s="176">
        <v>13299.9388270933</v>
      </c>
      <c r="E35" s="116">
        <f t="shared" si="5"/>
        <v>13298.9388270408</v>
      </c>
      <c r="F35" s="133" t="s">
        <v>54</v>
      </c>
      <c r="G35" s="133">
        <v>0.99995821884167801</v>
      </c>
      <c r="H35" s="133" t="s">
        <v>60</v>
      </c>
      <c r="I35" s="133">
        <v>4</v>
      </c>
      <c r="J35" s="133">
        <v>1630154573.4881949</v>
      </c>
      <c r="K35" s="133"/>
      <c r="L35" s="133"/>
      <c r="M35" s="133"/>
      <c r="N35" s="137"/>
      <c r="O35" s="138"/>
      <c r="P35" s="138"/>
      <c r="Q35" s="138"/>
      <c r="R35" s="138"/>
      <c r="S35" s="138"/>
      <c r="T35" s="138"/>
      <c r="U35" s="138"/>
      <c r="V35" s="138"/>
      <c r="W35" s="138"/>
    </row>
    <row r="36" spans="1:30" x14ac:dyDescent="0.2">
      <c r="A36" s="109">
        <v>43888</v>
      </c>
      <c r="B36" s="110">
        <v>2</v>
      </c>
      <c r="C36" s="114">
        <v>0.5</v>
      </c>
      <c r="D36" s="176">
        <v>26192.741043686001</v>
      </c>
      <c r="E36" s="116">
        <f t="shared" si="5"/>
        <v>26191.741043633501</v>
      </c>
      <c r="F36" s="133" t="s">
        <v>55</v>
      </c>
      <c r="G36" s="133">
        <v>130.48922017189534</v>
      </c>
      <c r="H36" s="137"/>
      <c r="I36" s="137"/>
      <c r="J36" s="137"/>
      <c r="K36" s="137"/>
      <c r="L36" s="137"/>
      <c r="M36" s="137"/>
      <c r="N36" s="137"/>
      <c r="O36" s="138"/>
      <c r="P36" s="138"/>
      <c r="Q36" s="138"/>
      <c r="R36" s="138"/>
      <c r="S36" s="138"/>
      <c r="T36" s="138"/>
      <c r="U36" s="138"/>
      <c r="V36" s="138"/>
      <c r="W36" s="138"/>
    </row>
    <row r="37" spans="1:30" x14ac:dyDescent="0.2">
      <c r="A37" s="123">
        <v>43888</v>
      </c>
      <c r="B37" s="124">
        <v>2</v>
      </c>
      <c r="C37" s="125">
        <v>1</v>
      </c>
      <c r="D37" s="181">
        <v>52087.542326414201</v>
      </c>
      <c r="E37" s="126">
        <f t="shared" si="5"/>
        <v>52086.542326361698</v>
      </c>
      <c r="F37" s="148" t="s">
        <v>56</v>
      </c>
      <c r="G37" s="148">
        <v>5</v>
      </c>
      <c r="H37" s="141"/>
      <c r="I37" s="141"/>
      <c r="J37" s="141"/>
      <c r="K37" s="141"/>
      <c r="L37" s="141"/>
      <c r="M37" s="141"/>
      <c r="N37" s="141"/>
      <c r="O37" s="141"/>
      <c r="P37" s="141"/>
      <c r="Q37" s="141"/>
      <c r="R37" s="141"/>
      <c r="S37" s="141"/>
      <c r="T37" s="141"/>
      <c r="U37" s="141"/>
      <c r="V37" s="141"/>
      <c r="W37" s="141"/>
      <c r="X37" s="141"/>
      <c r="Y37" s="141"/>
    </row>
    <row r="38" spans="1:30" x14ac:dyDescent="0.2">
      <c r="D38" s="95"/>
      <c r="E38" s="95"/>
    </row>
    <row r="46" spans="1:30" x14ac:dyDescent="0.2">
      <c r="G46" s="137"/>
      <c r="H46" s="137"/>
      <c r="I46" s="137"/>
      <c r="J46" s="144"/>
      <c r="K46" s="220"/>
      <c r="L46" s="144"/>
      <c r="M46" s="137"/>
      <c r="Y46" s="137"/>
      <c r="Z46" s="137"/>
      <c r="AA46" s="137"/>
      <c r="AB46" s="144"/>
      <c r="AC46" s="220"/>
      <c r="AD46" s="144"/>
    </row>
    <row r="47" spans="1:30" x14ac:dyDescent="0.2">
      <c r="G47" s="137"/>
      <c r="H47" s="137"/>
      <c r="I47" s="137"/>
      <c r="J47" s="144"/>
      <c r="K47" s="220"/>
      <c r="L47" s="144"/>
      <c r="M47" s="137"/>
      <c r="Y47" s="137"/>
      <c r="Z47" s="137"/>
      <c r="AA47" s="137"/>
      <c r="AB47" s="144"/>
      <c r="AC47" s="220"/>
      <c r="AD47" s="144"/>
    </row>
    <row r="48" spans="1:30" x14ac:dyDescent="0.2">
      <c r="G48" s="137"/>
      <c r="H48" s="137"/>
      <c r="I48" s="137"/>
      <c r="J48" s="137"/>
      <c r="K48" s="137"/>
      <c r="L48" s="137"/>
      <c r="M48" s="137"/>
      <c r="Y48" s="137"/>
      <c r="Z48" s="137"/>
      <c r="AA48" s="137"/>
      <c r="AB48" s="137"/>
      <c r="AC48" s="137"/>
      <c r="AD48" s="137"/>
    </row>
    <row r="49" spans="7:30" x14ac:dyDescent="0.2">
      <c r="G49" s="137"/>
      <c r="H49" s="137"/>
      <c r="I49" s="137"/>
      <c r="J49" s="137"/>
      <c r="K49" s="137"/>
      <c r="L49" s="137"/>
      <c r="M49" s="137"/>
      <c r="Y49" s="137"/>
      <c r="Z49" s="137"/>
      <c r="AA49" s="137"/>
      <c r="AB49" s="137"/>
      <c r="AC49" s="137"/>
      <c r="AD49" s="137"/>
    </row>
    <row r="50" spans="7:30" x14ac:dyDescent="0.2">
      <c r="G50" s="145"/>
      <c r="H50" s="145"/>
      <c r="I50" s="145"/>
      <c r="J50" s="137"/>
      <c r="K50" s="137"/>
      <c r="L50" s="137"/>
      <c r="M50" s="137"/>
      <c r="Y50" s="145"/>
      <c r="Z50" s="145"/>
      <c r="AA50" s="145"/>
      <c r="AB50" s="137"/>
      <c r="AC50" s="137"/>
      <c r="AD50" s="137"/>
    </row>
    <row r="51" spans="7:30" x14ac:dyDescent="0.2">
      <c r="G51" s="133"/>
      <c r="H51" s="133"/>
      <c r="I51" s="133"/>
      <c r="J51" s="137"/>
      <c r="K51" s="137"/>
      <c r="L51" s="137"/>
      <c r="M51" s="137"/>
      <c r="Y51" s="133"/>
      <c r="Z51" s="133"/>
      <c r="AA51" s="133"/>
      <c r="AB51" s="137"/>
      <c r="AC51" s="137"/>
      <c r="AD51" s="137"/>
    </row>
    <row r="52" spans="7:30" x14ac:dyDescent="0.2">
      <c r="G52" s="133"/>
      <c r="H52" s="133"/>
      <c r="I52" s="133"/>
      <c r="J52" s="137"/>
      <c r="K52" s="137"/>
      <c r="L52" s="137"/>
      <c r="M52" s="137"/>
      <c r="Y52" s="133"/>
      <c r="Z52" s="133"/>
      <c r="AA52" s="133"/>
      <c r="AB52" s="137"/>
      <c r="AC52" s="137"/>
      <c r="AD52" s="137"/>
    </row>
    <row r="53" spans="7:30" x14ac:dyDescent="0.2">
      <c r="G53" s="133"/>
      <c r="H53" s="133"/>
      <c r="I53" s="133"/>
      <c r="J53" s="137"/>
      <c r="K53" s="137"/>
      <c r="L53" s="137"/>
      <c r="M53" s="137"/>
      <c r="Y53" s="133"/>
      <c r="Z53" s="133"/>
      <c r="AA53" s="133"/>
      <c r="AB53" s="137"/>
      <c r="AC53" s="137"/>
      <c r="AD53" s="137"/>
    </row>
    <row r="54" spans="7:30" x14ac:dyDescent="0.2">
      <c r="G54" s="133"/>
      <c r="H54" s="133"/>
      <c r="I54" s="133"/>
      <c r="J54" s="137"/>
      <c r="K54" s="137"/>
      <c r="L54" s="137"/>
      <c r="M54" s="137"/>
      <c r="Y54" s="133"/>
      <c r="Z54" s="133"/>
      <c r="AA54" s="133"/>
      <c r="AB54" s="137"/>
      <c r="AC54" s="137"/>
      <c r="AD54" s="137"/>
    </row>
    <row r="55" spans="7:30" x14ac:dyDescent="0.2">
      <c r="G55" s="133"/>
      <c r="H55" s="133"/>
      <c r="I55" s="133"/>
      <c r="J55" s="137"/>
      <c r="K55" s="137"/>
      <c r="L55" s="137"/>
      <c r="M55" s="137"/>
      <c r="Y55" s="133"/>
      <c r="Z55" s="133"/>
      <c r="AA55" s="133"/>
      <c r="AB55" s="137"/>
      <c r="AC55" s="137"/>
      <c r="AD55" s="137"/>
    </row>
    <row r="56" spans="7:30" x14ac:dyDescent="0.2">
      <c r="G56" s="137"/>
      <c r="H56" s="137"/>
      <c r="I56" s="137"/>
      <c r="J56" s="137"/>
      <c r="K56" s="137"/>
      <c r="L56" s="137"/>
      <c r="M56" s="137"/>
      <c r="Y56" s="137"/>
      <c r="Z56" s="137"/>
      <c r="AA56" s="137"/>
      <c r="AB56" s="137"/>
      <c r="AC56" s="137"/>
      <c r="AD56" s="137"/>
    </row>
    <row r="73" spans="6:31" x14ac:dyDescent="0.2">
      <c r="F73" s="137"/>
      <c r="G73" s="137"/>
      <c r="H73" s="137"/>
      <c r="I73" s="137"/>
      <c r="J73" s="137"/>
      <c r="K73" s="137"/>
      <c r="L73" s="137"/>
      <c r="M73" s="137"/>
    </row>
    <row r="74" spans="6:31" x14ac:dyDescent="0.2">
      <c r="F74" s="137"/>
      <c r="G74" s="137"/>
      <c r="H74" s="137"/>
      <c r="I74" s="137"/>
      <c r="J74" s="137"/>
      <c r="K74" s="137"/>
      <c r="L74" s="137"/>
      <c r="M74" s="137"/>
    </row>
    <row r="75" spans="6:31" x14ac:dyDescent="0.2">
      <c r="F75" s="137"/>
      <c r="G75" s="137"/>
      <c r="H75" s="137"/>
      <c r="I75" s="137"/>
      <c r="J75" s="137"/>
      <c r="K75" s="137"/>
      <c r="L75" s="137"/>
      <c r="M75" s="137"/>
    </row>
    <row r="76" spans="6:31" x14ac:dyDescent="0.2">
      <c r="F76" s="137"/>
      <c r="G76" s="137"/>
      <c r="H76" s="137"/>
      <c r="I76" s="137"/>
      <c r="J76" s="137"/>
      <c r="K76" s="137"/>
      <c r="L76" s="137"/>
      <c r="M76" s="137"/>
    </row>
    <row r="77" spans="6:31" x14ac:dyDescent="0.2">
      <c r="F77" s="137"/>
      <c r="G77" s="137"/>
      <c r="H77" s="137"/>
      <c r="I77" s="137"/>
      <c r="J77" s="144"/>
      <c r="K77" s="220"/>
      <c r="L77" s="144"/>
      <c r="M77" s="137"/>
      <c r="Y77" s="137"/>
      <c r="Z77" s="137"/>
      <c r="AA77" s="137"/>
      <c r="AB77" s="144"/>
      <c r="AC77" s="220"/>
      <c r="AD77" s="144"/>
      <c r="AE77" s="137"/>
    </row>
    <row r="78" spans="6:31" x14ac:dyDescent="0.2">
      <c r="F78" s="137"/>
      <c r="G78" s="137"/>
      <c r="H78" s="137"/>
      <c r="I78" s="137"/>
      <c r="J78" s="144"/>
      <c r="K78" s="220"/>
      <c r="L78" s="144"/>
      <c r="M78" s="137"/>
      <c r="Y78" s="137"/>
      <c r="Z78" s="137"/>
      <c r="AA78" s="137"/>
      <c r="AB78" s="144"/>
      <c r="AC78" s="220"/>
      <c r="AD78" s="144"/>
      <c r="AE78" s="137"/>
    </row>
    <row r="79" spans="6:31" x14ac:dyDescent="0.2">
      <c r="F79" s="137"/>
      <c r="G79" s="137"/>
      <c r="H79" s="137"/>
      <c r="I79" s="137"/>
      <c r="J79" s="137"/>
      <c r="K79" s="137"/>
      <c r="L79" s="137"/>
      <c r="M79" s="137"/>
      <c r="Y79" s="137"/>
      <c r="Z79" s="137"/>
      <c r="AA79" s="137"/>
      <c r="AB79" s="137"/>
      <c r="AC79" s="137"/>
      <c r="AD79" s="137"/>
      <c r="AE79" s="137"/>
    </row>
    <row r="80" spans="6:31" x14ac:dyDescent="0.2">
      <c r="F80" s="137"/>
      <c r="G80" s="137"/>
      <c r="H80" s="137"/>
      <c r="I80" s="137"/>
      <c r="J80" s="137"/>
      <c r="K80" s="137"/>
      <c r="L80" s="137"/>
      <c r="M80" s="137"/>
      <c r="Y80" s="137"/>
      <c r="Z80" s="137"/>
      <c r="AA80" s="137"/>
      <c r="AB80" s="137"/>
      <c r="AC80" s="137"/>
      <c r="AD80" s="137"/>
      <c r="AE80" s="137"/>
    </row>
    <row r="81" spans="6:31" x14ac:dyDescent="0.2">
      <c r="F81" s="137"/>
      <c r="G81" s="145"/>
      <c r="H81" s="145"/>
      <c r="I81" s="145"/>
      <c r="J81" s="137"/>
      <c r="K81" s="137"/>
      <c r="L81" s="137"/>
      <c r="M81" s="137"/>
      <c r="Y81" s="145"/>
      <c r="Z81" s="145"/>
      <c r="AA81" s="145"/>
      <c r="AB81" s="137"/>
      <c r="AC81" s="137"/>
      <c r="AD81" s="137"/>
      <c r="AE81" s="137"/>
    </row>
    <row r="82" spans="6:31" x14ac:dyDescent="0.2">
      <c r="F82" s="137"/>
      <c r="G82" s="133"/>
      <c r="H82" s="133"/>
      <c r="I82" s="133"/>
      <c r="J82" s="137"/>
      <c r="K82" s="137"/>
      <c r="L82" s="137"/>
      <c r="M82" s="137"/>
      <c r="Y82" s="133"/>
      <c r="Z82" s="133"/>
      <c r="AA82" s="133"/>
      <c r="AB82" s="137"/>
      <c r="AC82" s="137"/>
      <c r="AD82" s="137"/>
      <c r="AE82" s="137"/>
    </row>
    <row r="83" spans="6:31" x14ac:dyDescent="0.2">
      <c r="F83" s="137"/>
      <c r="G83" s="133"/>
      <c r="H83" s="133"/>
      <c r="I83" s="133"/>
      <c r="J83" s="137"/>
      <c r="K83" s="137"/>
      <c r="L83" s="137"/>
      <c r="M83" s="137"/>
      <c r="Y83" s="133"/>
      <c r="Z83" s="133"/>
      <c r="AA83" s="133"/>
      <c r="AB83" s="137"/>
      <c r="AC83" s="137"/>
      <c r="AD83" s="137"/>
      <c r="AE83" s="137"/>
    </row>
    <row r="84" spans="6:31" x14ac:dyDescent="0.2">
      <c r="F84" s="137"/>
      <c r="G84" s="133"/>
      <c r="H84" s="133"/>
      <c r="I84" s="133"/>
      <c r="J84" s="137"/>
      <c r="K84" s="137"/>
      <c r="L84" s="137"/>
      <c r="M84" s="137"/>
      <c r="Y84" s="133"/>
      <c r="Z84" s="133"/>
      <c r="AA84" s="133"/>
      <c r="AB84" s="137"/>
      <c r="AC84" s="137"/>
      <c r="AD84" s="137"/>
      <c r="AE84" s="137"/>
    </row>
    <row r="85" spans="6:31" x14ac:dyDescent="0.2">
      <c r="F85" s="137"/>
      <c r="G85" s="133"/>
      <c r="H85" s="133"/>
      <c r="I85" s="133"/>
      <c r="J85" s="137"/>
      <c r="K85" s="137"/>
      <c r="L85" s="137"/>
      <c r="M85" s="137"/>
      <c r="Y85" s="133"/>
      <c r="Z85" s="133"/>
      <c r="AA85" s="133"/>
      <c r="AB85" s="137"/>
      <c r="AC85" s="137"/>
      <c r="AD85" s="137"/>
      <c r="AE85" s="137"/>
    </row>
    <row r="86" spans="6:31" x14ac:dyDescent="0.2">
      <c r="F86" s="137"/>
      <c r="G86" s="133"/>
      <c r="H86" s="133"/>
      <c r="I86" s="133"/>
      <c r="J86" s="137"/>
      <c r="K86" s="137"/>
      <c r="L86" s="137"/>
      <c r="M86" s="137"/>
      <c r="Y86" s="133"/>
      <c r="Z86" s="133"/>
      <c r="AA86" s="133"/>
      <c r="AB86" s="137"/>
      <c r="AC86" s="137"/>
      <c r="AD86" s="137"/>
      <c r="AE86" s="137"/>
    </row>
    <row r="87" spans="6:31" x14ac:dyDescent="0.2">
      <c r="F87" s="137"/>
      <c r="G87" s="137"/>
      <c r="H87" s="137"/>
      <c r="I87" s="137"/>
      <c r="J87" s="137"/>
      <c r="K87" s="137"/>
      <c r="L87" s="137"/>
      <c r="M87" s="137"/>
      <c r="Y87" s="137"/>
      <c r="Z87" s="137"/>
      <c r="AA87" s="137"/>
      <c r="AB87" s="137"/>
      <c r="AC87" s="137"/>
      <c r="AD87" s="137"/>
      <c r="AE87" s="137"/>
    </row>
    <row r="88" spans="6:31" x14ac:dyDescent="0.2">
      <c r="F88" s="137"/>
      <c r="G88" s="137"/>
      <c r="H88" s="137"/>
      <c r="I88" s="137"/>
      <c r="J88" s="137"/>
      <c r="K88" s="137"/>
      <c r="L88" s="137"/>
      <c r="M88" s="137"/>
      <c r="Y88" s="137"/>
      <c r="Z88" s="137"/>
      <c r="AA88" s="137"/>
      <c r="AB88" s="137"/>
      <c r="AC88" s="137"/>
      <c r="AD88" s="137"/>
      <c r="AE88" s="137"/>
    </row>
    <row r="89" spans="6:31" x14ac:dyDescent="0.2">
      <c r="F89" s="137"/>
      <c r="G89" s="137"/>
      <c r="H89" s="137"/>
      <c r="I89" s="137"/>
      <c r="J89" s="137"/>
      <c r="K89" s="137"/>
      <c r="L89" s="137"/>
      <c r="M89" s="137"/>
      <c r="Y89" s="137"/>
      <c r="Z89" s="137"/>
      <c r="AA89" s="137"/>
      <c r="AB89" s="137"/>
      <c r="AC89" s="137"/>
      <c r="AD89" s="137"/>
      <c r="AE89" s="137"/>
    </row>
    <row r="90" spans="6:31" x14ac:dyDescent="0.2">
      <c r="Y90" s="137"/>
      <c r="Z90" s="137"/>
      <c r="AA90" s="137"/>
      <c r="AB90" s="137"/>
      <c r="AC90" s="137"/>
      <c r="AD90" s="137"/>
      <c r="AE90" s="137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26F72-4630-C04B-AA15-BE794CE74054}">
  <dimension ref="A1:AS90"/>
  <sheetViews>
    <sheetView workbookViewId="0">
      <selection activeCell="K1" sqref="A1:XFD1"/>
    </sheetView>
  </sheetViews>
  <sheetFormatPr baseColWidth="10" defaultRowHeight="14" x14ac:dyDescent="0.2"/>
  <cols>
    <col min="1" max="15" width="10.83203125" style="135"/>
    <col min="16" max="16" width="8.1640625" style="135" customWidth="1"/>
    <col min="17" max="17" width="6.6640625" style="135" customWidth="1"/>
    <col min="18" max="18" width="8.5" style="135" customWidth="1"/>
    <col min="19" max="19" width="7.83203125" style="135" customWidth="1"/>
    <col min="20" max="37" width="10.83203125" style="135"/>
    <col min="38" max="38" width="12.33203125" style="135" customWidth="1"/>
    <col min="39" max="16384" width="10.83203125" style="135"/>
  </cols>
  <sheetData>
    <row r="1" spans="1:45" ht="30" x14ac:dyDescent="0.2">
      <c r="A1" s="243" t="s">
        <v>2</v>
      </c>
      <c r="B1" s="120" t="s">
        <v>3</v>
      </c>
      <c r="C1" s="120" t="s">
        <v>4</v>
      </c>
      <c r="D1" s="121" t="s">
        <v>247</v>
      </c>
      <c r="E1" s="120" t="s">
        <v>248</v>
      </c>
      <c r="F1" s="141" t="s">
        <v>50</v>
      </c>
      <c r="G1" s="141"/>
      <c r="H1" s="141" t="s">
        <v>57</v>
      </c>
      <c r="I1" s="141"/>
      <c r="J1" s="141"/>
      <c r="K1" s="141"/>
      <c r="L1" s="141"/>
      <c r="M1" s="141"/>
      <c r="N1" s="141"/>
      <c r="O1" s="141"/>
      <c r="P1" s="141"/>
      <c r="Q1" s="141"/>
      <c r="R1" s="141"/>
      <c r="S1" s="141"/>
      <c r="T1" s="141"/>
      <c r="U1" s="141"/>
      <c r="V1" s="141"/>
      <c r="W1" s="141"/>
      <c r="X1" s="141"/>
      <c r="Y1" s="141"/>
      <c r="AB1" s="137"/>
      <c r="AC1" s="311"/>
      <c r="AD1" s="311"/>
      <c r="AE1" s="311"/>
      <c r="AF1" s="311"/>
      <c r="AG1" s="311"/>
      <c r="AH1" s="137"/>
      <c r="AI1" s="137"/>
      <c r="AJ1" s="137"/>
      <c r="AK1" s="137"/>
      <c r="AL1" s="137"/>
      <c r="AM1" s="137"/>
      <c r="AN1" s="137"/>
      <c r="AO1" s="137"/>
      <c r="AP1" s="137"/>
      <c r="AQ1" s="137"/>
      <c r="AR1" s="137"/>
      <c r="AS1" s="137"/>
    </row>
    <row r="2" spans="1:45" x14ac:dyDescent="0.2">
      <c r="A2" s="109">
        <v>43838</v>
      </c>
      <c r="B2" s="110">
        <v>1</v>
      </c>
      <c r="C2" s="111">
        <v>0</v>
      </c>
      <c r="D2" s="298">
        <v>193.25050268022599</v>
      </c>
      <c r="E2" s="299">
        <f>D2-$D$2</f>
        <v>0</v>
      </c>
      <c r="F2" s="213" t="s">
        <v>51</v>
      </c>
      <c r="G2" s="213"/>
      <c r="H2" s="146"/>
      <c r="I2" s="146" t="s">
        <v>62</v>
      </c>
      <c r="J2" s="146" t="s">
        <v>63</v>
      </c>
      <c r="K2" s="146" t="s">
        <v>64</v>
      </c>
      <c r="L2" s="146" t="s">
        <v>65</v>
      </c>
      <c r="M2" s="146" t="s">
        <v>66</v>
      </c>
      <c r="N2" s="146"/>
      <c r="O2" s="146" t="s">
        <v>67</v>
      </c>
      <c r="P2" s="146" t="s">
        <v>270</v>
      </c>
      <c r="Q2" s="146" t="s">
        <v>271</v>
      </c>
      <c r="R2" s="146" t="s">
        <v>68</v>
      </c>
      <c r="S2" s="146" t="s">
        <v>69</v>
      </c>
      <c r="T2" s="146" t="s">
        <v>70</v>
      </c>
      <c r="U2" s="146" t="s">
        <v>71</v>
      </c>
      <c r="V2" s="146" t="s">
        <v>72</v>
      </c>
      <c r="W2" s="146" t="s">
        <v>73</v>
      </c>
      <c r="X2" s="178" t="s">
        <v>272</v>
      </c>
      <c r="Y2" s="178" t="s">
        <v>273</v>
      </c>
      <c r="AB2" s="137"/>
      <c r="AC2" s="312"/>
      <c r="AD2" s="312"/>
      <c r="AE2" s="312"/>
      <c r="AF2" s="312"/>
      <c r="AG2" s="312"/>
      <c r="AH2" s="137"/>
      <c r="AI2" s="137"/>
      <c r="AJ2" s="137"/>
      <c r="AK2" s="137"/>
      <c r="AL2" s="137"/>
      <c r="AM2" s="137"/>
      <c r="AN2" s="137"/>
      <c r="AO2" s="137"/>
      <c r="AP2" s="137"/>
      <c r="AQ2" s="137"/>
      <c r="AR2" s="137"/>
      <c r="AS2" s="137"/>
    </row>
    <row r="3" spans="1:45" x14ac:dyDescent="0.2">
      <c r="A3" s="109">
        <v>43838</v>
      </c>
      <c r="B3" s="110">
        <v>1</v>
      </c>
      <c r="C3" s="113">
        <v>0.05</v>
      </c>
      <c r="D3" s="298">
        <v>3902.71082565095</v>
      </c>
      <c r="E3" s="299">
        <f t="shared" ref="E3:E7" si="0">D3-$D$2</f>
        <v>3709.4603229707241</v>
      </c>
      <c r="F3" s="133" t="s">
        <v>52</v>
      </c>
      <c r="G3" s="133">
        <v>0.99994160185635006</v>
      </c>
      <c r="H3" s="133" t="s">
        <v>58</v>
      </c>
      <c r="I3" s="133">
        <v>1</v>
      </c>
      <c r="J3" s="133">
        <v>3764531560.1856699</v>
      </c>
      <c r="K3" s="133">
        <v>3764531560.1856699</v>
      </c>
      <c r="L3" s="133">
        <v>25683.497996913073</v>
      </c>
      <c r="M3" s="133">
        <v>5.3570859726015099E-7</v>
      </c>
      <c r="N3" s="133" t="s">
        <v>61</v>
      </c>
      <c r="O3" s="301">
        <v>-440.94515642713668</v>
      </c>
      <c r="P3" s="301">
        <v>253.80061244425073</v>
      </c>
      <c r="Q3" s="301">
        <f>P3*SQRT(G7)</f>
        <v>567.51542215642371</v>
      </c>
      <c r="R3" s="301">
        <v>-1.7373683703146843</v>
      </c>
      <c r="S3" s="301">
        <v>0.18071586591132507</v>
      </c>
      <c r="T3" s="301">
        <v>-1248.651977779085</v>
      </c>
      <c r="U3" s="301">
        <v>366.76166492481161</v>
      </c>
      <c r="V3" s="301">
        <v>-1248.651977779085</v>
      </c>
      <c r="W3" s="301">
        <v>366.76166492481161</v>
      </c>
      <c r="X3" s="162">
        <f>3.3*Q3/O4</f>
        <v>2.3702534787791454E-2</v>
      </c>
      <c r="Y3" s="162">
        <f>10*Q3/O4</f>
        <v>7.1825862993307441E-2</v>
      </c>
      <c r="AB3" s="137"/>
      <c r="AC3" s="312"/>
      <c r="AD3" s="312"/>
      <c r="AE3" s="312"/>
      <c r="AF3" s="312"/>
      <c r="AG3" s="312"/>
      <c r="AH3" s="137"/>
      <c r="AI3" s="137"/>
      <c r="AJ3" s="313"/>
      <c r="AK3" s="313"/>
      <c r="AL3" s="137"/>
      <c r="AM3" s="137"/>
      <c r="AN3" s="137"/>
      <c r="AO3" s="137"/>
      <c r="AP3" s="137"/>
      <c r="AQ3" s="137"/>
      <c r="AR3" s="137"/>
      <c r="AS3" s="137"/>
    </row>
    <row r="4" spans="1:45" x14ac:dyDescent="0.2">
      <c r="A4" s="109">
        <v>43838</v>
      </c>
      <c r="B4" s="110">
        <v>1</v>
      </c>
      <c r="C4" s="113">
        <v>0.1</v>
      </c>
      <c r="D4" s="298">
        <v>7860.10005519065</v>
      </c>
      <c r="E4" s="299">
        <f t="shared" si="0"/>
        <v>7666.8495525104236</v>
      </c>
      <c r="F4" s="133" t="s">
        <v>53</v>
      </c>
      <c r="G4" s="133">
        <v>0.99988320712304335</v>
      </c>
      <c r="H4" s="133" t="s">
        <v>59</v>
      </c>
      <c r="I4" s="133">
        <v>3</v>
      </c>
      <c r="J4" s="133">
        <v>439721.82768540329</v>
      </c>
      <c r="K4" s="133">
        <v>146573.94256180109</v>
      </c>
      <c r="L4" s="133"/>
      <c r="M4" s="133"/>
      <c r="N4" s="133" t="s">
        <v>74</v>
      </c>
      <c r="O4" s="301">
        <v>79012.684081401618</v>
      </c>
      <c r="P4" s="301">
        <v>493.02589344943175</v>
      </c>
      <c r="Q4" s="301"/>
      <c r="R4" s="301">
        <v>160.26071882065506</v>
      </c>
      <c r="S4" s="301">
        <v>5.3570859726015099E-7</v>
      </c>
      <c r="T4" s="301">
        <v>77443.655648384272</v>
      </c>
      <c r="U4" s="301">
        <v>80581.712514418963</v>
      </c>
      <c r="V4" s="301">
        <v>77443.655648384272</v>
      </c>
      <c r="W4" s="301">
        <v>80581.712514418963</v>
      </c>
      <c r="AB4" s="137"/>
      <c r="AC4" s="312"/>
      <c r="AD4" s="312"/>
      <c r="AE4" s="312"/>
      <c r="AF4" s="312"/>
      <c r="AG4" s="312"/>
      <c r="AH4" s="137"/>
      <c r="AI4" s="137"/>
      <c r="AJ4" s="133"/>
      <c r="AK4" s="133"/>
      <c r="AL4" s="137"/>
      <c r="AM4" s="137"/>
      <c r="AN4" s="137"/>
      <c r="AO4" s="137"/>
      <c r="AP4" s="137"/>
      <c r="AQ4" s="137"/>
      <c r="AR4" s="137"/>
      <c r="AS4" s="137"/>
    </row>
    <row r="5" spans="1:45" x14ac:dyDescent="0.2">
      <c r="A5" s="109">
        <v>43838</v>
      </c>
      <c r="B5" s="110">
        <v>1</v>
      </c>
      <c r="C5" s="113">
        <v>0.25</v>
      </c>
      <c r="D5" s="298">
        <v>19345.399513845401</v>
      </c>
      <c r="E5" s="299">
        <f t="shared" si="0"/>
        <v>19152.149011165176</v>
      </c>
      <c r="F5" s="133" t="s">
        <v>54</v>
      </c>
      <c r="G5" s="133">
        <v>0.9998442761640578</v>
      </c>
      <c r="H5" s="133" t="s">
        <v>60</v>
      </c>
      <c r="I5" s="133">
        <v>4</v>
      </c>
      <c r="J5" s="133">
        <v>3764971282.0133553</v>
      </c>
      <c r="K5" s="133"/>
      <c r="L5" s="133"/>
      <c r="M5" s="133"/>
      <c r="N5" s="137"/>
      <c r="O5" s="302"/>
      <c r="P5" s="302"/>
      <c r="Q5" s="302"/>
      <c r="R5" s="302"/>
      <c r="S5" s="302"/>
      <c r="T5" s="302"/>
      <c r="U5" s="302"/>
      <c r="V5" s="302"/>
      <c r="W5" s="302"/>
      <c r="AB5" s="137"/>
      <c r="AC5" s="312"/>
      <c r="AD5" s="312"/>
      <c r="AE5" s="312"/>
      <c r="AF5" s="312"/>
      <c r="AG5" s="312"/>
      <c r="AH5" s="137"/>
      <c r="AI5" s="137"/>
      <c r="AJ5" s="133"/>
      <c r="AK5" s="133"/>
      <c r="AL5" s="137"/>
      <c r="AM5" s="137"/>
      <c r="AN5" s="137"/>
      <c r="AO5" s="137"/>
      <c r="AP5" s="137"/>
      <c r="AQ5" s="137"/>
      <c r="AR5" s="137"/>
      <c r="AS5" s="137"/>
    </row>
    <row r="6" spans="1:45" x14ac:dyDescent="0.2">
      <c r="A6" s="109">
        <v>43838</v>
      </c>
      <c r="B6" s="110">
        <v>1</v>
      </c>
      <c r="C6" s="114">
        <v>0.5</v>
      </c>
      <c r="D6" s="298">
        <v>38747.449901532898</v>
      </c>
      <c r="E6" s="299">
        <f t="shared" si="0"/>
        <v>38554.199398852674</v>
      </c>
      <c r="F6" s="133" t="s">
        <v>55</v>
      </c>
      <c r="G6" s="133">
        <v>382.84976500162708</v>
      </c>
      <c r="H6" s="137"/>
      <c r="I6" s="137"/>
      <c r="J6" s="137"/>
      <c r="K6" s="137"/>
      <c r="L6" s="137"/>
      <c r="M6" s="137"/>
      <c r="N6" s="137"/>
      <c r="O6" s="302"/>
      <c r="P6" s="302"/>
      <c r="Q6" s="302"/>
      <c r="R6" s="302"/>
      <c r="S6" s="302"/>
      <c r="T6" s="302"/>
      <c r="U6" s="302"/>
      <c r="V6" s="302"/>
      <c r="W6" s="302"/>
      <c r="AB6" s="137"/>
      <c r="AC6" s="312"/>
      <c r="AD6" s="312"/>
      <c r="AE6" s="312"/>
      <c r="AF6" s="312"/>
      <c r="AG6" s="312"/>
      <c r="AH6" s="137"/>
      <c r="AI6" s="137"/>
      <c r="AJ6" s="133"/>
      <c r="AK6" s="133"/>
      <c r="AL6" s="137"/>
      <c r="AM6" s="137"/>
      <c r="AN6" s="137"/>
      <c r="AO6" s="137"/>
      <c r="AP6" s="137"/>
      <c r="AQ6" s="137"/>
      <c r="AR6" s="137"/>
      <c r="AS6" s="137"/>
    </row>
    <row r="7" spans="1:45" x14ac:dyDescent="0.2">
      <c r="A7" s="123">
        <v>43838</v>
      </c>
      <c r="B7" s="124">
        <v>1</v>
      </c>
      <c r="C7" s="125">
        <v>1</v>
      </c>
      <c r="D7" s="303">
        <v>79029.966189708604</v>
      </c>
      <c r="E7" s="304">
        <f t="shared" si="0"/>
        <v>78836.71568702838</v>
      </c>
      <c r="F7" s="148" t="s">
        <v>56</v>
      </c>
      <c r="G7" s="148">
        <v>5</v>
      </c>
      <c r="H7" s="141"/>
      <c r="I7" s="141"/>
      <c r="J7" s="141"/>
      <c r="K7" s="141"/>
      <c r="L7" s="141"/>
      <c r="M7" s="141"/>
      <c r="N7" s="141"/>
      <c r="O7" s="305"/>
      <c r="P7" s="305"/>
      <c r="Q7" s="305"/>
      <c r="R7" s="305"/>
      <c r="S7" s="305"/>
      <c r="T7" s="305"/>
      <c r="U7" s="305"/>
      <c r="V7" s="305"/>
      <c r="W7" s="305"/>
      <c r="X7" s="141"/>
      <c r="Y7" s="141"/>
      <c r="AB7" s="137"/>
      <c r="AC7" s="312"/>
      <c r="AD7" s="312"/>
      <c r="AE7" s="312"/>
      <c r="AF7" s="312"/>
      <c r="AG7" s="312"/>
      <c r="AH7" s="137"/>
      <c r="AI7" s="137"/>
      <c r="AJ7" s="133"/>
      <c r="AK7" s="133"/>
      <c r="AL7" s="137"/>
      <c r="AM7" s="137"/>
      <c r="AN7" s="137"/>
      <c r="AO7" s="137"/>
      <c r="AP7" s="137"/>
      <c r="AQ7" s="137"/>
      <c r="AR7" s="137"/>
      <c r="AS7" s="137"/>
    </row>
    <row r="8" spans="1:45" x14ac:dyDescent="0.2">
      <c r="A8" s="109">
        <v>43838</v>
      </c>
      <c r="B8" s="110">
        <v>2</v>
      </c>
      <c r="C8" s="111">
        <v>0</v>
      </c>
      <c r="D8" s="298">
        <v>183.00043524364</v>
      </c>
      <c r="E8" s="299">
        <f>D8-$D$8</f>
        <v>0</v>
      </c>
      <c r="F8" s="213" t="s">
        <v>51</v>
      </c>
      <c r="G8" s="213"/>
      <c r="H8" s="146"/>
      <c r="I8" s="146" t="s">
        <v>62</v>
      </c>
      <c r="J8" s="146" t="s">
        <v>63</v>
      </c>
      <c r="K8" s="146" t="s">
        <v>64</v>
      </c>
      <c r="L8" s="146" t="s">
        <v>65</v>
      </c>
      <c r="M8" s="146" t="s">
        <v>66</v>
      </c>
      <c r="N8" s="146"/>
      <c r="O8" s="215" t="s">
        <v>67</v>
      </c>
      <c r="P8" s="215" t="s">
        <v>270</v>
      </c>
      <c r="Q8" s="215" t="s">
        <v>271</v>
      </c>
      <c r="R8" s="215" t="s">
        <v>68</v>
      </c>
      <c r="S8" s="215" t="s">
        <v>69</v>
      </c>
      <c r="T8" s="215" t="s">
        <v>70</v>
      </c>
      <c r="U8" s="215" t="s">
        <v>71</v>
      </c>
      <c r="V8" s="215" t="s">
        <v>72</v>
      </c>
      <c r="W8" s="215" t="s">
        <v>73</v>
      </c>
      <c r="AB8" s="137"/>
      <c r="AC8" s="137"/>
      <c r="AD8" s="137"/>
      <c r="AE8" s="137"/>
      <c r="AF8" s="137"/>
      <c r="AG8" s="137"/>
      <c r="AH8" s="137"/>
      <c r="AI8" s="137"/>
      <c r="AJ8" s="137"/>
      <c r="AK8" s="137"/>
      <c r="AL8" s="137"/>
      <c r="AM8" s="137"/>
      <c r="AN8" s="137"/>
      <c r="AO8" s="137"/>
      <c r="AP8" s="137"/>
      <c r="AQ8" s="137"/>
      <c r="AR8" s="137"/>
      <c r="AS8" s="137"/>
    </row>
    <row r="9" spans="1:45" x14ac:dyDescent="0.2">
      <c r="A9" s="109">
        <v>43838</v>
      </c>
      <c r="B9" s="110">
        <v>2</v>
      </c>
      <c r="C9" s="113">
        <v>0.05</v>
      </c>
      <c r="D9" s="298">
        <v>3543.6725477800401</v>
      </c>
      <c r="E9" s="299">
        <f t="shared" ref="E9:E13" si="1">D9-$D$8</f>
        <v>3360.6721125364002</v>
      </c>
      <c r="F9" s="133" t="s">
        <v>52</v>
      </c>
      <c r="G9" s="133">
        <v>0.99999092428962477</v>
      </c>
      <c r="H9" s="133" t="s">
        <v>58</v>
      </c>
      <c r="I9" s="133">
        <v>1</v>
      </c>
      <c r="J9" s="133">
        <v>2926984910.2212791</v>
      </c>
      <c r="K9" s="133">
        <v>2926984910.2212791</v>
      </c>
      <c r="L9" s="133">
        <v>165274.06865885691</v>
      </c>
      <c r="M9" s="133">
        <v>3.2821181326125844E-8</v>
      </c>
      <c r="N9" s="133" t="s">
        <v>61</v>
      </c>
      <c r="O9" s="301">
        <v>-45.200827725631825</v>
      </c>
      <c r="P9" s="301">
        <v>88.221038006538961</v>
      </c>
      <c r="Q9" s="301">
        <f>P9*SQRT(G13)</f>
        <v>197.26823802821366</v>
      </c>
      <c r="R9" s="301">
        <v>-0.51235882899361862</v>
      </c>
      <c r="S9" s="301">
        <v>0.64373643235567302</v>
      </c>
      <c r="T9" s="301">
        <v>-325.95954417783543</v>
      </c>
      <c r="U9" s="301">
        <v>235.55788872657178</v>
      </c>
      <c r="V9" s="301">
        <v>-325.95954417783543</v>
      </c>
      <c r="W9" s="301">
        <v>235.55788872657178</v>
      </c>
      <c r="X9" s="162">
        <f>3.3*Q9/O10</f>
        <v>9.3437136345669494E-3</v>
      </c>
      <c r="Y9" s="162">
        <f>10*Q9/O10</f>
        <v>2.8314283741111966E-2</v>
      </c>
      <c r="AB9" s="137"/>
      <c r="AC9" s="137"/>
      <c r="AD9" s="137"/>
      <c r="AE9" s="137"/>
      <c r="AF9" s="137"/>
      <c r="AG9" s="137"/>
      <c r="AH9" s="137"/>
      <c r="AI9" s="137"/>
      <c r="AJ9" s="137"/>
      <c r="AK9" s="137"/>
      <c r="AL9" s="137"/>
      <c r="AM9" s="137"/>
      <c r="AN9" s="137"/>
      <c r="AO9" s="137"/>
      <c r="AP9" s="137"/>
      <c r="AQ9" s="137"/>
      <c r="AR9" s="137"/>
      <c r="AS9" s="137"/>
    </row>
    <row r="10" spans="1:45" x14ac:dyDescent="0.2">
      <c r="A10" s="109">
        <v>43838</v>
      </c>
      <c r="B10" s="110">
        <v>2</v>
      </c>
      <c r="C10" s="113">
        <v>0.1</v>
      </c>
      <c r="D10" s="298">
        <v>7028.1754797817202</v>
      </c>
      <c r="E10" s="299">
        <f t="shared" si="1"/>
        <v>6845.1750445380803</v>
      </c>
      <c r="F10" s="133" t="s">
        <v>53</v>
      </c>
      <c r="G10" s="133">
        <v>0.9999818486616181</v>
      </c>
      <c r="H10" s="133" t="s">
        <v>59</v>
      </c>
      <c r="I10" s="133">
        <v>3</v>
      </c>
      <c r="J10" s="133">
        <v>53129.657918621539</v>
      </c>
      <c r="K10" s="133">
        <v>17709.885972873846</v>
      </c>
      <c r="L10" s="133"/>
      <c r="M10" s="133"/>
      <c r="N10" s="133" t="s">
        <v>74</v>
      </c>
      <c r="O10" s="301">
        <v>69670.926459560331</v>
      </c>
      <c r="P10" s="301">
        <v>171.37569395646835</v>
      </c>
      <c r="Q10" s="301"/>
      <c r="R10" s="301">
        <v>406.53913545790016</v>
      </c>
      <c r="S10" s="301">
        <v>3.2821181326125844E-8</v>
      </c>
      <c r="T10" s="301">
        <v>69125.532515513143</v>
      </c>
      <c r="U10" s="301">
        <v>70216.320403607519</v>
      </c>
      <c r="V10" s="301">
        <v>69125.532515513143</v>
      </c>
      <c r="W10" s="301">
        <v>70216.320403607519</v>
      </c>
      <c r="AB10" s="137"/>
      <c r="AC10" s="137"/>
      <c r="AD10" s="137"/>
      <c r="AE10" s="137"/>
      <c r="AF10" s="137"/>
      <c r="AG10" s="137"/>
      <c r="AH10" s="137"/>
      <c r="AI10" s="137"/>
      <c r="AJ10" s="145"/>
      <c r="AK10" s="145"/>
      <c r="AL10" s="145"/>
      <c r="AM10" s="145"/>
      <c r="AN10" s="145"/>
      <c r="AO10" s="145"/>
      <c r="AP10" s="137"/>
      <c r="AQ10" s="137"/>
      <c r="AR10" s="137"/>
      <c r="AS10" s="137"/>
    </row>
    <row r="11" spans="1:45" x14ac:dyDescent="0.2">
      <c r="A11" s="109">
        <v>43838</v>
      </c>
      <c r="B11" s="110">
        <v>2</v>
      </c>
      <c r="C11" s="113">
        <v>0.25</v>
      </c>
      <c r="D11" s="298">
        <v>17755.5974342763</v>
      </c>
      <c r="E11" s="299">
        <f t="shared" si="1"/>
        <v>17572.596999032659</v>
      </c>
      <c r="F11" s="133" t="s">
        <v>54</v>
      </c>
      <c r="G11" s="133">
        <v>0.99997579821549076</v>
      </c>
      <c r="H11" s="133" t="s">
        <v>60</v>
      </c>
      <c r="I11" s="133">
        <v>4</v>
      </c>
      <c r="J11" s="133">
        <v>2927038039.8791976</v>
      </c>
      <c r="K11" s="133"/>
      <c r="L11" s="133"/>
      <c r="M11" s="133"/>
      <c r="N11" s="137"/>
      <c r="O11" s="302"/>
      <c r="P11" s="302"/>
      <c r="Q11" s="302"/>
      <c r="R11" s="302"/>
      <c r="S11" s="302"/>
      <c r="T11" s="302"/>
      <c r="U11" s="302"/>
      <c r="V11" s="302"/>
      <c r="W11" s="302"/>
      <c r="AB11" s="137"/>
      <c r="AC11" s="137"/>
      <c r="AD11" s="137"/>
      <c r="AE11" s="137"/>
      <c r="AF11" s="137"/>
      <c r="AG11" s="137"/>
      <c r="AH11" s="137"/>
      <c r="AI11" s="137"/>
      <c r="AJ11" s="133"/>
      <c r="AK11" s="133"/>
      <c r="AL11" s="133"/>
      <c r="AM11" s="133"/>
      <c r="AN11" s="133"/>
      <c r="AO11" s="133"/>
      <c r="AP11" s="137"/>
      <c r="AQ11" s="137"/>
      <c r="AR11" s="137"/>
      <c r="AS11" s="137"/>
    </row>
    <row r="12" spans="1:45" x14ac:dyDescent="0.2">
      <c r="A12" s="109">
        <v>43838</v>
      </c>
      <c r="B12" s="110">
        <v>2</v>
      </c>
      <c r="C12" s="114">
        <v>0.5</v>
      </c>
      <c r="D12" s="298">
        <v>34958.833139302398</v>
      </c>
      <c r="E12" s="299">
        <f t="shared" si="1"/>
        <v>34775.832704058761</v>
      </c>
      <c r="F12" s="133" t="s">
        <v>55</v>
      </c>
      <c r="G12" s="133">
        <v>133.07849553129853</v>
      </c>
      <c r="H12" s="137"/>
      <c r="I12" s="137"/>
      <c r="J12" s="137"/>
      <c r="K12" s="137"/>
      <c r="L12" s="137"/>
      <c r="M12" s="137"/>
      <c r="N12" s="137"/>
      <c r="O12" s="302"/>
      <c r="P12" s="302"/>
      <c r="Q12" s="302"/>
      <c r="R12" s="302"/>
      <c r="S12" s="302"/>
      <c r="T12" s="302"/>
      <c r="U12" s="302"/>
      <c r="V12" s="302"/>
      <c r="W12" s="302"/>
      <c r="AB12" s="137"/>
      <c r="AC12" s="137"/>
      <c r="AD12" s="137"/>
      <c r="AE12" s="137"/>
      <c r="AF12" s="137"/>
      <c r="AG12" s="137"/>
      <c r="AH12" s="137"/>
      <c r="AI12" s="137"/>
      <c r="AJ12" s="133"/>
      <c r="AK12" s="133"/>
      <c r="AL12" s="133"/>
      <c r="AM12" s="133"/>
      <c r="AN12" s="133"/>
      <c r="AO12" s="133"/>
      <c r="AP12" s="137"/>
      <c r="AQ12" s="137"/>
      <c r="AR12" s="137"/>
      <c r="AS12" s="137"/>
    </row>
    <row r="13" spans="1:45" x14ac:dyDescent="0.2">
      <c r="A13" s="123">
        <v>43838</v>
      </c>
      <c r="B13" s="124">
        <v>2</v>
      </c>
      <c r="C13" s="125">
        <v>1</v>
      </c>
      <c r="D13" s="303">
        <v>69777.479709614199</v>
      </c>
      <c r="E13" s="304">
        <f t="shared" si="1"/>
        <v>69594.479274370562</v>
      </c>
      <c r="F13" s="148" t="s">
        <v>56</v>
      </c>
      <c r="G13" s="148">
        <v>5</v>
      </c>
      <c r="H13" s="141"/>
      <c r="I13" s="141"/>
      <c r="J13" s="141"/>
      <c r="K13" s="141"/>
      <c r="L13" s="141"/>
      <c r="M13" s="141"/>
      <c r="N13" s="141"/>
      <c r="O13" s="305"/>
      <c r="P13" s="305"/>
      <c r="Q13" s="305"/>
      <c r="R13" s="305"/>
      <c r="S13" s="305"/>
      <c r="T13" s="305"/>
      <c r="U13" s="305"/>
      <c r="V13" s="305"/>
      <c r="W13" s="305"/>
      <c r="X13" s="141"/>
      <c r="Y13" s="141"/>
      <c r="AB13" s="137"/>
      <c r="AC13" s="137"/>
      <c r="AD13" s="137"/>
      <c r="AE13" s="137"/>
      <c r="AF13" s="137"/>
      <c r="AG13" s="137"/>
      <c r="AH13" s="137"/>
      <c r="AI13" s="137"/>
      <c r="AJ13" s="133"/>
      <c r="AK13" s="133"/>
      <c r="AL13" s="133"/>
      <c r="AM13" s="133"/>
      <c r="AN13" s="133"/>
      <c r="AO13" s="133"/>
      <c r="AP13" s="137"/>
      <c r="AQ13" s="137"/>
      <c r="AR13" s="137"/>
      <c r="AS13" s="137"/>
    </row>
    <row r="14" spans="1:45" x14ac:dyDescent="0.2">
      <c r="A14" s="109">
        <v>43838</v>
      </c>
      <c r="B14" s="110">
        <v>3</v>
      </c>
      <c r="C14" s="111">
        <v>0</v>
      </c>
      <c r="D14" s="298">
        <v>223.75065498337</v>
      </c>
      <c r="E14" s="299">
        <f>D14-$D$14</f>
        <v>0</v>
      </c>
      <c r="F14" s="213" t="s">
        <v>51</v>
      </c>
      <c r="G14" s="213"/>
      <c r="H14" s="146"/>
      <c r="I14" s="146" t="s">
        <v>62</v>
      </c>
      <c r="J14" s="146" t="s">
        <v>63</v>
      </c>
      <c r="K14" s="146" t="s">
        <v>64</v>
      </c>
      <c r="L14" s="146" t="s">
        <v>65</v>
      </c>
      <c r="M14" s="146" t="s">
        <v>66</v>
      </c>
      <c r="N14" s="146"/>
      <c r="O14" s="215" t="s">
        <v>67</v>
      </c>
      <c r="P14" s="215" t="s">
        <v>270</v>
      </c>
      <c r="Q14" s="215" t="s">
        <v>271</v>
      </c>
      <c r="R14" s="215" t="s">
        <v>68</v>
      </c>
      <c r="S14" s="215" t="s">
        <v>69</v>
      </c>
      <c r="T14" s="215" t="s">
        <v>70</v>
      </c>
      <c r="U14" s="215" t="s">
        <v>71</v>
      </c>
      <c r="V14" s="215" t="s">
        <v>72</v>
      </c>
      <c r="W14" s="215" t="s">
        <v>73</v>
      </c>
      <c r="AB14" s="137"/>
      <c r="AC14" s="137"/>
      <c r="AD14" s="137"/>
      <c r="AE14" s="137"/>
      <c r="AF14" s="137"/>
      <c r="AG14" s="137"/>
      <c r="AH14" s="137"/>
      <c r="AI14" s="137"/>
      <c r="AJ14" s="145"/>
      <c r="AK14" s="145"/>
      <c r="AL14" s="145"/>
      <c r="AM14" s="145"/>
      <c r="AN14" s="145"/>
      <c r="AO14" s="145"/>
      <c r="AP14" s="145"/>
      <c r="AQ14" s="145"/>
      <c r="AR14" s="145"/>
      <c r="AS14" s="137"/>
    </row>
    <row r="15" spans="1:45" x14ac:dyDescent="0.2">
      <c r="A15" s="109">
        <v>43838</v>
      </c>
      <c r="B15" s="110">
        <v>3</v>
      </c>
      <c r="C15" s="113">
        <v>0.05</v>
      </c>
      <c r="D15" s="298">
        <v>3409.9087833920298</v>
      </c>
      <c r="E15" s="299">
        <f t="shared" ref="E15:E19" si="2">D15-$D$14</f>
        <v>3186.1581284086596</v>
      </c>
      <c r="F15" s="133" t="s">
        <v>52</v>
      </c>
      <c r="G15" s="133">
        <v>0.99994544770955873</v>
      </c>
      <c r="H15" s="133" t="s">
        <v>58</v>
      </c>
      <c r="I15" s="133">
        <v>1</v>
      </c>
      <c r="J15" s="133">
        <v>2721808347.4859395</v>
      </c>
      <c r="K15" s="133">
        <v>2721808347.4859395</v>
      </c>
      <c r="L15" s="133">
        <v>27494.304021512602</v>
      </c>
      <c r="M15" s="133">
        <v>4.8367070979473223E-7</v>
      </c>
      <c r="N15" s="133" t="s">
        <v>61</v>
      </c>
      <c r="O15" s="301">
        <v>-218.84763641093377</v>
      </c>
      <c r="P15" s="301">
        <v>208.57953091946129</v>
      </c>
      <c r="Q15" s="301">
        <f>P15*SQRT(G19)</f>
        <v>466.39800985093467</v>
      </c>
      <c r="R15" s="301">
        <v>-1.0492287303850409</v>
      </c>
      <c r="S15" s="301">
        <v>0.37114309388820593</v>
      </c>
      <c r="T15" s="301">
        <v>-882.6407939433825</v>
      </c>
      <c r="U15" s="301">
        <v>444.94552112151496</v>
      </c>
      <c r="V15" s="301">
        <v>-882.6407939433825</v>
      </c>
      <c r="W15" s="301">
        <v>444.94552112151496</v>
      </c>
      <c r="X15" s="162">
        <f>3.3*Q15/O16</f>
        <v>2.2908703625141223E-2</v>
      </c>
      <c r="Y15" s="162">
        <f>10*Q15/O16</f>
        <v>6.9420314015579465E-2</v>
      </c>
      <c r="AB15" s="137"/>
      <c r="AC15" s="137"/>
      <c r="AD15" s="137"/>
      <c r="AE15" s="137"/>
      <c r="AF15" s="137"/>
      <c r="AG15" s="137"/>
      <c r="AH15" s="137"/>
      <c r="AI15" s="137"/>
      <c r="AJ15" s="133"/>
      <c r="AK15" s="133"/>
      <c r="AL15" s="133"/>
      <c r="AM15" s="133"/>
      <c r="AN15" s="133"/>
      <c r="AO15" s="133"/>
      <c r="AP15" s="133"/>
      <c r="AQ15" s="133"/>
      <c r="AR15" s="133"/>
      <c r="AS15" s="137"/>
    </row>
    <row r="16" spans="1:45" x14ac:dyDescent="0.2">
      <c r="A16" s="109">
        <v>43838</v>
      </c>
      <c r="B16" s="110">
        <v>3</v>
      </c>
      <c r="C16" s="113">
        <v>0.1</v>
      </c>
      <c r="D16" s="298">
        <v>6762.6275729096496</v>
      </c>
      <c r="E16" s="299">
        <f t="shared" si="2"/>
        <v>6538.8769179262799</v>
      </c>
      <c r="F16" s="133" t="s">
        <v>53</v>
      </c>
      <c r="G16" s="133">
        <v>0.99989089839506984</v>
      </c>
      <c r="H16" s="133" t="s">
        <v>59</v>
      </c>
      <c r="I16" s="133">
        <v>3</v>
      </c>
      <c r="J16" s="133">
        <v>296986.0606789274</v>
      </c>
      <c r="K16" s="133">
        <v>98995.353559642463</v>
      </c>
      <c r="L16" s="133"/>
      <c r="M16" s="133"/>
      <c r="N16" s="133" t="s">
        <v>74</v>
      </c>
      <c r="O16" s="301">
        <v>67184.658621144321</v>
      </c>
      <c r="P16" s="301">
        <v>405.18069911836523</v>
      </c>
      <c r="Q16" s="301"/>
      <c r="R16" s="301">
        <v>165.814064607055</v>
      </c>
      <c r="S16" s="301">
        <v>4.8367070979473223E-7</v>
      </c>
      <c r="T16" s="301">
        <v>65895.192802262813</v>
      </c>
      <c r="U16" s="301">
        <v>68474.124440025829</v>
      </c>
      <c r="V16" s="301">
        <v>65895.192802262813</v>
      </c>
      <c r="W16" s="301">
        <v>68474.124440025829</v>
      </c>
      <c r="AB16" s="137"/>
      <c r="AC16" s="137"/>
      <c r="AD16" s="137"/>
      <c r="AE16" s="137"/>
      <c r="AF16" s="137"/>
      <c r="AG16" s="137"/>
      <c r="AH16" s="137"/>
      <c r="AI16" s="137"/>
      <c r="AJ16" s="133"/>
      <c r="AK16" s="133"/>
      <c r="AL16" s="133"/>
      <c r="AM16" s="133"/>
      <c r="AN16" s="133"/>
      <c r="AO16" s="133"/>
      <c r="AP16" s="133"/>
      <c r="AQ16" s="133"/>
      <c r="AR16" s="133"/>
      <c r="AS16" s="137"/>
    </row>
    <row r="17" spans="1:45" x14ac:dyDescent="0.2">
      <c r="A17" s="109">
        <v>43838</v>
      </c>
      <c r="B17" s="110">
        <v>3</v>
      </c>
      <c r="C17" s="113">
        <v>0.25</v>
      </c>
      <c r="D17" s="298">
        <v>17008.237640970299</v>
      </c>
      <c r="E17" s="299">
        <f t="shared" si="2"/>
        <v>16784.486985986929</v>
      </c>
      <c r="F17" s="133" t="s">
        <v>54</v>
      </c>
      <c r="G17" s="133">
        <v>0.99985453119342649</v>
      </c>
      <c r="H17" s="133" t="s">
        <v>60</v>
      </c>
      <c r="I17" s="133">
        <v>4</v>
      </c>
      <c r="J17" s="133">
        <v>2722105333.5466185</v>
      </c>
      <c r="K17" s="133"/>
      <c r="L17" s="133"/>
      <c r="M17" s="133"/>
      <c r="N17" s="137"/>
      <c r="O17" s="302"/>
      <c r="P17" s="302"/>
      <c r="Q17" s="302"/>
      <c r="R17" s="302"/>
      <c r="S17" s="302"/>
      <c r="T17" s="302"/>
      <c r="U17" s="302"/>
      <c r="V17" s="302"/>
      <c r="W17" s="302"/>
      <c r="AB17" s="137"/>
      <c r="AC17" s="137"/>
      <c r="AD17" s="137"/>
      <c r="AE17" s="137"/>
      <c r="AF17" s="137"/>
      <c r="AG17" s="137"/>
      <c r="AH17" s="137"/>
      <c r="AI17" s="137"/>
      <c r="AJ17" s="137"/>
      <c r="AK17" s="137"/>
      <c r="AL17" s="137"/>
      <c r="AM17" s="137"/>
      <c r="AN17" s="137"/>
      <c r="AO17" s="137"/>
      <c r="AP17" s="137"/>
      <c r="AQ17" s="137"/>
      <c r="AR17" s="137"/>
      <c r="AS17" s="137"/>
    </row>
    <row r="18" spans="1:45" x14ac:dyDescent="0.2">
      <c r="A18" s="109">
        <v>43838</v>
      </c>
      <c r="B18" s="110">
        <v>3</v>
      </c>
      <c r="C18" s="114">
        <v>0.5</v>
      </c>
      <c r="D18" s="298">
        <v>33128.843348327398</v>
      </c>
      <c r="E18" s="299">
        <f t="shared" si="2"/>
        <v>32905.092693344028</v>
      </c>
      <c r="F18" s="133" t="s">
        <v>55</v>
      </c>
      <c r="G18" s="133">
        <v>314.63527068598404</v>
      </c>
      <c r="H18" s="137"/>
      <c r="I18" s="137"/>
      <c r="J18" s="144"/>
      <c r="K18" s="220"/>
      <c r="L18" s="144"/>
      <c r="M18" s="137"/>
      <c r="N18" s="137"/>
      <c r="O18" s="302"/>
      <c r="P18" s="302"/>
      <c r="Q18" s="302"/>
      <c r="R18" s="306"/>
      <c r="S18" s="306"/>
      <c r="T18" s="306"/>
      <c r="U18" s="302"/>
      <c r="V18" s="302"/>
      <c r="W18" s="302"/>
      <c r="AB18" s="137"/>
      <c r="AC18" s="137"/>
      <c r="AD18" s="137"/>
      <c r="AE18" s="137"/>
      <c r="AF18" s="137"/>
      <c r="AG18" s="137"/>
      <c r="AH18" s="137"/>
      <c r="AI18" s="137"/>
      <c r="AJ18" s="137"/>
      <c r="AK18" s="137"/>
      <c r="AL18" s="137"/>
      <c r="AM18" s="137"/>
      <c r="AN18" s="137"/>
      <c r="AO18" s="137"/>
      <c r="AP18" s="137"/>
      <c r="AQ18" s="137"/>
      <c r="AR18" s="137"/>
      <c r="AS18" s="137"/>
    </row>
    <row r="19" spans="1:45" x14ac:dyDescent="0.2">
      <c r="A19" s="123">
        <v>43838</v>
      </c>
      <c r="B19" s="124">
        <v>3</v>
      </c>
      <c r="C19" s="125">
        <v>1</v>
      </c>
      <c r="D19" s="303">
        <v>67365.749127436997</v>
      </c>
      <c r="E19" s="304">
        <f t="shared" si="2"/>
        <v>67141.998472453633</v>
      </c>
      <c r="F19" s="148" t="s">
        <v>56</v>
      </c>
      <c r="G19" s="148">
        <v>5</v>
      </c>
      <c r="H19" s="141"/>
      <c r="I19" s="141"/>
      <c r="J19" s="143"/>
      <c r="K19" s="280"/>
      <c r="L19" s="143"/>
      <c r="M19" s="141"/>
      <c r="N19" s="141"/>
      <c r="O19" s="305"/>
      <c r="P19" s="305"/>
      <c r="Q19" s="305"/>
      <c r="R19" s="305"/>
      <c r="S19" s="305"/>
      <c r="T19" s="305"/>
      <c r="U19" s="307"/>
      <c r="V19" s="307"/>
      <c r="W19" s="307"/>
      <c r="X19" s="141"/>
      <c r="Y19" s="141"/>
      <c r="AB19" s="137"/>
      <c r="AC19" s="137"/>
      <c r="AD19" s="137"/>
      <c r="AE19" s="137"/>
      <c r="AF19" s="137"/>
      <c r="AG19" s="137"/>
      <c r="AH19" s="137"/>
      <c r="AI19" s="137"/>
      <c r="AJ19" s="137"/>
      <c r="AK19" s="137"/>
      <c r="AL19" s="137"/>
      <c r="AM19" s="137"/>
      <c r="AN19" s="137"/>
      <c r="AO19" s="137"/>
      <c r="AP19" s="137"/>
      <c r="AQ19" s="137"/>
      <c r="AR19" s="137"/>
      <c r="AS19" s="137"/>
    </row>
    <row r="20" spans="1:45" x14ac:dyDescent="0.2">
      <c r="A20" s="290">
        <v>43789</v>
      </c>
      <c r="B20" s="291">
        <v>1</v>
      </c>
      <c r="C20" s="111">
        <v>0</v>
      </c>
      <c r="D20" s="224">
        <v>88.250100231373196</v>
      </c>
      <c r="E20" s="308">
        <f>D20-$D$20</f>
        <v>0</v>
      </c>
      <c r="F20" s="213" t="s">
        <v>51</v>
      </c>
      <c r="G20" s="213"/>
      <c r="H20" s="146"/>
      <c r="I20" s="146" t="s">
        <v>62</v>
      </c>
      <c r="J20" s="146" t="s">
        <v>63</v>
      </c>
      <c r="K20" s="146" t="s">
        <v>64</v>
      </c>
      <c r="L20" s="146" t="s">
        <v>65</v>
      </c>
      <c r="M20" s="146" t="s">
        <v>66</v>
      </c>
      <c r="N20" s="146"/>
      <c r="O20" s="215" t="s">
        <v>67</v>
      </c>
      <c r="P20" s="215" t="s">
        <v>270</v>
      </c>
      <c r="Q20" s="215" t="s">
        <v>271</v>
      </c>
      <c r="R20" s="215" t="s">
        <v>68</v>
      </c>
      <c r="S20" s="215" t="s">
        <v>69</v>
      </c>
      <c r="T20" s="215" t="s">
        <v>70</v>
      </c>
      <c r="U20" s="215" t="s">
        <v>71</v>
      </c>
      <c r="V20" s="215" t="s">
        <v>72</v>
      </c>
      <c r="W20" s="215" t="s">
        <v>73</v>
      </c>
      <c r="AB20" s="137"/>
      <c r="AC20" s="137"/>
      <c r="AD20" s="137"/>
      <c r="AE20" s="137"/>
      <c r="AF20" s="137"/>
      <c r="AG20" s="137"/>
      <c r="AH20" s="137"/>
      <c r="AI20" s="137"/>
      <c r="AJ20" s="137"/>
      <c r="AK20" s="137"/>
      <c r="AL20" s="137"/>
      <c r="AM20" s="137"/>
      <c r="AN20" s="137"/>
      <c r="AO20" s="137"/>
      <c r="AP20" s="137"/>
      <c r="AQ20" s="137"/>
      <c r="AR20" s="137"/>
      <c r="AS20" s="137"/>
    </row>
    <row r="21" spans="1:45" x14ac:dyDescent="0.2">
      <c r="A21" s="290">
        <v>43789</v>
      </c>
      <c r="B21" s="291">
        <v>1</v>
      </c>
      <c r="C21" s="113">
        <v>0.05</v>
      </c>
      <c r="D21" s="224">
        <v>4430.7676934717101</v>
      </c>
      <c r="E21" s="308">
        <f t="shared" ref="E21:E25" si="3">D21-$D$20</f>
        <v>4342.5175932403372</v>
      </c>
      <c r="F21" s="133" t="s">
        <v>52</v>
      </c>
      <c r="G21" s="133">
        <v>0.99993787497065389</v>
      </c>
      <c r="H21" s="133" t="s">
        <v>58</v>
      </c>
      <c r="I21" s="133">
        <v>1</v>
      </c>
      <c r="J21" s="133">
        <v>3851358351.501862</v>
      </c>
      <c r="K21" s="133">
        <v>3851358351.501862</v>
      </c>
      <c r="L21" s="133">
        <v>24142.607833233284</v>
      </c>
      <c r="M21" s="133">
        <v>5.878001879732228E-7</v>
      </c>
      <c r="N21" s="133" t="s">
        <v>61</v>
      </c>
      <c r="O21" s="301">
        <v>687.24590745328896</v>
      </c>
      <c r="P21" s="301">
        <v>264.7763285157738</v>
      </c>
      <c r="Q21" s="301">
        <f>P21*SQRT(G25)</f>
        <v>592.0578693940862</v>
      </c>
      <c r="R21" s="301">
        <v>2.5955715577208291</v>
      </c>
      <c r="S21" s="301">
        <v>8.0684119480623498E-2</v>
      </c>
      <c r="T21" s="301">
        <v>-155.39054095832091</v>
      </c>
      <c r="U21" s="301">
        <v>1529.8823558648987</v>
      </c>
      <c r="V21" s="301">
        <v>-155.39054095832091</v>
      </c>
      <c r="W21" s="301">
        <v>1529.8823558648987</v>
      </c>
      <c r="X21" s="162">
        <f>3.3*Q21/O22</f>
        <v>2.4447237356738965E-2</v>
      </c>
      <c r="Y21" s="162">
        <f>10*Q21/O22</f>
        <v>7.4082537444663518E-2</v>
      </c>
      <c r="AB21" s="137"/>
      <c r="AC21" s="137"/>
      <c r="AD21" s="137"/>
      <c r="AE21" s="137"/>
      <c r="AF21" s="137"/>
      <c r="AG21" s="137"/>
      <c r="AH21" s="137"/>
      <c r="AI21" s="137"/>
      <c r="AJ21" s="145"/>
      <c r="AK21" s="145"/>
      <c r="AL21" s="145"/>
      <c r="AM21" s="137"/>
      <c r="AN21" s="137"/>
      <c r="AO21" s="137"/>
      <c r="AP21" s="137"/>
      <c r="AQ21" s="137"/>
      <c r="AR21" s="137"/>
      <c r="AS21" s="137"/>
    </row>
    <row r="22" spans="1:45" x14ac:dyDescent="0.2">
      <c r="A22" s="290">
        <v>43789</v>
      </c>
      <c r="B22" s="291">
        <v>1</v>
      </c>
      <c r="C22" s="113">
        <v>0.1</v>
      </c>
      <c r="D22" s="224">
        <v>8596.0116404914497</v>
      </c>
      <c r="E22" s="308">
        <f t="shared" si="3"/>
        <v>8507.7615402600768</v>
      </c>
      <c r="F22" s="133" t="s">
        <v>53</v>
      </c>
      <c r="G22" s="133">
        <v>0.99987575380082705</v>
      </c>
      <c r="H22" s="133" t="s">
        <v>59</v>
      </c>
      <c r="I22" s="133">
        <v>3</v>
      </c>
      <c r="J22" s="133">
        <v>478576.0980883321</v>
      </c>
      <c r="K22" s="133">
        <v>159525.36602944403</v>
      </c>
      <c r="L22" s="133"/>
      <c r="M22" s="133"/>
      <c r="N22" s="133" t="s">
        <v>74</v>
      </c>
      <c r="O22" s="301">
        <v>79918.681219083242</v>
      </c>
      <c r="P22" s="301">
        <v>514.34700914846735</v>
      </c>
      <c r="Q22" s="301"/>
      <c r="R22" s="301">
        <v>155.37891695218266</v>
      </c>
      <c r="S22" s="301">
        <v>5.878001879732228E-7</v>
      </c>
      <c r="T22" s="301">
        <v>78281.799480184971</v>
      </c>
      <c r="U22" s="301">
        <v>81555.562957981514</v>
      </c>
      <c r="V22" s="301">
        <v>78281.799480184971</v>
      </c>
      <c r="W22" s="301">
        <v>81555.562957981514</v>
      </c>
      <c r="AB22" s="137"/>
      <c r="AC22" s="137"/>
      <c r="AD22" s="137"/>
      <c r="AE22" s="137"/>
      <c r="AF22" s="137"/>
      <c r="AG22" s="137"/>
      <c r="AH22" s="137"/>
      <c r="AI22" s="137"/>
      <c r="AJ22" s="133"/>
      <c r="AK22" s="133"/>
      <c r="AL22" s="133"/>
      <c r="AM22" s="137"/>
      <c r="AN22" s="137"/>
      <c r="AO22" s="137"/>
      <c r="AP22" s="137"/>
      <c r="AQ22" s="137"/>
      <c r="AR22" s="137"/>
      <c r="AS22" s="137"/>
    </row>
    <row r="23" spans="1:45" x14ac:dyDescent="0.2">
      <c r="A23" s="290">
        <v>43789</v>
      </c>
      <c r="B23" s="291">
        <v>1</v>
      </c>
      <c r="C23" s="113">
        <v>0.25</v>
      </c>
      <c r="D23" s="224">
        <v>21269.191868763901</v>
      </c>
      <c r="E23" s="308">
        <f t="shared" si="3"/>
        <v>21180.941768532528</v>
      </c>
      <c r="F23" s="133" t="s">
        <v>54</v>
      </c>
      <c r="G23" s="133">
        <v>0.9998343384011027</v>
      </c>
      <c r="H23" s="133" t="s">
        <v>60</v>
      </c>
      <c r="I23" s="133">
        <v>4</v>
      </c>
      <c r="J23" s="133">
        <v>3851836927.5999503</v>
      </c>
      <c r="K23" s="133"/>
      <c r="L23" s="133"/>
      <c r="M23" s="133"/>
      <c r="N23" s="137"/>
      <c r="O23" s="302"/>
      <c r="P23" s="302"/>
      <c r="Q23" s="302"/>
      <c r="R23" s="301"/>
      <c r="S23" s="301"/>
      <c r="T23" s="301"/>
      <c r="U23" s="302"/>
      <c r="V23" s="302"/>
      <c r="W23" s="302"/>
      <c r="AB23" s="137"/>
      <c r="AC23" s="137"/>
      <c r="AD23" s="137"/>
      <c r="AE23" s="137"/>
      <c r="AF23" s="137"/>
      <c r="AG23" s="137"/>
      <c r="AH23" s="137"/>
      <c r="AI23" s="137"/>
      <c r="AJ23" s="133"/>
      <c r="AK23" s="133"/>
      <c r="AL23" s="133"/>
      <c r="AM23" s="137"/>
      <c r="AN23" s="137"/>
      <c r="AO23" s="137"/>
      <c r="AP23" s="137"/>
      <c r="AQ23" s="137"/>
      <c r="AR23" s="137"/>
      <c r="AS23" s="137"/>
    </row>
    <row r="24" spans="1:45" x14ac:dyDescent="0.2">
      <c r="A24" s="290">
        <v>43789</v>
      </c>
      <c r="B24" s="291">
        <v>1</v>
      </c>
      <c r="C24" s="114">
        <v>0.5</v>
      </c>
      <c r="D24" s="224">
        <v>40919.491275963897</v>
      </c>
      <c r="E24" s="308">
        <f t="shared" si="3"/>
        <v>40831.241175732524</v>
      </c>
      <c r="F24" s="133" t="s">
        <v>55</v>
      </c>
      <c r="G24" s="133">
        <v>399.40626688804474</v>
      </c>
      <c r="H24" s="133"/>
      <c r="I24" s="133"/>
      <c r="J24" s="137"/>
      <c r="K24" s="137"/>
      <c r="L24" s="137"/>
      <c r="M24" s="137"/>
      <c r="N24" s="137"/>
      <c r="O24" s="302"/>
      <c r="P24" s="302"/>
      <c r="Q24" s="302"/>
      <c r="R24" s="301"/>
      <c r="S24" s="301"/>
      <c r="T24" s="301"/>
      <c r="U24" s="302"/>
      <c r="V24" s="302"/>
      <c r="W24" s="302"/>
      <c r="AB24" s="137"/>
      <c r="AC24" s="137"/>
      <c r="AD24" s="137"/>
      <c r="AE24" s="137"/>
      <c r="AF24" s="137"/>
      <c r="AG24" s="137"/>
      <c r="AH24" s="137"/>
      <c r="AI24" s="137"/>
      <c r="AJ24" s="133"/>
      <c r="AK24" s="133"/>
      <c r="AL24" s="133"/>
      <c r="AM24" s="137"/>
      <c r="AN24" s="137"/>
      <c r="AO24" s="137"/>
      <c r="AP24" s="137"/>
      <c r="AQ24" s="137"/>
      <c r="AR24" s="137"/>
      <c r="AS24" s="137"/>
    </row>
    <row r="25" spans="1:45" x14ac:dyDescent="0.2">
      <c r="A25" s="292">
        <v>43789</v>
      </c>
      <c r="B25" s="293">
        <v>1</v>
      </c>
      <c r="C25" s="125">
        <v>1</v>
      </c>
      <c r="D25" s="225">
        <v>80507.511875990502</v>
      </c>
      <c r="E25" s="309">
        <f t="shared" si="3"/>
        <v>80419.261775759122</v>
      </c>
      <c r="F25" s="148" t="s">
        <v>56</v>
      </c>
      <c r="G25" s="148">
        <v>5</v>
      </c>
      <c r="H25" s="148"/>
      <c r="I25" s="148"/>
      <c r="J25" s="141"/>
      <c r="K25" s="141"/>
      <c r="L25" s="141"/>
      <c r="M25" s="141"/>
      <c r="N25" s="141"/>
      <c r="O25" s="305"/>
      <c r="P25" s="305"/>
      <c r="Q25" s="305"/>
      <c r="R25" s="310"/>
      <c r="S25" s="310"/>
      <c r="T25" s="310"/>
      <c r="U25" s="305"/>
      <c r="V25" s="305"/>
      <c r="W25" s="305"/>
      <c r="X25" s="141"/>
      <c r="Y25" s="141"/>
      <c r="AB25" s="137"/>
      <c r="AC25" s="137"/>
      <c r="AD25" s="137"/>
      <c r="AE25" s="137"/>
      <c r="AF25" s="137"/>
      <c r="AG25" s="137"/>
      <c r="AH25" s="137"/>
      <c r="AI25" s="137"/>
      <c r="AJ25" s="133"/>
      <c r="AK25" s="133"/>
      <c r="AL25" s="133"/>
      <c r="AM25" s="137"/>
      <c r="AN25" s="137"/>
      <c r="AO25" s="137"/>
      <c r="AP25" s="137"/>
      <c r="AQ25" s="137"/>
      <c r="AR25" s="137"/>
      <c r="AS25" s="137"/>
    </row>
    <row r="26" spans="1:45" x14ac:dyDescent="0.2">
      <c r="A26" s="109">
        <v>43888</v>
      </c>
      <c r="B26" s="110">
        <v>1</v>
      </c>
      <c r="C26" s="111">
        <v>0</v>
      </c>
      <c r="D26" s="224">
        <v>148.25028548685401</v>
      </c>
      <c r="E26" s="308">
        <f>D26-$D$26</f>
        <v>0</v>
      </c>
      <c r="F26" s="213" t="s">
        <v>51</v>
      </c>
      <c r="G26" s="213"/>
      <c r="H26" s="146"/>
      <c r="I26" s="146" t="s">
        <v>62</v>
      </c>
      <c r="J26" s="146" t="s">
        <v>63</v>
      </c>
      <c r="K26" s="146" t="s">
        <v>64</v>
      </c>
      <c r="L26" s="146" t="s">
        <v>65</v>
      </c>
      <c r="M26" s="146" t="s">
        <v>66</v>
      </c>
      <c r="N26" s="146"/>
      <c r="O26" s="215" t="s">
        <v>67</v>
      </c>
      <c r="P26" s="215" t="s">
        <v>270</v>
      </c>
      <c r="Q26" s="215" t="s">
        <v>271</v>
      </c>
      <c r="R26" s="215" t="s">
        <v>68</v>
      </c>
      <c r="S26" s="215" t="s">
        <v>69</v>
      </c>
      <c r="T26" s="215" t="s">
        <v>70</v>
      </c>
      <c r="U26" s="215" t="s">
        <v>71</v>
      </c>
      <c r="V26" s="215" t="s">
        <v>72</v>
      </c>
      <c r="W26" s="215" t="s">
        <v>73</v>
      </c>
      <c r="AB26" s="137"/>
      <c r="AC26" s="137"/>
      <c r="AD26" s="137"/>
      <c r="AE26" s="137"/>
      <c r="AF26" s="137"/>
      <c r="AG26" s="137"/>
      <c r="AH26" s="137"/>
      <c r="AI26" s="137"/>
      <c r="AJ26" s="133"/>
      <c r="AK26" s="133"/>
      <c r="AL26" s="133"/>
      <c r="AM26" s="137"/>
      <c r="AN26" s="137"/>
      <c r="AO26" s="137"/>
      <c r="AP26" s="137"/>
      <c r="AQ26" s="137"/>
      <c r="AR26" s="137"/>
      <c r="AS26" s="137"/>
    </row>
    <row r="27" spans="1:45" x14ac:dyDescent="0.2">
      <c r="A27" s="109">
        <v>43888</v>
      </c>
      <c r="B27" s="110">
        <v>1</v>
      </c>
      <c r="C27" s="113">
        <v>0.05</v>
      </c>
      <c r="D27" s="224">
        <v>4118.7320555637698</v>
      </c>
      <c r="E27" s="308">
        <f t="shared" ref="E27:E31" si="4">D27-$D$26</f>
        <v>3970.4817700769158</v>
      </c>
      <c r="F27" s="133" t="s">
        <v>52</v>
      </c>
      <c r="G27" s="133">
        <v>0.99997416354417157</v>
      </c>
      <c r="H27" s="133" t="s">
        <v>58</v>
      </c>
      <c r="I27" s="133">
        <v>1</v>
      </c>
      <c r="J27" s="133">
        <v>4088175336.8643904</v>
      </c>
      <c r="K27" s="133">
        <v>4088175336.8643904</v>
      </c>
      <c r="L27" s="133">
        <v>58055.248683555663</v>
      </c>
      <c r="M27" s="133">
        <v>1.5764550116155539E-7</v>
      </c>
      <c r="N27" s="133" t="s">
        <v>61</v>
      </c>
      <c r="O27" s="301">
        <v>-245.25250407552085</v>
      </c>
      <c r="P27" s="301">
        <v>175.91719556544254</v>
      </c>
      <c r="Q27" s="301">
        <f>P27*SQRT(G31)</f>
        <v>393.36280769545408</v>
      </c>
      <c r="R27" s="301">
        <v>-1.3941360495613691</v>
      </c>
      <c r="S27" s="301">
        <v>0.25758951261094593</v>
      </c>
      <c r="T27" s="301">
        <v>-805.09953313863514</v>
      </c>
      <c r="U27" s="301">
        <v>314.59452498759345</v>
      </c>
      <c r="V27" s="301">
        <v>-805.09953313863514</v>
      </c>
      <c r="W27" s="301">
        <v>314.59452498759345</v>
      </c>
      <c r="X27" s="162">
        <f>3.3*Q27/O28</f>
        <v>1.5765259878044703E-2</v>
      </c>
      <c r="Y27" s="162">
        <f>10*Q27/O28</f>
        <v>4.7773514781953651E-2</v>
      </c>
      <c r="AB27" s="137"/>
      <c r="AC27" s="137"/>
      <c r="AD27" s="137"/>
      <c r="AE27" s="137"/>
      <c r="AF27" s="137"/>
      <c r="AG27" s="137"/>
      <c r="AH27" s="137"/>
      <c r="AI27" s="137"/>
      <c r="AJ27" s="137"/>
      <c r="AK27" s="137"/>
      <c r="AL27" s="137"/>
      <c r="AM27" s="137"/>
      <c r="AN27" s="137"/>
      <c r="AO27" s="137"/>
      <c r="AP27" s="137"/>
      <c r="AQ27" s="137"/>
      <c r="AR27" s="137"/>
      <c r="AS27" s="137"/>
    </row>
    <row r="28" spans="1:45" x14ac:dyDescent="0.2">
      <c r="A28" s="109">
        <v>43888</v>
      </c>
      <c r="B28" s="110">
        <v>1</v>
      </c>
      <c r="C28" s="113">
        <v>0.1</v>
      </c>
      <c r="D28" s="224">
        <v>8219.4296367463794</v>
      </c>
      <c r="E28" s="308">
        <f t="shared" si="4"/>
        <v>8071.179351259525</v>
      </c>
      <c r="F28" s="133" t="s">
        <v>53</v>
      </c>
      <c r="G28" s="133">
        <v>0.99994832775586551</v>
      </c>
      <c r="H28" s="133" t="s">
        <v>59</v>
      </c>
      <c r="I28" s="133">
        <v>3</v>
      </c>
      <c r="J28" s="133">
        <v>211256.11014852373</v>
      </c>
      <c r="K28" s="133">
        <v>70418.703382841239</v>
      </c>
      <c r="L28" s="133"/>
      <c r="M28" s="133"/>
      <c r="N28" s="133" t="s">
        <v>74</v>
      </c>
      <c r="O28" s="301">
        <v>82339.097194507893</v>
      </c>
      <c r="P28" s="301">
        <v>341.73176999650474</v>
      </c>
      <c r="Q28" s="301"/>
      <c r="R28" s="301">
        <v>240.94656810910519</v>
      </c>
      <c r="S28" s="301">
        <v>1.5764550116155539E-7</v>
      </c>
      <c r="T28" s="301">
        <v>81251.55418568445</v>
      </c>
      <c r="U28" s="301">
        <v>83426.640203331335</v>
      </c>
      <c r="V28" s="301">
        <v>81251.55418568445</v>
      </c>
      <c r="W28" s="301">
        <v>83426.640203331335</v>
      </c>
      <c r="AB28" s="137"/>
      <c r="AC28" s="137"/>
      <c r="AD28" s="137"/>
      <c r="AE28" s="137"/>
      <c r="AF28" s="137"/>
      <c r="AG28" s="137"/>
      <c r="AH28" s="137"/>
      <c r="AI28" s="137"/>
      <c r="AJ28" s="137"/>
      <c r="AK28" s="137"/>
      <c r="AL28" s="137"/>
      <c r="AM28" s="137"/>
      <c r="AN28" s="137"/>
      <c r="AO28" s="137"/>
      <c r="AP28" s="137"/>
      <c r="AQ28" s="137"/>
      <c r="AR28" s="137"/>
      <c r="AS28" s="137"/>
    </row>
    <row r="29" spans="1:45" x14ac:dyDescent="0.2">
      <c r="A29" s="109">
        <v>43888</v>
      </c>
      <c r="B29" s="110">
        <v>1</v>
      </c>
      <c r="C29" s="113">
        <v>0.25</v>
      </c>
      <c r="D29" s="224">
        <v>20531.548337880798</v>
      </c>
      <c r="E29" s="308">
        <f t="shared" si="4"/>
        <v>20383.298052393944</v>
      </c>
      <c r="F29" s="133" t="s">
        <v>54</v>
      </c>
      <c r="G29" s="133">
        <v>0.99993110367448734</v>
      </c>
      <c r="H29" s="133" t="s">
        <v>60</v>
      </c>
      <c r="I29" s="133">
        <v>4</v>
      </c>
      <c r="J29" s="133">
        <v>4088386592.9745388</v>
      </c>
      <c r="K29" s="133"/>
      <c r="L29" s="133"/>
      <c r="M29" s="133"/>
      <c r="N29" s="137"/>
      <c r="O29" s="137"/>
      <c r="P29" s="137"/>
      <c r="Q29" s="137"/>
      <c r="R29" s="137"/>
      <c r="S29" s="137"/>
      <c r="T29" s="137"/>
      <c r="U29" s="137"/>
      <c r="V29" s="137"/>
      <c r="W29" s="137"/>
      <c r="AB29" s="137"/>
      <c r="AC29" s="137"/>
      <c r="AD29" s="137"/>
      <c r="AE29" s="137"/>
      <c r="AF29" s="137"/>
      <c r="AG29" s="137"/>
      <c r="AH29" s="137"/>
      <c r="AI29" s="137"/>
      <c r="AJ29" s="137"/>
      <c r="AK29" s="137"/>
      <c r="AL29" s="137"/>
      <c r="AM29" s="137"/>
      <c r="AN29" s="137"/>
      <c r="AO29" s="137"/>
      <c r="AP29" s="137"/>
      <c r="AQ29" s="137"/>
      <c r="AR29" s="137"/>
      <c r="AS29" s="137"/>
    </row>
    <row r="30" spans="1:45" x14ac:dyDescent="0.2">
      <c r="A30" s="109">
        <v>43888</v>
      </c>
      <c r="B30" s="110">
        <v>1</v>
      </c>
      <c r="C30" s="114">
        <v>0.5</v>
      </c>
      <c r="D30" s="224">
        <v>40670.661259898501</v>
      </c>
      <c r="E30" s="308">
        <f t="shared" si="4"/>
        <v>40522.41097441165</v>
      </c>
      <c r="F30" s="133" t="s">
        <v>55</v>
      </c>
      <c r="G30" s="133">
        <v>265.36522640097598</v>
      </c>
    </row>
    <row r="31" spans="1:45" x14ac:dyDescent="0.2">
      <c r="A31" s="123">
        <v>43888</v>
      </c>
      <c r="B31" s="124">
        <v>1</v>
      </c>
      <c r="C31" s="125">
        <v>1</v>
      </c>
      <c r="D31" s="225">
        <v>82418.902286532204</v>
      </c>
      <c r="E31" s="309">
        <f t="shared" si="4"/>
        <v>82270.652001045353</v>
      </c>
      <c r="F31" s="148" t="s">
        <v>56</v>
      </c>
      <c r="G31" s="148">
        <v>5</v>
      </c>
      <c r="H31" s="141"/>
      <c r="I31" s="141"/>
      <c r="J31" s="141"/>
      <c r="K31" s="141"/>
      <c r="L31" s="141"/>
      <c r="M31" s="141"/>
      <c r="N31" s="141"/>
      <c r="O31" s="141"/>
      <c r="P31" s="141"/>
      <c r="Q31" s="141"/>
      <c r="R31" s="141"/>
      <c r="S31" s="141"/>
      <c r="T31" s="141"/>
      <c r="U31" s="141"/>
      <c r="V31" s="141"/>
      <c r="W31" s="141"/>
      <c r="X31" s="141"/>
      <c r="Y31" s="141"/>
    </row>
    <row r="32" spans="1:45" x14ac:dyDescent="0.2">
      <c r="A32" s="109">
        <v>43888</v>
      </c>
      <c r="B32" s="110">
        <v>2</v>
      </c>
      <c r="C32" s="111">
        <v>0</v>
      </c>
      <c r="D32" s="224">
        <v>246.001466427227</v>
      </c>
      <c r="E32" s="308">
        <f>D32-$D$32</f>
        <v>0</v>
      </c>
      <c r="F32" s="213" t="s">
        <v>51</v>
      </c>
      <c r="G32" s="213"/>
      <c r="H32" s="146"/>
      <c r="I32" s="146" t="s">
        <v>62</v>
      </c>
      <c r="J32" s="146" t="s">
        <v>63</v>
      </c>
      <c r="K32" s="146" t="s">
        <v>64</v>
      </c>
      <c r="L32" s="146" t="s">
        <v>65</v>
      </c>
      <c r="M32" s="146" t="s">
        <v>66</v>
      </c>
      <c r="N32" s="146"/>
      <c r="O32" s="146" t="s">
        <v>67</v>
      </c>
      <c r="P32" s="146" t="s">
        <v>270</v>
      </c>
      <c r="Q32" s="146"/>
      <c r="R32" s="146" t="s">
        <v>68</v>
      </c>
      <c r="S32" s="146" t="s">
        <v>69</v>
      </c>
      <c r="T32" s="146" t="s">
        <v>70</v>
      </c>
      <c r="U32" s="146" t="s">
        <v>71</v>
      </c>
      <c r="V32" s="146" t="s">
        <v>72</v>
      </c>
      <c r="W32" s="146" t="s">
        <v>73</v>
      </c>
    </row>
    <row r="33" spans="1:25" x14ac:dyDescent="0.2">
      <c r="A33" s="109">
        <v>43888</v>
      </c>
      <c r="B33" s="110">
        <v>2</v>
      </c>
      <c r="C33" s="113">
        <v>0.05</v>
      </c>
      <c r="D33" s="224">
        <v>3575.4246109032902</v>
      </c>
      <c r="E33" s="308">
        <f t="shared" ref="E33:E37" si="5">D33-$D$32</f>
        <v>3329.423144476063</v>
      </c>
      <c r="F33" s="133" t="s">
        <v>52</v>
      </c>
      <c r="G33" s="133">
        <v>0.99998131453643857</v>
      </c>
      <c r="H33" s="133" t="s">
        <v>58</v>
      </c>
      <c r="I33" s="133">
        <v>1</v>
      </c>
      <c r="J33" s="133">
        <v>2803399106.5517468</v>
      </c>
      <c r="K33" s="133">
        <v>2803399106.5517468</v>
      </c>
      <c r="L33" s="133">
        <v>80274.056509877657</v>
      </c>
      <c r="M33" s="133">
        <v>9.6959073081840113E-8</v>
      </c>
      <c r="N33" s="133" t="s">
        <v>61</v>
      </c>
      <c r="O33" s="133">
        <v>48.524604472204373</v>
      </c>
      <c r="P33" s="133">
        <v>123.88511869583286</v>
      </c>
      <c r="Q33" s="133">
        <f>P33*SQRT(G37)</f>
        <v>277.01554680451238</v>
      </c>
      <c r="R33" s="133">
        <v>0.39169034168941391</v>
      </c>
      <c r="S33" s="133">
        <v>0.72145223358529331</v>
      </c>
      <c r="T33" s="133">
        <v>-345.73313380098267</v>
      </c>
      <c r="U33" s="133">
        <v>442.78234274539142</v>
      </c>
      <c r="V33" s="133">
        <v>-345.73313380098267</v>
      </c>
      <c r="W33" s="133">
        <v>442.78234274539142</v>
      </c>
      <c r="X33" s="162">
        <f>3.3*Q33/O34</f>
        <v>1.3407082261881606E-2</v>
      </c>
      <c r="Y33" s="162">
        <f>10*Q33/O34</f>
        <v>4.0627522005701834E-2</v>
      </c>
    </row>
    <row r="34" spans="1:25" x14ac:dyDescent="0.2">
      <c r="A34" s="109">
        <v>43888</v>
      </c>
      <c r="B34" s="110">
        <v>2</v>
      </c>
      <c r="C34" s="113">
        <v>0.1</v>
      </c>
      <c r="D34" s="224">
        <v>7030.1823182672797</v>
      </c>
      <c r="E34" s="308">
        <f t="shared" si="5"/>
        <v>6784.180851840053</v>
      </c>
      <c r="F34" s="133" t="s">
        <v>53</v>
      </c>
      <c r="G34" s="133">
        <v>0.99996262942202374</v>
      </c>
      <c r="H34" s="133" t="s">
        <v>59</v>
      </c>
      <c r="I34" s="133">
        <v>3</v>
      </c>
      <c r="J34" s="133">
        <v>104768.56017137208</v>
      </c>
      <c r="K34" s="133">
        <v>34922.853390457363</v>
      </c>
      <c r="L34" s="133"/>
      <c r="M34" s="133"/>
      <c r="N34" s="133" t="s">
        <v>74</v>
      </c>
      <c r="O34" s="133">
        <v>68184.209405051792</v>
      </c>
      <c r="P34" s="133">
        <v>240.6557286914281</v>
      </c>
      <c r="Q34" s="133"/>
      <c r="R34" s="133">
        <v>283.32676631387602</v>
      </c>
      <c r="S34" s="133">
        <v>9.6959073081839941E-8</v>
      </c>
      <c r="T34" s="133">
        <v>67418.335470432401</v>
      </c>
      <c r="U34" s="133">
        <v>68950.083339671182</v>
      </c>
      <c r="V34" s="133">
        <v>67418.335470432401</v>
      </c>
      <c r="W34" s="133">
        <v>68950.083339671182</v>
      </c>
    </row>
    <row r="35" spans="1:25" x14ac:dyDescent="0.2">
      <c r="A35" s="109">
        <v>43888</v>
      </c>
      <c r="B35" s="110">
        <v>2</v>
      </c>
      <c r="C35" s="113">
        <v>0.25</v>
      </c>
      <c r="D35" s="224">
        <v>17621.531175656201</v>
      </c>
      <c r="E35" s="308">
        <f t="shared" si="5"/>
        <v>17375.529709228973</v>
      </c>
      <c r="F35" s="133" t="s">
        <v>54</v>
      </c>
      <c r="G35" s="133">
        <v>0.99995017256269836</v>
      </c>
      <c r="H35" s="133" t="s">
        <v>60</v>
      </c>
      <c r="I35" s="133">
        <v>4</v>
      </c>
      <c r="J35" s="133">
        <v>2803503875.1119184</v>
      </c>
      <c r="K35" s="133"/>
      <c r="L35" s="133"/>
      <c r="M35" s="133"/>
      <c r="N35" s="137"/>
      <c r="O35" s="137"/>
      <c r="P35" s="137"/>
      <c r="Q35" s="137"/>
      <c r="R35" s="137"/>
      <c r="S35" s="137"/>
      <c r="T35" s="137"/>
      <c r="U35" s="137"/>
      <c r="V35" s="137"/>
      <c r="W35" s="137"/>
    </row>
    <row r="36" spans="1:25" x14ac:dyDescent="0.2">
      <c r="A36" s="109">
        <v>43888</v>
      </c>
      <c r="B36" s="110">
        <v>2</v>
      </c>
      <c r="C36" s="114">
        <v>0.5</v>
      </c>
      <c r="D36" s="224">
        <v>34357.9707583044</v>
      </c>
      <c r="E36" s="308">
        <f t="shared" si="5"/>
        <v>34111.969291877176</v>
      </c>
      <c r="F36" s="133" t="s">
        <v>55</v>
      </c>
      <c r="G36" s="133">
        <v>186.87657260999134</v>
      </c>
      <c r="H36" s="137"/>
      <c r="I36" s="137"/>
      <c r="J36" s="137"/>
      <c r="K36" s="137"/>
      <c r="L36" s="137"/>
      <c r="M36" s="137"/>
      <c r="N36" s="137"/>
      <c r="O36" s="137"/>
      <c r="P36" s="137"/>
      <c r="Q36" s="137"/>
      <c r="R36" s="137"/>
      <c r="S36" s="137"/>
      <c r="T36" s="137"/>
      <c r="U36" s="137"/>
      <c r="V36" s="137"/>
      <c r="W36" s="137"/>
    </row>
    <row r="37" spans="1:25" x14ac:dyDescent="0.2">
      <c r="A37" s="123">
        <v>43888</v>
      </c>
      <c r="B37" s="124">
        <v>2</v>
      </c>
      <c r="C37" s="125">
        <v>1</v>
      </c>
      <c r="D37" s="225">
        <v>68437.519360964405</v>
      </c>
      <c r="E37" s="309">
        <f t="shared" si="5"/>
        <v>68191.517894537174</v>
      </c>
      <c r="F37" s="148" t="s">
        <v>56</v>
      </c>
      <c r="G37" s="148">
        <v>5</v>
      </c>
      <c r="H37" s="141"/>
      <c r="I37" s="141"/>
      <c r="J37" s="141"/>
      <c r="K37" s="141"/>
      <c r="L37" s="141"/>
      <c r="M37" s="141"/>
      <c r="N37" s="141"/>
      <c r="O37" s="141"/>
      <c r="P37" s="141"/>
      <c r="Q37" s="141"/>
      <c r="R37" s="141"/>
      <c r="S37" s="141"/>
      <c r="T37" s="141"/>
      <c r="U37" s="141"/>
      <c r="V37" s="141"/>
      <c r="W37" s="141"/>
      <c r="X37" s="141"/>
      <c r="Y37" s="141"/>
    </row>
    <row r="46" spans="1:25" x14ac:dyDescent="0.2">
      <c r="F46" s="137"/>
      <c r="G46" s="137"/>
      <c r="H46" s="137"/>
      <c r="I46" s="137"/>
      <c r="J46" s="144"/>
      <c r="K46" s="140"/>
      <c r="L46" s="136"/>
      <c r="P46" s="137"/>
      <c r="Q46" s="137"/>
      <c r="R46" s="137"/>
      <c r="S46" s="137"/>
      <c r="T46" s="137"/>
      <c r="U46" s="144"/>
      <c r="V46" s="220"/>
      <c r="W46" s="136"/>
    </row>
    <row r="47" spans="1:25" x14ac:dyDescent="0.2">
      <c r="F47" s="137"/>
      <c r="G47" s="137"/>
      <c r="H47" s="137"/>
      <c r="I47" s="137"/>
      <c r="J47" s="144"/>
      <c r="K47" s="140"/>
      <c r="L47" s="136"/>
      <c r="P47" s="137"/>
      <c r="Q47" s="137"/>
      <c r="R47" s="137"/>
      <c r="S47" s="137"/>
      <c r="T47" s="137"/>
      <c r="U47" s="144"/>
      <c r="V47" s="220"/>
      <c r="W47" s="136"/>
    </row>
    <row r="48" spans="1:25" x14ac:dyDescent="0.2">
      <c r="F48" s="137"/>
      <c r="G48" s="137"/>
      <c r="H48" s="137"/>
      <c r="I48" s="137"/>
      <c r="J48" s="137"/>
      <c r="P48" s="137"/>
      <c r="Q48" s="137"/>
      <c r="R48" s="137"/>
      <c r="S48" s="137"/>
      <c r="T48" s="137"/>
      <c r="U48" s="137"/>
      <c r="V48" s="137"/>
    </row>
    <row r="49" spans="6:22" x14ac:dyDescent="0.2">
      <c r="F49" s="137"/>
      <c r="G49" s="137"/>
      <c r="H49" s="137"/>
      <c r="I49" s="137"/>
      <c r="J49" s="137"/>
      <c r="P49" s="137"/>
      <c r="Q49" s="137"/>
      <c r="R49" s="137"/>
      <c r="S49" s="137"/>
      <c r="T49" s="137"/>
      <c r="U49" s="137"/>
      <c r="V49" s="137"/>
    </row>
    <row r="50" spans="6:22" x14ac:dyDescent="0.2">
      <c r="F50" s="137"/>
      <c r="G50" s="145"/>
      <c r="H50" s="145"/>
      <c r="I50" s="145"/>
      <c r="J50" s="137"/>
      <c r="P50" s="137"/>
      <c r="Q50" s="137"/>
      <c r="R50" s="145"/>
      <c r="S50" s="145"/>
      <c r="T50" s="145"/>
      <c r="U50" s="137"/>
      <c r="V50" s="137"/>
    </row>
    <row r="51" spans="6:22" x14ac:dyDescent="0.2">
      <c r="F51" s="137"/>
      <c r="G51" s="133"/>
      <c r="H51" s="133"/>
      <c r="I51" s="133"/>
      <c r="J51" s="137"/>
      <c r="P51" s="137"/>
      <c r="Q51" s="137"/>
      <c r="R51" s="133"/>
      <c r="S51" s="133"/>
      <c r="T51" s="133"/>
      <c r="U51" s="137"/>
      <c r="V51" s="137"/>
    </row>
    <row r="52" spans="6:22" x14ac:dyDescent="0.2">
      <c r="F52" s="137"/>
      <c r="G52" s="133"/>
      <c r="H52" s="133"/>
      <c r="I52" s="133"/>
      <c r="J52" s="137"/>
      <c r="P52" s="137"/>
      <c r="Q52" s="137"/>
      <c r="R52" s="133"/>
      <c r="S52" s="133"/>
      <c r="T52" s="133"/>
      <c r="U52" s="137"/>
      <c r="V52" s="137"/>
    </row>
    <row r="53" spans="6:22" x14ac:dyDescent="0.2">
      <c r="F53" s="137"/>
      <c r="G53" s="133"/>
      <c r="H53" s="133"/>
      <c r="I53" s="133"/>
      <c r="J53" s="137"/>
      <c r="P53" s="137"/>
      <c r="Q53" s="137"/>
      <c r="R53" s="133"/>
      <c r="S53" s="133"/>
      <c r="T53" s="133"/>
      <c r="U53" s="137"/>
      <c r="V53" s="137"/>
    </row>
    <row r="54" spans="6:22" x14ac:dyDescent="0.2">
      <c r="F54" s="137"/>
      <c r="G54" s="133"/>
      <c r="H54" s="133"/>
      <c r="I54" s="133"/>
      <c r="J54" s="137"/>
      <c r="P54" s="137"/>
      <c r="Q54" s="137"/>
      <c r="R54" s="133"/>
      <c r="S54" s="133"/>
      <c r="T54" s="133"/>
      <c r="U54" s="137"/>
      <c r="V54" s="137"/>
    </row>
    <row r="55" spans="6:22" x14ac:dyDescent="0.2">
      <c r="F55" s="137"/>
      <c r="G55" s="133"/>
      <c r="H55" s="133"/>
      <c r="I55" s="133"/>
      <c r="J55" s="137"/>
      <c r="P55" s="137"/>
      <c r="Q55" s="137"/>
      <c r="R55" s="133"/>
      <c r="S55" s="133"/>
      <c r="T55" s="133"/>
      <c r="U55" s="137"/>
      <c r="V55" s="137"/>
    </row>
    <row r="56" spans="6:22" x14ac:dyDescent="0.2">
      <c r="F56" s="137"/>
      <c r="G56" s="137"/>
      <c r="H56" s="137"/>
      <c r="I56" s="137"/>
      <c r="J56" s="137"/>
      <c r="P56" s="137"/>
      <c r="Q56" s="137"/>
      <c r="R56" s="137"/>
      <c r="S56" s="137"/>
      <c r="T56" s="137"/>
      <c r="U56" s="137"/>
      <c r="V56" s="137"/>
    </row>
    <row r="57" spans="6:22" x14ac:dyDescent="0.2">
      <c r="P57" s="137"/>
      <c r="Q57" s="137"/>
      <c r="R57" s="137"/>
      <c r="S57" s="137"/>
      <c r="T57" s="137"/>
      <c r="U57" s="137"/>
      <c r="V57" s="137"/>
    </row>
    <row r="77" spans="7:23" x14ac:dyDescent="0.2">
      <c r="U77" s="136"/>
      <c r="V77" s="140"/>
      <c r="W77" s="136"/>
    </row>
    <row r="78" spans="7:23" x14ac:dyDescent="0.2">
      <c r="G78" s="137"/>
      <c r="H78" s="137"/>
      <c r="I78" s="137"/>
      <c r="J78" s="144"/>
      <c r="K78" s="220"/>
      <c r="L78" s="136"/>
      <c r="P78" s="137"/>
      <c r="Q78" s="137"/>
      <c r="R78" s="137"/>
      <c r="S78" s="137"/>
      <c r="T78" s="137"/>
      <c r="U78" s="144"/>
      <c r="V78" s="220"/>
      <c r="W78" s="136"/>
    </row>
    <row r="79" spans="7:23" x14ac:dyDescent="0.2">
      <c r="G79" s="137"/>
      <c r="H79" s="137"/>
      <c r="I79" s="137"/>
      <c r="J79" s="137"/>
      <c r="K79" s="137"/>
      <c r="P79" s="137"/>
      <c r="Q79" s="137"/>
      <c r="R79" s="137"/>
      <c r="S79" s="137"/>
      <c r="T79" s="137"/>
      <c r="U79" s="137"/>
      <c r="V79" s="137"/>
    </row>
    <row r="80" spans="7:23" x14ac:dyDescent="0.2">
      <c r="G80" s="137"/>
      <c r="H80" s="137"/>
      <c r="I80" s="137"/>
      <c r="J80" s="137"/>
      <c r="K80" s="137"/>
      <c r="P80" s="137"/>
      <c r="Q80" s="137"/>
      <c r="R80" s="137"/>
      <c r="S80" s="137"/>
      <c r="T80" s="137"/>
      <c r="U80" s="137"/>
      <c r="V80" s="137"/>
    </row>
    <row r="81" spans="7:22" x14ac:dyDescent="0.2">
      <c r="G81" s="145"/>
      <c r="H81" s="145"/>
      <c r="I81" s="145"/>
      <c r="J81" s="137"/>
      <c r="K81" s="137"/>
      <c r="P81" s="137"/>
      <c r="Q81" s="137"/>
      <c r="R81" s="145"/>
      <c r="S81" s="145"/>
      <c r="T81" s="145"/>
      <c r="U81" s="137"/>
      <c r="V81" s="137"/>
    </row>
    <row r="82" spans="7:22" x14ac:dyDescent="0.2">
      <c r="G82" s="133"/>
      <c r="H82" s="133"/>
      <c r="I82" s="133"/>
      <c r="J82" s="137"/>
      <c r="K82" s="137"/>
      <c r="P82" s="137"/>
      <c r="Q82" s="137"/>
      <c r="R82" s="133"/>
      <c r="S82" s="133"/>
      <c r="T82" s="133"/>
      <c r="U82" s="137"/>
      <c r="V82" s="137"/>
    </row>
    <row r="83" spans="7:22" x14ac:dyDescent="0.2">
      <c r="G83" s="133"/>
      <c r="H83" s="133"/>
      <c r="I83" s="133"/>
      <c r="J83" s="137"/>
      <c r="K83" s="137"/>
      <c r="P83" s="137"/>
      <c r="Q83" s="137"/>
      <c r="R83" s="133"/>
      <c r="S83" s="133"/>
      <c r="T83" s="133"/>
      <c r="U83" s="137"/>
      <c r="V83" s="137"/>
    </row>
    <row r="84" spans="7:22" x14ac:dyDescent="0.2">
      <c r="G84" s="133"/>
      <c r="H84" s="133"/>
      <c r="I84" s="133"/>
      <c r="J84" s="137"/>
      <c r="K84" s="137"/>
      <c r="P84" s="137"/>
      <c r="Q84" s="137"/>
      <c r="R84" s="133"/>
      <c r="S84" s="133"/>
      <c r="T84" s="133"/>
      <c r="U84" s="137"/>
      <c r="V84" s="137"/>
    </row>
    <row r="85" spans="7:22" x14ac:dyDescent="0.2">
      <c r="G85" s="133"/>
      <c r="H85" s="133"/>
      <c r="I85" s="133"/>
      <c r="J85" s="137"/>
      <c r="K85" s="137"/>
      <c r="P85" s="137"/>
      <c r="Q85" s="137"/>
      <c r="R85" s="133"/>
      <c r="S85" s="133"/>
      <c r="T85" s="133"/>
      <c r="U85" s="137"/>
      <c r="V85" s="137"/>
    </row>
    <row r="86" spans="7:22" x14ac:dyDescent="0.2">
      <c r="G86" s="133"/>
      <c r="H86" s="133"/>
      <c r="I86" s="133"/>
      <c r="J86" s="137"/>
      <c r="K86" s="137"/>
      <c r="P86" s="137"/>
      <c r="Q86" s="137"/>
      <c r="R86" s="133"/>
      <c r="S86" s="133"/>
      <c r="T86" s="133"/>
      <c r="U86" s="137"/>
      <c r="V86" s="137"/>
    </row>
    <row r="87" spans="7:22" x14ac:dyDescent="0.2">
      <c r="G87" s="137"/>
      <c r="H87" s="137"/>
      <c r="I87" s="137"/>
      <c r="J87" s="137"/>
      <c r="K87" s="137"/>
      <c r="P87" s="137"/>
      <c r="Q87" s="137"/>
      <c r="R87" s="137"/>
      <c r="S87" s="137"/>
      <c r="T87" s="137"/>
      <c r="U87" s="137"/>
      <c r="V87" s="137"/>
    </row>
    <row r="88" spans="7:22" x14ac:dyDescent="0.2">
      <c r="G88" s="137"/>
      <c r="H88" s="137"/>
      <c r="I88" s="137"/>
      <c r="J88" s="137"/>
      <c r="K88" s="137"/>
      <c r="P88" s="137"/>
      <c r="Q88" s="137"/>
      <c r="R88" s="137"/>
      <c r="S88" s="137"/>
      <c r="T88" s="137"/>
      <c r="U88" s="137"/>
      <c r="V88" s="137"/>
    </row>
    <row r="89" spans="7:22" x14ac:dyDescent="0.2">
      <c r="P89" s="137"/>
      <c r="Q89" s="137"/>
      <c r="R89" s="137"/>
      <c r="S89" s="137"/>
      <c r="T89" s="137"/>
      <c r="U89" s="137"/>
      <c r="V89" s="137"/>
    </row>
    <row r="90" spans="7:22" x14ac:dyDescent="0.2">
      <c r="P90" s="137"/>
      <c r="Q90" s="137"/>
      <c r="R90" s="137"/>
      <c r="S90" s="137"/>
      <c r="T90" s="137"/>
      <c r="U90" s="137"/>
      <c r="V90" s="137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B1EA2-26E7-774C-B2B8-8DEE621A0810}">
  <dimension ref="A1:AG93"/>
  <sheetViews>
    <sheetView topLeftCell="D1" workbookViewId="0">
      <selection activeCell="D1" sqref="A1:XFD1"/>
    </sheetView>
  </sheetViews>
  <sheetFormatPr baseColWidth="10" defaultRowHeight="14" x14ac:dyDescent="0.2"/>
  <cols>
    <col min="1" max="14" width="10.83203125" style="135"/>
    <col min="15" max="15" width="11.6640625" style="135" bestFit="1" customWidth="1"/>
    <col min="16" max="16" width="9.1640625" style="135" customWidth="1"/>
    <col min="17" max="17" width="8.1640625" style="135" customWidth="1"/>
    <col min="18" max="18" width="8.5" style="135" customWidth="1"/>
    <col min="19" max="19" width="7.33203125" style="135" customWidth="1"/>
    <col min="20" max="23" width="11.6640625" style="135" bestFit="1" customWidth="1"/>
    <col min="24" max="24" width="7.83203125" style="135" customWidth="1"/>
    <col min="25" max="25" width="7.1640625" style="135" customWidth="1"/>
    <col min="26" max="16384" width="10.83203125" style="135"/>
  </cols>
  <sheetData>
    <row r="1" spans="1:33" ht="30" x14ac:dyDescent="0.2">
      <c r="A1" s="243" t="s">
        <v>2</v>
      </c>
      <c r="B1" s="120" t="s">
        <v>3</v>
      </c>
      <c r="C1" s="120" t="s">
        <v>4</v>
      </c>
      <c r="D1" s="121" t="s">
        <v>249</v>
      </c>
      <c r="E1" s="120" t="s">
        <v>250</v>
      </c>
      <c r="F1" s="141" t="s">
        <v>50</v>
      </c>
      <c r="G1" s="141"/>
      <c r="H1" s="141" t="s">
        <v>57</v>
      </c>
      <c r="I1" s="141"/>
      <c r="J1" s="141"/>
      <c r="K1" s="141"/>
      <c r="L1" s="141"/>
      <c r="M1" s="141"/>
      <c r="N1" s="141"/>
      <c r="O1" s="141"/>
      <c r="P1" s="141"/>
      <c r="Q1" s="141"/>
      <c r="R1" s="141"/>
      <c r="S1" s="141"/>
      <c r="T1" s="141"/>
      <c r="U1" s="141"/>
      <c r="V1" s="141"/>
      <c r="W1" s="141"/>
      <c r="X1" s="141"/>
      <c r="Y1" s="141"/>
      <c r="AC1" s="297"/>
      <c r="AD1" s="297"/>
      <c r="AE1" s="297"/>
      <c r="AF1" s="297"/>
      <c r="AG1" s="297"/>
    </row>
    <row r="2" spans="1:33" x14ac:dyDescent="0.2">
      <c r="A2" s="109">
        <v>43838</v>
      </c>
      <c r="B2" s="110">
        <v>1</v>
      </c>
      <c r="C2" s="135">
        <v>0</v>
      </c>
      <c r="D2" s="112">
        <v>1</v>
      </c>
      <c r="E2" s="115">
        <f>D2-$D$2</f>
        <v>0</v>
      </c>
      <c r="F2" s="213" t="s">
        <v>51</v>
      </c>
      <c r="G2" s="213"/>
      <c r="H2" s="146"/>
      <c r="I2" s="146" t="s">
        <v>62</v>
      </c>
      <c r="J2" s="146" t="s">
        <v>63</v>
      </c>
      <c r="K2" s="146" t="s">
        <v>64</v>
      </c>
      <c r="L2" s="146" t="s">
        <v>65</v>
      </c>
      <c r="M2" s="146" t="s">
        <v>66</v>
      </c>
      <c r="N2" s="146"/>
      <c r="O2" s="146" t="s">
        <v>67</v>
      </c>
      <c r="P2" s="146" t="s">
        <v>270</v>
      </c>
      <c r="Q2" s="146" t="s">
        <v>271</v>
      </c>
      <c r="R2" s="146" t="s">
        <v>68</v>
      </c>
      <c r="S2" s="146" t="s">
        <v>69</v>
      </c>
      <c r="T2" s="146" t="s">
        <v>70</v>
      </c>
      <c r="U2" s="146" t="s">
        <v>71</v>
      </c>
      <c r="V2" s="146" t="s">
        <v>72</v>
      </c>
      <c r="W2" s="146" t="s">
        <v>73</v>
      </c>
      <c r="X2" s="178" t="s">
        <v>272</v>
      </c>
      <c r="Y2" s="178" t="s">
        <v>273</v>
      </c>
      <c r="AC2" s="300"/>
      <c r="AD2" s="300"/>
      <c r="AE2" s="300"/>
      <c r="AF2" s="300"/>
      <c r="AG2" s="300"/>
    </row>
    <row r="3" spans="1:33" x14ac:dyDescent="0.2">
      <c r="A3" s="109">
        <v>43838</v>
      </c>
      <c r="B3" s="110">
        <v>1</v>
      </c>
      <c r="C3" s="135">
        <v>0.01</v>
      </c>
      <c r="D3" s="232">
        <v>754.51993864474196</v>
      </c>
      <c r="E3" s="115">
        <f t="shared" ref="E3:E7" si="0">D3-$D$2</f>
        <v>753.51993864474196</v>
      </c>
      <c r="F3" s="133" t="s">
        <v>52</v>
      </c>
      <c r="G3" s="133">
        <v>0.99998374060810846</v>
      </c>
      <c r="H3" s="133" t="s">
        <v>58</v>
      </c>
      <c r="I3" s="133">
        <v>1</v>
      </c>
      <c r="J3" s="133">
        <v>154727899.05109546</v>
      </c>
      <c r="K3" s="133">
        <v>154727899.05109546</v>
      </c>
      <c r="L3" s="133">
        <v>92252.122740824227</v>
      </c>
      <c r="M3" s="133">
        <v>7.8702630171628153E-8</v>
      </c>
      <c r="N3" s="133" t="s">
        <v>61</v>
      </c>
      <c r="O3" s="134">
        <v>-75.085587439421033</v>
      </c>
      <c r="P3" s="134">
        <v>27.14941093735823</v>
      </c>
      <c r="Q3" s="134">
        <f>P3*SQRT(G7)</f>
        <v>60.707928405009291</v>
      </c>
      <c r="R3" s="134">
        <v>-2.765643336154358</v>
      </c>
      <c r="S3" s="134">
        <v>6.9822099585336153E-2</v>
      </c>
      <c r="T3" s="134">
        <v>-161.48712996764584</v>
      </c>
      <c r="U3" s="134">
        <v>11.31595508880379</v>
      </c>
      <c r="V3" s="134">
        <v>-161.48712996764584</v>
      </c>
      <c r="W3" s="134">
        <v>11.31595508880379</v>
      </c>
      <c r="X3" s="337">
        <f>3.3*Q3/O4</f>
        <v>2.5012879483384651E-3</v>
      </c>
      <c r="Y3" s="162">
        <f>10*Q3/O4</f>
        <v>7.579660449510502E-3</v>
      </c>
      <c r="AC3" s="300"/>
      <c r="AD3" s="300"/>
      <c r="AE3" s="300"/>
      <c r="AF3" s="300"/>
      <c r="AG3" s="300"/>
    </row>
    <row r="4" spans="1:33" x14ac:dyDescent="0.2">
      <c r="A4" s="109">
        <v>43838</v>
      </c>
      <c r="B4" s="110">
        <v>1</v>
      </c>
      <c r="C4" s="135">
        <v>0.02</v>
      </c>
      <c r="D4" s="232">
        <v>1547.5839206436201</v>
      </c>
      <c r="E4" s="115">
        <f t="shared" si="0"/>
        <v>1546.5839206436201</v>
      </c>
      <c r="F4" s="133" t="s">
        <v>53</v>
      </c>
      <c r="G4" s="133">
        <v>0.99996748148058467</v>
      </c>
      <c r="H4" s="133" t="s">
        <v>59</v>
      </c>
      <c r="I4" s="133">
        <v>3</v>
      </c>
      <c r="J4" s="133">
        <v>5031.6858123403554</v>
      </c>
      <c r="K4" s="133">
        <v>1677.2286041134519</v>
      </c>
      <c r="L4" s="133"/>
      <c r="M4" s="133"/>
      <c r="N4" s="133" t="s">
        <v>74</v>
      </c>
      <c r="O4" s="134">
        <v>80093.203131454051</v>
      </c>
      <c r="P4" s="134">
        <v>263.6983901478373</v>
      </c>
      <c r="Q4" s="134"/>
      <c r="R4" s="134">
        <v>303.73034543954316</v>
      </c>
      <c r="S4" s="134">
        <v>7.8702630171628153E-8</v>
      </c>
      <c r="T4" s="134">
        <v>79253.997164018801</v>
      </c>
      <c r="U4" s="134">
        <v>80932.4090988893</v>
      </c>
      <c r="V4" s="134">
        <v>79253.997164018801</v>
      </c>
      <c r="W4" s="134">
        <v>80932.4090988893</v>
      </c>
      <c r="AC4" s="300"/>
      <c r="AD4" s="300"/>
      <c r="AE4" s="300"/>
      <c r="AF4" s="300"/>
      <c r="AG4" s="300"/>
    </row>
    <row r="5" spans="1:33" x14ac:dyDescent="0.2">
      <c r="A5" s="109">
        <v>43838</v>
      </c>
      <c r="B5" s="110">
        <v>1</v>
      </c>
      <c r="C5" s="135">
        <v>0.05</v>
      </c>
      <c r="D5" s="232">
        <v>3869.27412321464</v>
      </c>
      <c r="E5" s="115">
        <f t="shared" si="0"/>
        <v>3868.27412321464</v>
      </c>
      <c r="F5" s="133" t="s">
        <v>54</v>
      </c>
      <c r="G5" s="133">
        <v>0.99995664197411294</v>
      </c>
      <c r="H5" s="133" t="s">
        <v>60</v>
      </c>
      <c r="I5" s="133">
        <v>4</v>
      </c>
      <c r="J5" s="133">
        <v>154732930.73690781</v>
      </c>
      <c r="K5" s="133"/>
      <c r="L5" s="133"/>
      <c r="M5" s="133"/>
      <c r="N5" s="137"/>
      <c r="O5" s="138"/>
      <c r="P5" s="138"/>
      <c r="Q5" s="138"/>
      <c r="R5" s="138"/>
      <c r="S5" s="138"/>
      <c r="T5" s="138"/>
      <c r="U5" s="138"/>
      <c r="V5" s="138"/>
      <c r="W5" s="138"/>
      <c r="AC5" s="300"/>
      <c r="AD5" s="300"/>
      <c r="AE5" s="300"/>
      <c r="AF5" s="300"/>
      <c r="AG5" s="300"/>
    </row>
    <row r="6" spans="1:33" x14ac:dyDescent="0.2">
      <c r="A6" s="109">
        <v>43838</v>
      </c>
      <c r="B6" s="110">
        <v>1</v>
      </c>
      <c r="C6" s="135">
        <v>0.1</v>
      </c>
      <c r="D6" s="232">
        <v>7938.9559527045303</v>
      </c>
      <c r="E6" s="115">
        <f t="shared" si="0"/>
        <v>7937.9559527045303</v>
      </c>
      <c r="F6" s="133" t="s">
        <v>55</v>
      </c>
      <c r="G6" s="133">
        <v>40.953981541645639</v>
      </c>
      <c r="H6" s="137"/>
      <c r="I6" s="137"/>
      <c r="J6" s="137"/>
      <c r="K6" s="137"/>
      <c r="L6" s="137"/>
      <c r="M6" s="137"/>
      <c r="N6" s="137"/>
      <c r="O6" s="138"/>
      <c r="P6" s="138"/>
      <c r="Q6" s="138"/>
      <c r="R6" s="138"/>
      <c r="S6" s="138"/>
      <c r="T6" s="138"/>
      <c r="U6" s="138"/>
      <c r="V6" s="138"/>
      <c r="W6" s="138"/>
      <c r="AC6" s="300"/>
      <c r="AD6" s="300"/>
      <c r="AE6" s="300"/>
      <c r="AF6" s="300"/>
      <c r="AG6" s="300"/>
    </row>
    <row r="7" spans="1:33" x14ac:dyDescent="0.2">
      <c r="A7" s="123">
        <v>43838</v>
      </c>
      <c r="B7" s="124">
        <v>1</v>
      </c>
      <c r="C7" s="141">
        <v>0.2</v>
      </c>
      <c r="D7" s="235">
        <v>15954.6553175479</v>
      </c>
      <c r="E7" s="156">
        <f t="shared" si="0"/>
        <v>15953.6553175479</v>
      </c>
      <c r="F7" s="148" t="s">
        <v>56</v>
      </c>
      <c r="G7" s="148">
        <v>5</v>
      </c>
      <c r="H7" s="141"/>
      <c r="I7" s="141"/>
      <c r="J7" s="141"/>
      <c r="K7" s="141"/>
      <c r="L7" s="141"/>
      <c r="M7" s="141"/>
      <c r="N7" s="141"/>
      <c r="O7" s="142"/>
      <c r="P7" s="142"/>
      <c r="Q7" s="142"/>
      <c r="R7" s="142"/>
      <c r="S7" s="142"/>
      <c r="T7" s="142"/>
      <c r="U7" s="142"/>
      <c r="V7" s="142"/>
      <c r="W7" s="142"/>
      <c r="X7" s="141"/>
      <c r="Y7" s="141"/>
      <c r="AC7" s="300"/>
      <c r="AD7" s="300"/>
      <c r="AE7" s="300"/>
      <c r="AF7" s="300"/>
      <c r="AG7" s="300"/>
    </row>
    <row r="8" spans="1:33" x14ac:dyDescent="0.2">
      <c r="A8" s="109">
        <v>43838</v>
      </c>
      <c r="B8" s="110">
        <v>2</v>
      </c>
      <c r="C8" s="135">
        <v>0</v>
      </c>
      <c r="D8" s="232">
        <v>2.00000021000002</v>
      </c>
      <c r="E8" s="116">
        <f>D8-$D$8</f>
        <v>0</v>
      </c>
      <c r="F8" s="213" t="s">
        <v>51</v>
      </c>
      <c r="G8" s="213"/>
      <c r="H8" s="146"/>
      <c r="I8" s="146" t="s">
        <v>62</v>
      </c>
      <c r="J8" s="146" t="s">
        <v>63</v>
      </c>
      <c r="K8" s="146" t="s">
        <v>64</v>
      </c>
      <c r="L8" s="146" t="s">
        <v>65</v>
      </c>
      <c r="M8" s="146" t="s">
        <v>66</v>
      </c>
      <c r="N8" s="146"/>
      <c r="O8" s="215" t="s">
        <v>67</v>
      </c>
      <c r="P8" s="215" t="s">
        <v>270</v>
      </c>
      <c r="Q8" s="215" t="s">
        <v>271</v>
      </c>
      <c r="R8" s="215" t="s">
        <v>68</v>
      </c>
      <c r="S8" s="215" t="s">
        <v>69</v>
      </c>
      <c r="T8" s="215" t="s">
        <v>70</v>
      </c>
      <c r="U8" s="215" t="s">
        <v>71</v>
      </c>
      <c r="V8" s="215" t="s">
        <v>72</v>
      </c>
      <c r="W8" s="215" t="s">
        <v>73</v>
      </c>
    </row>
    <row r="9" spans="1:33" x14ac:dyDescent="0.2">
      <c r="A9" s="109">
        <v>43838</v>
      </c>
      <c r="B9" s="110">
        <v>2</v>
      </c>
      <c r="C9" s="135">
        <v>0.01</v>
      </c>
      <c r="D9" s="232">
        <v>696.76699213565405</v>
      </c>
      <c r="E9" s="116">
        <f t="shared" ref="E9:E13" si="1">D9-$D$8</f>
        <v>694.766991925654</v>
      </c>
      <c r="F9" s="133" t="s">
        <v>52</v>
      </c>
      <c r="G9" s="133">
        <v>0.99997227541254374</v>
      </c>
      <c r="H9" s="133" t="s">
        <v>58</v>
      </c>
      <c r="I9" s="133">
        <v>1</v>
      </c>
      <c r="J9" s="133">
        <v>121301278.32844213</v>
      </c>
      <c r="K9" s="133">
        <v>121301278.32844213</v>
      </c>
      <c r="L9" s="133">
        <v>54101.350374769543</v>
      </c>
      <c r="M9" s="133">
        <v>1.7523856579054152E-7</v>
      </c>
      <c r="N9" s="133" t="s">
        <v>61</v>
      </c>
      <c r="O9" s="134">
        <v>-12.552294487004474</v>
      </c>
      <c r="P9" s="134">
        <v>31.390115746750769</v>
      </c>
      <c r="Q9" s="134">
        <f>P9*SQRT(G13)</f>
        <v>70.190432631321301</v>
      </c>
      <c r="R9" s="134">
        <v>-0.39988047792731629</v>
      </c>
      <c r="S9" s="134">
        <v>0.71601434556959065</v>
      </c>
      <c r="T9" s="134">
        <v>-112.44965236767943</v>
      </c>
      <c r="U9" s="134">
        <v>87.345063393670486</v>
      </c>
      <c r="V9" s="134">
        <v>-112.44965236767943</v>
      </c>
      <c r="W9" s="134">
        <v>87.345063393670486</v>
      </c>
      <c r="X9" s="337">
        <f>3.3*Q9/O10</f>
        <v>3.2662379614968903E-3</v>
      </c>
      <c r="Y9" s="162">
        <f>10*Q9/O10</f>
        <v>9.8976907924148202E-3</v>
      </c>
    </row>
    <row r="10" spans="1:33" x14ac:dyDescent="0.2">
      <c r="A10" s="109">
        <v>43838</v>
      </c>
      <c r="B10" s="110">
        <v>2</v>
      </c>
      <c r="C10" s="135">
        <v>0.02</v>
      </c>
      <c r="D10" s="232">
        <v>1421.32079959762</v>
      </c>
      <c r="E10" s="116">
        <f t="shared" si="1"/>
        <v>1419.3207993876199</v>
      </c>
      <c r="F10" s="133" t="s">
        <v>53</v>
      </c>
      <c r="G10" s="133">
        <v>0.99994455159374018</v>
      </c>
      <c r="H10" s="133" t="s">
        <v>59</v>
      </c>
      <c r="I10" s="133">
        <v>3</v>
      </c>
      <c r="J10" s="133">
        <v>6726.3355251671292</v>
      </c>
      <c r="K10" s="133">
        <v>2242.1118417223765</v>
      </c>
      <c r="L10" s="133"/>
      <c r="M10" s="133"/>
      <c r="N10" s="133" t="s">
        <v>74</v>
      </c>
      <c r="O10" s="134">
        <v>70915.968283341746</v>
      </c>
      <c r="P10" s="134">
        <v>304.88775642577161</v>
      </c>
      <c r="Q10" s="134"/>
      <c r="R10" s="134">
        <v>232.59696983144366</v>
      </c>
      <c r="S10" s="134">
        <v>1.7523856579054184E-7</v>
      </c>
      <c r="T10" s="134">
        <v>69945.679369378311</v>
      </c>
      <c r="U10" s="134">
        <v>71886.257197305182</v>
      </c>
      <c r="V10" s="134">
        <v>69945.679369378311</v>
      </c>
      <c r="W10" s="134">
        <v>71886.257197305182</v>
      </c>
    </row>
    <row r="11" spans="1:33" x14ac:dyDescent="0.2">
      <c r="A11" s="109">
        <v>43838</v>
      </c>
      <c r="B11" s="110">
        <v>2</v>
      </c>
      <c r="C11" s="135">
        <v>0.05</v>
      </c>
      <c r="D11" s="232">
        <v>3567.6955078238898</v>
      </c>
      <c r="E11" s="116">
        <f t="shared" si="1"/>
        <v>3565.6955076138897</v>
      </c>
      <c r="F11" s="133" t="s">
        <v>54</v>
      </c>
      <c r="G11" s="133">
        <v>0.99992606879165358</v>
      </c>
      <c r="H11" s="133" t="s">
        <v>60</v>
      </c>
      <c r="I11" s="133">
        <v>4</v>
      </c>
      <c r="J11" s="133">
        <v>121308004.6639673</v>
      </c>
      <c r="K11" s="133"/>
      <c r="L11" s="133"/>
      <c r="M11" s="133"/>
      <c r="N11" s="137"/>
      <c r="O11" s="138"/>
      <c r="P11" s="138"/>
      <c r="Q11" s="138"/>
      <c r="R11" s="138"/>
      <c r="S11" s="138"/>
      <c r="T11" s="138"/>
      <c r="U11" s="138"/>
      <c r="V11" s="138"/>
      <c r="W11" s="138"/>
    </row>
    <row r="12" spans="1:33" x14ac:dyDescent="0.2">
      <c r="A12" s="109">
        <v>43838</v>
      </c>
      <c r="B12" s="110">
        <v>2</v>
      </c>
      <c r="C12" s="135">
        <v>0.1</v>
      </c>
      <c r="D12" s="232">
        <v>7011.4704945818803</v>
      </c>
      <c r="E12" s="116">
        <f t="shared" si="1"/>
        <v>7009.4704943718807</v>
      </c>
      <c r="F12" s="133" t="s">
        <v>55</v>
      </c>
      <c r="G12" s="133">
        <v>47.350943409000593</v>
      </c>
      <c r="H12" s="137"/>
      <c r="I12" s="137"/>
      <c r="J12" s="137"/>
      <c r="K12" s="137"/>
      <c r="L12" s="137"/>
      <c r="M12" s="137"/>
      <c r="N12" s="137"/>
      <c r="O12" s="138"/>
      <c r="P12" s="138"/>
      <c r="Q12" s="138"/>
      <c r="R12" s="138"/>
      <c r="S12" s="138"/>
      <c r="T12" s="138"/>
      <c r="U12" s="138"/>
      <c r="V12" s="138"/>
      <c r="W12" s="138"/>
    </row>
    <row r="13" spans="1:33" x14ac:dyDescent="0.2">
      <c r="A13" s="123">
        <v>43838</v>
      </c>
      <c r="B13" s="124">
        <v>2</v>
      </c>
      <c r="C13" s="141">
        <v>0.2</v>
      </c>
      <c r="D13" s="235">
        <v>14198.052682145801</v>
      </c>
      <c r="E13" s="126">
        <f t="shared" si="1"/>
        <v>14196.0526819358</v>
      </c>
      <c r="F13" s="148" t="s">
        <v>56</v>
      </c>
      <c r="G13" s="148">
        <v>5</v>
      </c>
      <c r="H13" s="141"/>
      <c r="I13" s="141"/>
      <c r="J13" s="141"/>
      <c r="K13" s="141"/>
      <c r="L13" s="141"/>
      <c r="M13" s="141"/>
      <c r="N13" s="141"/>
      <c r="O13" s="142"/>
      <c r="P13" s="142"/>
      <c r="Q13" s="142"/>
      <c r="R13" s="142"/>
      <c r="S13" s="142"/>
      <c r="T13" s="142"/>
      <c r="U13" s="142"/>
      <c r="V13" s="142"/>
      <c r="W13" s="142"/>
      <c r="X13" s="141"/>
      <c r="Y13" s="141"/>
    </row>
    <row r="14" spans="1:33" x14ac:dyDescent="0.2">
      <c r="A14" s="109">
        <v>43838</v>
      </c>
      <c r="B14" s="110">
        <v>3</v>
      </c>
      <c r="C14" s="135">
        <v>0</v>
      </c>
      <c r="D14" s="232">
        <v>6.2500014437503504</v>
      </c>
      <c r="E14" s="116">
        <f>D14-$D$14</f>
        <v>0</v>
      </c>
      <c r="F14" s="213" t="s">
        <v>51</v>
      </c>
      <c r="G14" s="213"/>
      <c r="H14" s="146"/>
      <c r="I14" s="146" t="s">
        <v>62</v>
      </c>
      <c r="J14" s="146" t="s">
        <v>63</v>
      </c>
      <c r="K14" s="146" t="s">
        <v>64</v>
      </c>
      <c r="L14" s="146" t="s">
        <v>65</v>
      </c>
      <c r="M14" s="146" t="s">
        <v>66</v>
      </c>
      <c r="N14" s="146"/>
      <c r="O14" s="215" t="s">
        <v>67</v>
      </c>
      <c r="P14" s="215" t="s">
        <v>270</v>
      </c>
      <c r="Q14" s="215" t="s">
        <v>271</v>
      </c>
      <c r="R14" s="215" t="s">
        <v>68</v>
      </c>
      <c r="S14" s="215" t="s">
        <v>69</v>
      </c>
      <c r="T14" s="215" t="s">
        <v>70</v>
      </c>
      <c r="U14" s="215" t="s">
        <v>71</v>
      </c>
      <c r="V14" s="215" t="s">
        <v>72</v>
      </c>
      <c r="W14" s="215" t="s">
        <v>73</v>
      </c>
    </row>
    <row r="15" spans="1:33" x14ac:dyDescent="0.2">
      <c r="A15" s="109">
        <v>43838</v>
      </c>
      <c r="B15" s="110">
        <v>3</v>
      </c>
      <c r="C15" s="135">
        <v>0.01</v>
      </c>
      <c r="D15" s="232">
        <v>657.01511180766795</v>
      </c>
      <c r="E15" s="116">
        <f t="shared" ref="E15:E19" si="2">D15-$D$14</f>
        <v>650.76511036391764</v>
      </c>
      <c r="F15" s="133" t="s">
        <v>52</v>
      </c>
      <c r="G15" s="133">
        <v>0.99998203488568416</v>
      </c>
      <c r="H15" s="133" t="s">
        <v>58</v>
      </c>
      <c r="I15" s="133">
        <v>1</v>
      </c>
      <c r="J15" s="133">
        <v>107496779.77709131</v>
      </c>
      <c r="K15" s="133">
        <v>107496779.77709131</v>
      </c>
      <c r="L15" s="133">
        <v>83492.904761948172</v>
      </c>
      <c r="M15" s="133">
        <v>9.1406623075570666E-8</v>
      </c>
      <c r="N15" s="133" t="s">
        <v>61</v>
      </c>
      <c r="O15" s="134">
        <v>6.6822950073319589</v>
      </c>
      <c r="P15" s="134">
        <v>23.786865824404359</v>
      </c>
      <c r="Q15" s="134">
        <f>P15*SQRT(G19)</f>
        <v>53.189048955034721</v>
      </c>
      <c r="R15" s="134">
        <v>0.28092372726448878</v>
      </c>
      <c r="S15" s="134">
        <v>0.79702947496569299</v>
      </c>
      <c r="T15" s="134">
        <v>-69.018128249823022</v>
      </c>
      <c r="U15" s="134">
        <v>82.38271826448694</v>
      </c>
      <c r="V15" s="134">
        <v>-69.018128249823022</v>
      </c>
      <c r="W15" s="134">
        <v>82.38271826448694</v>
      </c>
      <c r="X15" s="337">
        <f>3.3*Q15/O16</f>
        <v>2.6292209815556417E-3</v>
      </c>
      <c r="Y15" s="162">
        <f>10*Q15/O16</f>
        <v>7.9673363077443684E-3</v>
      </c>
    </row>
    <row r="16" spans="1:33" x14ac:dyDescent="0.2">
      <c r="A16" s="109">
        <v>43838</v>
      </c>
      <c r="B16" s="110">
        <v>3</v>
      </c>
      <c r="C16" s="135">
        <v>0.02</v>
      </c>
      <c r="D16" s="232">
        <v>1334.56237864019</v>
      </c>
      <c r="E16" s="116">
        <f t="shared" si="2"/>
        <v>1328.3123771964397</v>
      </c>
      <c r="F16" s="133" t="s">
        <v>53</v>
      </c>
      <c r="G16" s="133">
        <v>0.99996407009411359</v>
      </c>
      <c r="H16" s="133" t="s">
        <v>59</v>
      </c>
      <c r="I16" s="133">
        <v>3</v>
      </c>
      <c r="J16" s="133">
        <v>3862.4879593151809</v>
      </c>
      <c r="K16" s="133">
        <v>1287.4959864383936</v>
      </c>
      <c r="L16" s="133"/>
      <c r="M16" s="133"/>
      <c r="N16" s="133" t="s">
        <v>74</v>
      </c>
      <c r="O16" s="134">
        <v>66758.885153792464</v>
      </c>
      <c r="P16" s="134">
        <v>231.03846485033122</v>
      </c>
      <c r="Q16" s="134"/>
      <c r="R16" s="134">
        <v>288.95138823329467</v>
      </c>
      <c r="S16" s="134">
        <v>9.1406623075570666E-8</v>
      </c>
      <c r="T16" s="134">
        <v>66023.617644951111</v>
      </c>
      <c r="U16" s="134">
        <v>67494.152662633816</v>
      </c>
      <c r="V16" s="134">
        <v>66023.617644951111</v>
      </c>
      <c r="W16" s="134">
        <v>67494.152662633816</v>
      </c>
    </row>
    <row r="17" spans="1:25" x14ac:dyDescent="0.2">
      <c r="A17" s="109">
        <v>43838</v>
      </c>
      <c r="B17" s="110">
        <v>3</v>
      </c>
      <c r="C17" s="135">
        <v>0.05</v>
      </c>
      <c r="D17" s="232">
        <v>3364.8963493709598</v>
      </c>
      <c r="E17" s="116">
        <f t="shared" si="2"/>
        <v>3358.6463479272093</v>
      </c>
      <c r="F17" s="133" t="s">
        <v>54</v>
      </c>
      <c r="G17" s="133">
        <v>0.99995209345881808</v>
      </c>
      <c r="H17" s="133" t="s">
        <v>60</v>
      </c>
      <c r="I17" s="133">
        <v>4</v>
      </c>
      <c r="J17" s="133">
        <v>107500642.26505062</v>
      </c>
      <c r="K17" s="133"/>
      <c r="L17" s="133"/>
      <c r="M17" s="133"/>
      <c r="N17" s="137"/>
      <c r="O17" s="138"/>
      <c r="P17" s="138"/>
      <c r="Q17" s="138"/>
      <c r="R17" s="138"/>
      <c r="S17" s="138"/>
      <c r="T17" s="138"/>
      <c r="U17" s="138"/>
      <c r="V17" s="138"/>
      <c r="W17" s="138"/>
    </row>
    <row r="18" spans="1:25" x14ac:dyDescent="0.2">
      <c r="A18" s="109">
        <v>43838</v>
      </c>
      <c r="B18" s="110">
        <v>3</v>
      </c>
      <c r="C18" s="135">
        <v>0.1</v>
      </c>
      <c r="D18" s="232">
        <v>6736.8383053256302</v>
      </c>
      <c r="E18" s="116">
        <f t="shared" si="2"/>
        <v>6730.5883038818802</v>
      </c>
      <c r="F18" s="133" t="s">
        <v>55</v>
      </c>
      <c r="G18" s="133">
        <v>35.881694308357204</v>
      </c>
      <c r="H18" s="137"/>
      <c r="I18" s="137"/>
      <c r="J18" s="144"/>
      <c r="K18" s="220"/>
      <c r="L18" s="144"/>
      <c r="M18" s="137"/>
      <c r="N18" s="137"/>
      <c r="O18" s="138"/>
      <c r="P18" s="138"/>
      <c r="Q18" s="138"/>
      <c r="R18" s="138"/>
      <c r="S18" s="138"/>
      <c r="T18" s="138"/>
      <c r="U18" s="219"/>
      <c r="V18" s="219"/>
      <c r="W18" s="219"/>
    </row>
    <row r="19" spans="1:25" x14ac:dyDescent="0.2">
      <c r="A19" s="123">
        <v>43838</v>
      </c>
      <c r="B19" s="124">
        <v>3</v>
      </c>
      <c r="C19" s="141">
        <v>0.2</v>
      </c>
      <c r="D19" s="235">
        <v>13339.725695552101</v>
      </c>
      <c r="E19" s="126">
        <f t="shared" si="2"/>
        <v>13333.475694108351</v>
      </c>
      <c r="F19" s="148" t="s">
        <v>56</v>
      </c>
      <c r="G19" s="148">
        <v>5</v>
      </c>
      <c r="H19" s="141"/>
      <c r="I19" s="141"/>
      <c r="J19" s="143"/>
      <c r="K19" s="280"/>
      <c r="L19" s="143"/>
      <c r="M19" s="141"/>
      <c r="N19" s="141"/>
      <c r="O19" s="142"/>
      <c r="P19" s="142"/>
      <c r="Q19" s="142"/>
      <c r="R19" s="142"/>
      <c r="S19" s="142"/>
      <c r="T19" s="142"/>
      <c r="U19" s="222"/>
      <c r="V19" s="222"/>
      <c r="W19" s="222"/>
      <c r="X19" s="141"/>
      <c r="Y19" s="141"/>
    </row>
    <row r="20" spans="1:25" x14ac:dyDescent="0.2">
      <c r="A20" s="290">
        <v>43789</v>
      </c>
      <c r="B20" s="291">
        <v>1</v>
      </c>
      <c r="C20" s="135">
        <v>0</v>
      </c>
      <c r="D20" s="232">
        <v>0.5</v>
      </c>
      <c r="E20" s="116">
        <f>D20-$D$20</f>
        <v>0</v>
      </c>
      <c r="F20" s="213" t="s">
        <v>51</v>
      </c>
      <c r="G20" s="213"/>
      <c r="H20" s="146"/>
      <c r="I20" s="146" t="s">
        <v>62</v>
      </c>
      <c r="J20" s="146" t="s">
        <v>63</v>
      </c>
      <c r="K20" s="146" t="s">
        <v>64</v>
      </c>
      <c r="L20" s="146" t="s">
        <v>65</v>
      </c>
      <c r="M20" s="146" t="s">
        <v>66</v>
      </c>
      <c r="N20" s="146"/>
      <c r="O20" s="215" t="s">
        <v>67</v>
      </c>
      <c r="P20" s="215" t="s">
        <v>270</v>
      </c>
      <c r="Q20" s="215" t="s">
        <v>271</v>
      </c>
      <c r="R20" s="215" t="s">
        <v>68</v>
      </c>
      <c r="S20" s="215" t="s">
        <v>69</v>
      </c>
      <c r="T20" s="215" t="s">
        <v>70</v>
      </c>
      <c r="U20" s="215" t="s">
        <v>71</v>
      </c>
      <c r="V20" s="215" t="s">
        <v>72</v>
      </c>
      <c r="W20" s="215" t="s">
        <v>73</v>
      </c>
    </row>
    <row r="21" spans="1:25" x14ac:dyDescent="0.2">
      <c r="A21" s="290">
        <v>43789</v>
      </c>
      <c r="B21" s="291">
        <v>1</v>
      </c>
      <c r="C21" s="135">
        <v>0.01</v>
      </c>
      <c r="D21" s="224">
        <v>824.77381137128305</v>
      </c>
      <c r="E21" s="116">
        <f t="shared" ref="E21:E25" si="3">D21-$D$20</f>
        <v>824.27381137128305</v>
      </c>
      <c r="F21" s="133" t="s">
        <v>52</v>
      </c>
      <c r="G21" s="133">
        <v>0.9999341934179754</v>
      </c>
      <c r="H21" s="133" t="s">
        <v>58</v>
      </c>
      <c r="I21" s="133">
        <v>1</v>
      </c>
      <c r="J21" s="133">
        <v>129633187.04473154</v>
      </c>
      <c r="K21" s="133">
        <v>129633187.04473154</v>
      </c>
      <c r="L21" s="133">
        <v>22791.822499677015</v>
      </c>
      <c r="M21" s="133">
        <v>6.4081633211094789E-7</v>
      </c>
      <c r="N21" s="133" t="s">
        <v>61</v>
      </c>
      <c r="O21" s="134">
        <v>146.76183056508671</v>
      </c>
      <c r="P21" s="134">
        <v>49.995722984618659</v>
      </c>
      <c r="Q21" s="134">
        <f>P21*SQRT(G25)</f>
        <v>111.793835177856</v>
      </c>
      <c r="R21" s="134">
        <v>2.9354877138238096</v>
      </c>
      <c r="S21" s="134">
        <v>6.0730897916677101E-2</v>
      </c>
      <c r="T21" s="134">
        <v>-12.346873327300756</v>
      </c>
      <c r="U21" s="134">
        <v>305.87053445747415</v>
      </c>
      <c r="V21" s="134">
        <v>-12.346873327300756</v>
      </c>
      <c r="W21" s="134">
        <v>305.87053445747415</v>
      </c>
      <c r="X21" s="337">
        <f>3.3*Q21/O22</f>
        <v>5.0322516122530431E-3</v>
      </c>
      <c r="Y21" s="162">
        <f>10*Q21/O22</f>
        <v>1.5249247309857709E-2</v>
      </c>
    </row>
    <row r="22" spans="1:25" x14ac:dyDescent="0.2">
      <c r="A22" s="290">
        <v>43789</v>
      </c>
      <c r="B22" s="291">
        <v>1</v>
      </c>
      <c r="C22" s="135">
        <v>0.02</v>
      </c>
      <c r="D22" s="224">
        <v>1583.5877900656899</v>
      </c>
      <c r="E22" s="116">
        <f t="shared" si="3"/>
        <v>1583.0877900656899</v>
      </c>
      <c r="F22" s="133" t="s">
        <v>53</v>
      </c>
      <c r="G22" s="133">
        <v>0.99986839116645709</v>
      </c>
      <c r="H22" s="133" t="s">
        <v>59</v>
      </c>
      <c r="I22" s="133">
        <v>3</v>
      </c>
      <c r="J22" s="133">
        <v>17063.118192487931</v>
      </c>
      <c r="K22" s="133">
        <v>5687.706064162644</v>
      </c>
      <c r="L22" s="133"/>
      <c r="M22" s="133"/>
      <c r="N22" s="133" t="s">
        <v>74</v>
      </c>
      <c r="O22" s="134">
        <v>73311.051297324098</v>
      </c>
      <c r="P22" s="134">
        <v>485.60138913290228</v>
      </c>
      <c r="Q22" s="134"/>
      <c r="R22" s="134">
        <v>150.96960786753411</v>
      </c>
      <c r="S22" s="134">
        <v>6.4081633211094789E-7</v>
      </c>
      <c r="T22" s="134">
        <v>71765.650950637457</v>
      </c>
      <c r="U22" s="134">
        <v>74856.45164401074</v>
      </c>
      <c r="V22" s="134">
        <v>71765.650950637457</v>
      </c>
      <c r="W22" s="134">
        <v>74856.45164401074</v>
      </c>
    </row>
    <row r="23" spans="1:25" x14ac:dyDescent="0.2">
      <c r="A23" s="290">
        <v>43789</v>
      </c>
      <c r="B23" s="291">
        <v>1</v>
      </c>
      <c r="C23" s="135">
        <v>0.05</v>
      </c>
      <c r="D23" s="224">
        <v>3858.02100319996</v>
      </c>
      <c r="E23" s="116">
        <f t="shared" si="3"/>
        <v>3857.52100319996</v>
      </c>
      <c r="F23" s="133" t="s">
        <v>54</v>
      </c>
      <c r="G23" s="133">
        <v>0.99982452155527612</v>
      </c>
      <c r="H23" s="133" t="s">
        <v>60</v>
      </c>
      <c r="I23" s="133">
        <v>4</v>
      </c>
      <c r="J23" s="133">
        <v>129650250.16292404</v>
      </c>
      <c r="K23" s="133"/>
      <c r="L23" s="133"/>
      <c r="M23" s="133"/>
      <c r="N23" s="137"/>
      <c r="O23" s="138"/>
      <c r="P23" s="138"/>
      <c r="Q23" s="138"/>
      <c r="R23" s="134"/>
      <c r="S23" s="134"/>
      <c r="T23" s="134"/>
      <c r="U23" s="138"/>
      <c r="V23" s="138"/>
      <c r="W23" s="138"/>
    </row>
    <row r="24" spans="1:25" x14ac:dyDescent="0.2">
      <c r="A24" s="290">
        <v>43789</v>
      </c>
      <c r="B24" s="291">
        <v>1</v>
      </c>
      <c r="C24" s="135">
        <v>0.1</v>
      </c>
      <c r="D24" s="224">
        <v>7570.0053793644602</v>
      </c>
      <c r="E24" s="116">
        <f t="shared" si="3"/>
        <v>7569.5053793644602</v>
      </c>
      <c r="F24" s="133" t="s">
        <v>55</v>
      </c>
      <c r="G24" s="133">
        <v>75.416881824712462</v>
      </c>
      <c r="H24" s="133"/>
      <c r="I24" s="133"/>
      <c r="J24" s="137"/>
      <c r="K24" s="137"/>
      <c r="L24" s="137"/>
      <c r="M24" s="137"/>
      <c r="N24" s="137"/>
      <c r="O24" s="138"/>
      <c r="P24" s="138"/>
      <c r="Q24" s="138"/>
      <c r="R24" s="134"/>
      <c r="S24" s="134"/>
      <c r="T24" s="134"/>
      <c r="U24" s="138"/>
      <c r="V24" s="138"/>
      <c r="W24" s="138"/>
    </row>
    <row r="25" spans="1:25" x14ac:dyDescent="0.2">
      <c r="A25" s="292">
        <v>43789</v>
      </c>
      <c r="B25" s="293">
        <v>1</v>
      </c>
      <c r="C25" s="141">
        <v>0.2</v>
      </c>
      <c r="D25" s="225">
        <v>14758.120661807199</v>
      </c>
      <c r="E25" s="126">
        <f t="shared" si="3"/>
        <v>14757.620661807199</v>
      </c>
      <c r="F25" s="148" t="s">
        <v>56</v>
      </c>
      <c r="G25" s="148">
        <v>5</v>
      </c>
      <c r="H25" s="148"/>
      <c r="I25" s="148"/>
      <c r="J25" s="141"/>
      <c r="K25" s="141"/>
      <c r="L25" s="141"/>
      <c r="M25" s="141"/>
      <c r="N25" s="141"/>
      <c r="O25" s="142"/>
      <c r="P25" s="142"/>
      <c r="Q25" s="142"/>
      <c r="R25" s="314"/>
      <c r="S25" s="314"/>
      <c r="T25" s="314"/>
      <c r="U25" s="142"/>
      <c r="V25" s="142"/>
      <c r="W25" s="142"/>
      <c r="X25" s="141"/>
      <c r="Y25" s="141"/>
    </row>
    <row r="26" spans="1:25" x14ac:dyDescent="0.2">
      <c r="A26" s="109">
        <v>43888</v>
      </c>
      <c r="B26" s="110">
        <v>1</v>
      </c>
      <c r="C26" s="135">
        <v>0</v>
      </c>
      <c r="D26" s="224">
        <v>0.25000000875</v>
      </c>
      <c r="E26" s="116">
        <f>D26-$D$26</f>
        <v>0</v>
      </c>
      <c r="F26" s="213" t="s">
        <v>51</v>
      </c>
      <c r="G26" s="213"/>
      <c r="H26" s="146"/>
      <c r="I26" s="146" t="s">
        <v>62</v>
      </c>
      <c r="J26" s="146" t="s">
        <v>63</v>
      </c>
      <c r="K26" s="146" t="s">
        <v>64</v>
      </c>
      <c r="L26" s="146" t="s">
        <v>65</v>
      </c>
      <c r="M26" s="146" t="s">
        <v>66</v>
      </c>
      <c r="N26" s="146"/>
      <c r="O26" s="215" t="s">
        <v>67</v>
      </c>
      <c r="P26" s="215" t="s">
        <v>270</v>
      </c>
      <c r="Q26" s="215" t="s">
        <v>271</v>
      </c>
      <c r="R26" s="215" t="s">
        <v>68</v>
      </c>
      <c r="S26" s="215" t="s">
        <v>69</v>
      </c>
      <c r="T26" s="215" t="s">
        <v>70</v>
      </c>
      <c r="U26" s="215" t="s">
        <v>71</v>
      </c>
      <c r="V26" s="215" t="s">
        <v>72</v>
      </c>
      <c r="W26" s="215" t="s">
        <v>73</v>
      </c>
    </row>
    <row r="27" spans="1:25" x14ac:dyDescent="0.2">
      <c r="A27" s="109">
        <v>43888</v>
      </c>
      <c r="B27" s="110">
        <v>1</v>
      </c>
      <c r="C27" s="135">
        <v>0.01</v>
      </c>
      <c r="D27" s="224">
        <v>738.51911394282001</v>
      </c>
      <c r="E27" s="116">
        <f t="shared" ref="E27:E31" si="4">D27-$D$26</f>
        <v>738.26911393406999</v>
      </c>
      <c r="F27" s="133" t="s">
        <v>52</v>
      </c>
      <c r="G27" s="133">
        <v>0.99995570225353203</v>
      </c>
      <c r="H27" s="133" t="s">
        <v>58</v>
      </c>
      <c r="I27" s="133">
        <v>1</v>
      </c>
      <c r="J27" s="133">
        <v>139460921.63388285</v>
      </c>
      <c r="K27" s="133">
        <v>139460921.63388285</v>
      </c>
      <c r="L27" s="133">
        <v>33859.51770454635</v>
      </c>
      <c r="M27" s="133">
        <v>3.5391862777700506E-7</v>
      </c>
      <c r="N27" s="133" t="s">
        <v>61</v>
      </c>
      <c r="O27" s="134">
        <v>-63.510934735438241</v>
      </c>
      <c r="P27" s="134">
        <v>42.545160122800347</v>
      </c>
      <c r="Q27" s="134">
        <f>P27*SQRT(G31)</f>
        <v>95.133870148194887</v>
      </c>
      <c r="R27" s="134">
        <v>-1.4927887109161952</v>
      </c>
      <c r="S27" s="134">
        <v>0.23232197312103406</v>
      </c>
      <c r="T27" s="134">
        <v>-198.908622375948</v>
      </c>
      <c r="U27" s="134">
        <v>71.886752905071518</v>
      </c>
      <c r="V27" s="134">
        <v>-198.908622375948</v>
      </c>
      <c r="W27" s="134">
        <v>71.886752905071518</v>
      </c>
      <c r="X27" s="337">
        <f>3.3*Q27/O28</f>
        <v>4.1286825414397514E-3</v>
      </c>
      <c r="Y27" s="162">
        <f>10*Q27/O28</f>
        <v>1.2511159216484097E-2</v>
      </c>
    </row>
    <row r="28" spans="1:25" x14ac:dyDescent="0.2">
      <c r="A28" s="109">
        <v>43888</v>
      </c>
      <c r="B28" s="110">
        <v>1</v>
      </c>
      <c r="C28" s="135">
        <v>0.02</v>
      </c>
      <c r="D28" s="224">
        <v>1451.0738202843099</v>
      </c>
      <c r="E28" s="116">
        <f t="shared" si="4"/>
        <v>1450.8238202755599</v>
      </c>
      <c r="F28" s="133" t="s">
        <v>53</v>
      </c>
      <c r="G28" s="133">
        <v>0.99991140646935439</v>
      </c>
      <c r="H28" s="133" t="s">
        <v>59</v>
      </c>
      <c r="I28" s="133">
        <v>3</v>
      </c>
      <c r="J28" s="133">
        <v>12356.430134427812</v>
      </c>
      <c r="K28" s="133">
        <v>4118.8100448092709</v>
      </c>
      <c r="L28" s="133"/>
      <c r="M28" s="133"/>
      <c r="N28" s="133" t="s">
        <v>74</v>
      </c>
      <c r="O28" s="134">
        <v>76039.213075356849</v>
      </c>
      <c r="P28" s="134">
        <v>413.23512539002019</v>
      </c>
      <c r="Q28" s="134"/>
      <c r="R28" s="134">
        <v>184.00955873145926</v>
      </c>
      <c r="S28" s="134">
        <v>3.5391862777700506E-7</v>
      </c>
      <c r="T28" s="134">
        <v>74724.114477345924</v>
      </c>
      <c r="U28" s="134">
        <v>77354.311673367774</v>
      </c>
      <c r="V28" s="134">
        <v>74724.114477345924</v>
      </c>
      <c r="W28" s="134">
        <v>77354.311673367774</v>
      </c>
    </row>
    <row r="29" spans="1:25" x14ac:dyDescent="0.2">
      <c r="A29" s="109">
        <v>43888</v>
      </c>
      <c r="B29" s="110">
        <v>1</v>
      </c>
      <c r="C29" s="135">
        <v>0.05</v>
      </c>
      <c r="D29" s="224">
        <v>3755.9940162921198</v>
      </c>
      <c r="E29" s="116">
        <f t="shared" si="4"/>
        <v>3755.74401628337</v>
      </c>
      <c r="F29" s="133" t="s">
        <v>54</v>
      </c>
      <c r="G29" s="133">
        <v>0.99988187529247252</v>
      </c>
      <c r="H29" s="133" t="s">
        <v>60</v>
      </c>
      <c r="I29" s="133">
        <v>4</v>
      </c>
      <c r="J29" s="133">
        <v>139473278.06401727</v>
      </c>
      <c r="K29" s="133"/>
      <c r="L29" s="133"/>
      <c r="M29" s="133"/>
      <c r="N29" s="137"/>
      <c r="O29" s="138"/>
      <c r="P29" s="138"/>
      <c r="Q29" s="138"/>
      <c r="R29" s="138"/>
      <c r="S29" s="138"/>
      <c r="T29" s="138"/>
      <c r="U29" s="138"/>
      <c r="V29" s="138"/>
      <c r="W29" s="138"/>
    </row>
    <row r="30" spans="1:25" x14ac:dyDescent="0.2">
      <c r="A30" s="109">
        <v>43888</v>
      </c>
      <c r="B30" s="110">
        <v>1</v>
      </c>
      <c r="C30" s="135">
        <v>0.1</v>
      </c>
      <c r="D30" s="224">
        <v>7447.6909945853104</v>
      </c>
      <c r="E30" s="116">
        <f t="shared" si="4"/>
        <v>7447.4409945765601</v>
      </c>
      <c r="F30" s="133" t="s">
        <v>55</v>
      </c>
      <c r="G30" s="133">
        <v>64.177956065998785</v>
      </c>
      <c r="H30" s="137"/>
      <c r="I30" s="137"/>
      <c r="J30" s="137"/>
      <c r="K30" s="137"/>
      <c r="L30" s="137"/>
      <c r="M30" s="137"/>
      <c r="N30" s="137"/>
      <c r="O30" s="138"/>
      <c r="P30" s="138"/>
      <c r="Q30" s="138"/>
      <c r="R30" s="138"/>
      <c r="S30" s="138"/>
      <c r="T30" s="138"/>
      <c r="U30" s="138"/>
      <c r="V30" s="138"/>
      <c r="W30" s="138"/>
    </row>
    <row r="31" spans="1:25" x14ac:dyDescent="0.2">
      <c r="A31" s="123">
        <v>43888</v>
      </c>
      <c r="B31" s="124">
        <v>1</v>
      </c>
      <c r="C31" s="141">
        <v>0.2</v>
      </c>
      <c r="D31" s="225">
        <v>15185.3183498976</v>
      </c>
      <c r="E31" s="126">
        <f t="shared" si="4"/>
        <v>15185.06834988885</v>
      </c>
      <c r="F31" s="148" t="s">
        <v>56</v>
      </c>
      <c r="G31" s="148">
        <v>5</v>
      </c>
      <c r="H31" s="141"/>
      <c r="I31" s="141"/>
      <c r="J31" s="141"/>
      <c r="K31" s="141"/>
      <c r="L31" s="141"/>
      <c r="M31" s="141"/>
      <c r="N31" s="141"/>
      <c r="O31" s="142"/>
      <c r="P31" s="142"/>
      <c r="Q31" s="142"/>
      <c r="R31" s="142"/>
      <c r="S31" s="142"/>
      <c r="T31" s="142"/>
      <c r="U31" s="142"/>
      <c r="V31" s="142"/>
      <c r="W31" s="142"/>
      <c r="X31" s="141"/>
      <c r="Y31" s="141"/>
    </row>
    <row r="32" spans="1:25" x14ac:dyDescent="0.2">
      <c r="A32" s="109">
        <v>43888</v>
      </c>
      <c r="B32" s="110">
        <v>2</v>
      </c>
      <c r="C32" s="135">
        <v>0</v>
      </c>
      <c r="D32" s="224">
        <v>0.25000000875</v>
      </c>
      <c r="E32" s="116">
        <f>D32-$D$32</f>
        <v>0</v>
      </c>
      <c r="F32" s="213" t="s">
        <v>51</v>
      </c>
      <c r="G32" s="213"/>
      <c r="H32" s="146"/>
      <c r="I32" s="146" t="s">
        <v>62</v>
      </c>
      <c r="J32" s="146" t="s">
        <v>63</v>
      </c>
      <c r="K32" s="146" t="s">
        <v>64</v>
      </c>
      <c r="L32" s="146" t="s">
        <v>65</v>
      </c>
      <c r="M32" s="146" t="s">
        <v>66</v>
      </c>
      <c r="N32" s="146"/>
      <c r="O32" s="215" t="s">
        <v>67</v>
      </c>
      <c r="P32" s="215" t="s">
        <v>270</v>
      </c>
      <c r="Q32" s="215" t="s">
        <v>271</v>
      </c>
      <c r="R32" s="215" t="s">
        <v>68</v>
      </c>
      <c r="S32" s="215" t="s">
        <v>69</v>
      </c>
      <c r="T32" s="215" t="s">
        <v>70</v>
      </c>
      <c r="U32" s="215" t="s">
        <v>71</v>
      </c>
      <c r="V32" s="215" t="s">
        <v>72</v>
      </c>
      <c r="W32" s="215" t="s">
        <v>73</v>
      </c>
    </row>
    <row r="33" spans="1:25" x14ac:dyDescent="0.2">
      <c r="A33" s="109">
        <v>43888</v>
      </c>
      <c r="B33" s="110">
        <v>2</v>
      </c>
      <c r="C33" s="135">
        <v>0.01</v>
      </c>
      <c r="D33" s="224">
        <v>637.76423871171096</v>
      </c>
      <c r="E33" s="116">
        <f t="shared" ref="E33:E37" si="5">D33-$D$32</f>
        <v>637.51423870296094</v>
      </c>
      <c r="F33" s="133" t="s">
        <v>52</v>
      </c>
      <c r="G33" s="133">
        <v>0.99997150745091268</v>
      </c>
      <c r="H33" s="133" t="s">
        <v>58</v>
      </c>
      <c r="I33" s="133">
        <v>1</v>
      </c>
      <c r="J33" s="133">
        <v>95431673.657578453</v>
      </c>
      <c r="K33" s="133">
        <v>95431673.657578453</v>
      </c>
      <c r="L33" s="133">
        <v>52643.092321192446</v>
      </c>
      <c r="M33" s="133">
        <v>1.8256980807452592E-7</v>
      </c>
      <c r="N33" s="133" t="s">
        <v>61</v>
      </c>
      <c r="O33" s="134">
        <v>13.945680233798157</v>
      </c>
      <c r="P33" s="134">
        <v>28.225383728755663</v>
      </c>
      <c r="Q33" s="134">
        <f>P33*SQRT(G37)</f>
        <v>63.113876708514148</v>
      </c>
      <c r="R33" s="134">
        <v>0.4940829278997711</v>
      </c>
      <c r="S33" s="134">
        <v>0.65516092618858934</v>
      </c>
      <c r="T33" s="134">
        <v>-75.880087928995223</v>
      </c>
      <c r="U33" s="134">
        <v>103.77144839659154</v>
      </c>
      <c r="V33" s="134">
        <v>-75.880087928995223</v>
      </c>
      <c r="W33" s="134">
        <v>103.77144839659154</v>
      </c>
      <c r="X33" s="337">
        <f>3.3*Q33/O34</f>
        <v>3.3111677119791109E-3</v>
      </c>
      <c r="Y33" s="162">
        <f>10*Q33/O34</f>
        <v>1.0033841551451853E-2</v>
      </c>
    </row>
    <row r="34" spans="1:25" x14ac:dyDescent="0.2">
      <c r="A34" s="109">
        <v>43888</v>
      </c>
      <c r="B34" s="110">
        <v>2</v>
      </c>
      <c r="C34" s="135">
        <v>0.02</v>
      </c>
      <c r="D34" s="224">
        <v>1247.0544383668901</v>
      </c>
      <c r="E34" s="116">
        <f t="shared" si="5"/>
        <v>1246.80443835814</v>
      </c>
      <c r="F34" s="133" t="s">
        <v>53</v>
      </c>
      <c r="G34" s="133">
        <v>0.99994301571365074</v>
      </c>
      <c r="H34" s="133" t="s">
        <v>59</v>
      </c>
      <c r="I34" s="133">
        <v>3</v>
      </c>
      <c r="J34" s="133">
        <v>5438.4157227306732</v>
      </c>
      <c r="K34" s="133">
        <v>1812.8052409102245</v>
      </c>
      <c r="L34" s="133"/>
      <c r="M34" s="133"/>
      <c r="N34" s="133" t="s">
        <v>74</v>
      </c>
      <c r="O34" s="134">
        <v>62901.009932115034</v>
      </c>
      <c r="P34" s="134">
        <v>274.14916175349134</v>
      </c>
      <c r="Q34" s="134"/>
      <c r="R34" s="134">
        <v>229.44082531492174</v>
      </c>
      <c r="S34" s="134">
        <v>1.8256980807452592E-7</v>
      </c>
      <c r="T34" s="134">
        <v>62028.544945196008</v>
      </c>
      <c r="U34" s="134">
        <v>63773.474919034059</v>
      </c>
      <c r="V34" s="134">
        <v>62028.544945196008</v>
      </c>
      <c r="W34" s="134">
        <v>63773.474919034059</v>
      </c>
    </row>
    <row r="35" spans="1:25" x14ac:dyDescent="0.2">
      <c r="A35" s="109">
        <v>43888</v>
      </c>
      <c r="B35" s="110">
        <v>2</v>
      </c>
      <c r="C35" s="135">
        <v>0.05</v>
      </c>
      <c r="D35" s="224">
        <v>3219.1128047502998</v>
      </c>
      <c r="E35" s="116">
        <f t="shared" si="5"/>
        <v>3218.86280474155</v>
      </c>
      <c r="F35" s="133" t="s">
        <v>54</v>
      </c>
      <c r="G35" s="133">
        <v>0.99992402095153432</v>
      </c>
      <c r="H35" s="133" t="s">
        <v>60</v>
      </c>
      <c r="I35" s="133">
        <v>4</v>
      </c>
      <c r="J35" s="133">
        <v>95437112.073301181</v>
      </c>
      <c r="K35" s="133"/>
      <c r="L35" s="133"/>
      <c r="M35" s="133"/>
      <c r="N35" s="137"/>
      <c r="O35" s="138"/>
      <c r="P35" s="138"/>
      <c r="Q35" s="138"/>
      <c r="R35" s="138"/>
      <c r="S35" s="138"/>
      <c r="T35" s="138"/>
      <c r="U35" s="138"/>
      <c r="V35" s="138"/>
      <c r="W35" s="138"/>
    </row>
    <row r="36" spans="1:25" x14ac:dyDescent="0.2">
      <c r="A36" s="109">
        <v>43888</v>
      </c>
      <c r="B36" s="110">
        <v>2</v>
      </c>
      <c r="C36" s="135">
        <v>0.1</v>
      </c>
      <c r="D36" s="224">
        <v>6270.1262521521503</v>
      </c>
      <c r="E36" s="116">
        <f t="shared" si="5"/>
        <v>6269.8762521434001</v>
      </c>
      <c r="F36" s="133" t="s">
        <v>55</v>
      </c>
      <c r="G36" s="133">
        <v>42.577050636583841</v>
      </c>
      <c r="O36" s="139"/>
      <c r="P36" s="139"/>
      <c r="Q36" s="139"/>
      <c r="R36" s="139"/>
      <c r="S36" s="139"/>
      <c r="T36" s="139"/>
      <c r="U36" s="139"/>
      <c r="V36" s="139"/>
      <c r="W36" s="139"/>
    </row>
    <row r="37" spans="1:25" x14ac:dyDescent="0.2">
      <c r="A37" s="123">
        <v>43888</v>
      </c>
      <c r="B37" s="124">
        <v>2</v>
      </c>
      <c r="C37" s="141">
        <v>0.2</v>
      </c>
      <c r="D37" s="225">
        <v>12599.304441435401</v>
      </c>
      <c r="E37" s="126">
        <f t="shared" si="5"/>
        <v>12599.054441426651</v>
      </c>
      <c r="F37" s="148" t="s">
        <v>56</v>
      </c>
      <c r="G37" s="148">
        <v>5</v>
      </c>
      <c r="H37" s="141"/>
      <c r="I37" s="141"/>
      <c r="J37" s="141"/>
      <c r="K37" s="141"/>
      <c r="L37" s="141"/>
      <c r="M37" s="141"/>
      <c r="N37" s="141"/>
      <c r="O37" s="142"/>
      <c r="P37" s="142"/>
      <c r="Q37" s="142"/>
      <c r="R37" s="142"/>
      <c r="S37" s="142"/>
      <c r="T37" s="142"/>
      <c r="U37" s="142"/>
      <c r="V37" s="142"/>
      <c r="W37" s="142"/>
      <c r="X37" s="141"/>
      <c r="Y37" s="141"/>
    </row>
    <row r="46" spans="1:25" x14ac:dyDescent="0.2">
      <c r="J46" s="136"/>
      <c r="K46" s="140"/>
      <c r="L46" s="136"/>
      <c r="U46" s="136"/>
      <c r="V46" s="140"/>
      <c r="W46" s="136"/>
    </row>
    <row r="47" spans="1:25" x14ac:dyDescent="0.2">
      <c r="J47" s="136"/>
      <c r="K47" s="140"/>
      <c r="L47" s="136"/>
      <c r="P47" s="137"/>
      <c r="Q47" s="137"/>
      <c r="R47" s="137"/>
      <c r="S47" s="137"/>
      <c r="T47" s="137"/>
      <c r="U47" s="144"/>
      <c r="V47" s="140"/>
      <c r="W47" s="136"/>
    </row>
    <row r="48" spans="1:25" x14ac:dyDescent="0.2">
      <c r="P48" s="137"/>
      <c r="Q48" s="137"/>
      <c r="R48" s="137"/>
      <c r="S48" s="137"/>
      <c r="T48" s="137"/>
      <c r="U48" s="137"/>
    </row>
    <row r="49" spans="7:21" x14ac:dyDescent="0.2">
      <c r="G49" s="137"/>
      <c r="H49" s="137"/>
      <c r="I49" s="137"/>
      <c r="J49" s="137"/>
      <c r="P49" s="137"/>
      <c r="Q49" s="137"/>
      <c r="R49" s="137"/>
      <c r="S49" s="137"/>
      <c r="T49" s="137"/>
      <c r="U49" s="137"/>
    </row>
    <row r="50" spans="7:21" x14ac:dyDescent="0.2">
      <c r="G50" s="145"/>
      <c r="H50" s="145"/>
      <c r="I50" s="145"/>
      <c r="J50" s="137"/>
      <c r="P50" s="137"/>
      <c r="Q50" s="137"/>
      <c r="R50" s="145"/>
      <c r="S50" s="145"/>
      <c r="T50" s="145"/>
      <c r="U50" s="137"/>
    </row>
    <row r="51" spans="7:21" x14ac:dyDescent="0.2">
      <c r="G51" s="133"/>
      <c r="H51" s="133"/>
      <c r="I51" s="133"/>
      <c r="J51" s="137"/>
      <c r="P51" s="137"/>
      <c r="Q51" s="137"/>
      <c r="R51" s="133"/>
      <c r="S51" s="133"/>
      <c r="T51" s="133"/>
      <c r="U51" s="137"/>
    </row>
    <row r="52" spans="7:21" x14ac:dyDescent="0.2">
      <c r="G52" s="133"/>
      <c r="H52" s="133"/>
      <c r="I52" s="133"/>
      <c r="J52" s="137"/>
      <c r="P52" s="137"/>
      <c r="Q52" s="137"/>
      <c r="R52" s="133"/>
      <c r="S52" s="133"/>
      <c r="T52" s="133"/>
      <c r="U52" s="137"/>
    </row>
    <row r="53" spans="7:21" x14ac:dyDescent="0.2">
      <c r="G53" s="133"/>
      <c r="H53" s="133"/>
      <c r="I53" s="133"/>
      <c r="J53" s="137"/>
      <c r="P53" s="137"/>
      <c r="Q53" s="137"/>
      <c r="R53" s="133"/>
      <c r="S53" s="133"/>
      <c r="T53" s="133"/>
      <c r="U53" s="137"/>
    </row>
    <row r="54" spans="7:21" x14ac:dyDescent="0.2">
      <c r="G54" s="133"/>
      <c r="H54" s="133"/>
      <c r="I54" s="133"/>
      <c r="J54" s="137"/>
      <c r="P54" s="137"/>
      <c r="Q54" s="137"/>
      <c r="R54" s="133"/>
      <c r="S54" s="133"/>
      <c r="T54" s="133"/>
      <c r="U54" s="137"/>
    </row>
    <row r="55" spans="7:21" x14ac:dyDescent="0.2">
      <c r="G55" s="133"/>
      <c r="H55" s="133"/>
      <c r="I55" s="133"/>
      <c r="J55" s="137"/>
      <c r="P55" s="137"/>
      <c r="Q55" s="137"/>
      <c r="R55" s="133"/>
      <c r="S55" s="133"/>
      <c r="T55" s="133"/>
      <c r="U55" s="137"/>
    </row>
    <row r="56" spans="7:21" x14ac:dyDescent="0.2">
      <c r="G56" s="137"/>
      <c r="H56" s="137"/>
      <c r="I56" s="137"/>
      <c r="J56" s="137"/>
      <c r="P56" s="137"/>
      <c r="Q56" s="137"/>
      <c r="R56" s="137"/>
      <c r="S56" s="137"/>
      <c r="T56" s="137"/>
      <c r="U56" s="137"/>
    </row>
    <row r="77" spans="7:23" x14ac:dyDescent="0.2">
      <c r="J77" s="136"/>
      <c r="K77" s="140"/>
      <c r="L77" s="136"/>
      <c r="U77" s="136"/>
      <c r="V77" s="140"/>
      <c r="W77" s="136"/>
    </row>
    <row r="78" spans="7:23" x14ac:dyDescent="0.2">
      <c r="G78" s="137"/>
      <c r="H78" s="137"/>
      <c r="I78" s="137"/>
      <c r="J78" s="144"/>
      <c r="K78" s="220"/>
      <c r="L78" s="136"/>
      <c r="R78" s="137"/>
      <c r="S78" s="137"/>
      <c r="T78" s="137"/>
      <c r="U78" s="144"/>
      <c r="V78" s="220"/>
      <c r="W78" s="136"/>
    </row>
    <row r="79" spans="7:23" x14ac:dyDescent="0.2">
      <c r="G79" s="137"/>
      <c r="H79" s="137"/>
      <c r="I79" s="137"/>
      <c r="J79" s="137"/>
      <c r="K79" s="137"/>
      <c r="R79" s="137"/>
      <c r="S79" s="137"/>
      <c r="T79" s="137"/>
      <c r="U79" s="137"/>
      <c r="V79" s="137"/>
    </row>
    <row r="80" spans="7:23" x14ac:dyDescent="0.2">
      <c r="G80" s="137"/>
      <c r="H80" s="137"/>
      <c r="I80" s="137"/>
      <c r="J80" s="137"/>
      <c r="K80" s="137"/>
      <c r="R80" s="137"/>
      <c r="S80" s="137"/>
      <c r="T80" s="137"/>
      <c r="U80" s="137"/>
      <c r="V80" s="137"/>
    </row>
    <row r="81" spans="7:22" x14ac:dyDescent="0.2">
      <c r="G81" s="145"/>
      <c r="H81" s="145"/>
      <c r="I81" s="145"/>
      <c r="J81" s="137"/>
      <c r="K81" s="137"/>
      <c r="R81" s="145"/>
      <c r="S81" s="145"/>
      <c r="T81" s="145"/>
      <c r="U81" s="137"/>
      <c r="V81" s="137"/>
    </row>
    <row r="82" spans="7:22" x14ac:dyDescent="0.2">
      <c r="G82" s="133"/>
      <c r="H82" s="133"/>
      <c r="I82" s="133"/>
      <c r="J82" s="137"/>
      <c r="K82" s="137"/>
      <c r="R82" s="133"/>
      <c r="S82" s="133"/>
      <c r="T82" s="133"/>
      <c r="U82" s="137"/>
      <c r="V82" s="137"/>
    </row>
    <row r="83" spans="7:22" x14ac:dyDescent="0.2">
      <c r="G83" s="133"/>
      <c r="H83" s="133"/>
      <c r="I83" s="133"/>
      <c r="J83" s="137"/>
      <c r="K83" s="137"/>
      <c r="R83" s="133"/>
      <c r="S83" s="133"/>
      <c r="T83" s="133"/>
      <c r="U83" s="137"/>
      <c r="V83" s="137"/>
    </row>
    <row r="84" spans="7:22" x14ac:dyDescent="0.2">
      <c r="G84" s="133"/>
      <c r="H84" s="133"/>
      <c r="I84" s="133"/>
      <c r="J84" s="137"/>
      <c r="K84" s="137"/>
      <c r="R84" s="133"/>
      <c r="S84" s="133"/>
      <c r="T84" s="133"/>
      <c r="U84" s="137"/>
      <c r="V84" s="137"/>
    </row>
    <row r="85" spans="7:22" x14ac:dyDescent="0.2">
      <c r="G85" s="133"/>
      <c r="H85" s="133"/>
      <c r="I85" s="133"/>
      <c r="J85" s="137"/>
      <c r="K85" s="137"/>
      <c r="R85" s="133"/>
      <c r="S85" s="133"/>
      <c r="T85" s="133"/>
      <c r="U85" s="137"/>
      <c r="V85" s="137"/>
    </row>
    <row r="86" spans="7:22" x14ac:dyDescent="0.2">
      <c r="G86" s="133"/>
      <c r="H86" s="133"/>
      <c r="I86" s="133"/>
      <c r="J86" s="137"/>
      <c r="K86" s="137"/>
      <c r="R86" s="133"/>
      <c r="S86" s="133"/>
      <c r="T86" s="133"/>
      <c r="U86" s="137"/>
      <c r="V86" s="137"/>
    </row>
    <row r="87" spans="7:22" x14ac:dyDescent="0.2">
      <c r="G87" s="137"/>
      <c r="H87" s="137"/>
      <c r="I87" s="137"/>
      <c r="J87" s="137"/>
      <c r="K87" s="137"/>
      <c r="R87" s="137"/>
      <c r="S87" s="137"/>
      <c r="T87" s="137"/>
      <c r="U87" s="137"/>
      <c r="V87" s="137"/>
    </row>
    <row r="88" spans="7:22" x14ac:dyDescent="0.2">
      <c r="R88" s="137"/>
      <c r="S88" s="137"/>
      <c r="T88" s="137"/>
      <c r="U88" s="137"/>
      <c r="V88" s="137"/>
    </row>
    <row r="89" spans="7:22" x14ac:dyDescent="0.2">
      <c r="R89" s="137"/>
      <c r="S89" s="137"/>
      <c r="T89" s="137"/>
      <c r="U89" s="137"/>
      <c r="V89" s="137"/>
    </row>
    <row r="90" spans="7:22" x14ac:dyDescent="0.2">
      <c r="R90" s="137"/>
      <c r="S90" s="137"/>
      <c r="T90" s="137"/>
      <c r="U90" s="137"/>
      <c r="V90" s="137"/>
    </row>
    <row r="91" spans="7:22" x14ac:dyDescent="0.2">
      <c r="R91" s="137"/>
      <c r="S91" s="137"/>
      <c r="T91" s="137"/>
      <c r="U91" s="137"/>
      <c r="V91" s="137"/>
    </row>
    <row r="92" spans="7:22" x14ac:dyDescent="0.2">
      <c r="R92" s="137"/>
      <c r="S92" s="137"/>
      <c r="T92" s="137"/>
      <c r="U92" s="137"/>
      <c r="V92" s="137"/>
    </row>
    <row r="93" spans="7:22" x14ac:dyDescent="0.2">
      <c r="R93" s="137"/>
      <c r="S93" s="137"/>
      <c r="T93" s="137"/>
      <c r="U93" s="137"/>
      <c r="V93" s="137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B2D95-C229-CD49-BF9C-C47E2DCE16C3}">
  <dimension ref="A1:AG94"/>
  <sheetViews>
    <sheetView workbookViewId="0">
      <selection sqref="A1:XFD1"/>
    </sheetView>
  </sheetViews>
  <sheetFormatPr baseColWidth="10" defaultRowHeight="14" x14ac:dyDescent="0.2"/>
  <cols>
    <col min="1" max="8" width="10.83203125" style="135"/>
    <col min="9" max="9" width="5.83203125" style="135" customWidth="1"/>
    <col min="10" max="13" width="10.83203125" style="135"/>
    <col min="14" max="14" width="8.1640625" style="135" customWidth="1"/>
    <col min="15" max="15" width="10.6640625" style="135" customWidth="1"/>
    <col min="16" max="19" width="11" style="135" bestFit="1" customWidth="1"/>
    <col min="20" max="23" width="12.5" style="135" bestFit="1" customWidth="1"/>
    <col min="24" max="16384" width="10.83203125" style="135"/>
  </cols>
  <sheetData>
    <row r="1" spans="1:33" ht="30" x14ac:dyDescent="0.2">
      <c r="A1" s="322" t="s">
        <v>2</v>
      </c>
      <c r="B1" s="323" t="s">
        <v>3</v>
      </c>
      <c r="C1" s="323" t="s">
        <v>4</v>
      </c>
      <c r="D1" s="324" t="s">
        <v>251</v>
      </c>
      <c r="E1" s="323" t="s">
        <v>252</v>
      </c>
      <c r="F1" s="141" t="s">
        <v>50</v>
      </c>
      <c r="G1" s="141"/>
      <c r="H1" s="141" t="s">
        <v>57</v>
      </c>
      <c r="I1" s="141"/>
      <c r="J1" s="141"/>
      <c r="K1" s="141"/>
      <c r="L1" s="141"/>
      <c r="M1" s="141"/>
      <c r="N1" s="141"/>
      <c r="O1" s="141"/>
      <c r="P1" s="141"/>
      <c r="Q1" s="141"/>
      <c r="R1" s="141"/>
      <c r="S1" s="141"/>
      <c r="T1" s="141"/>
      <c r="U1" s="141"/>
      <c r="V1" s="141"/>
      <c r="W1" s="141"/>
      <c r="X1" s="141"/>
      <c r="Y1" s="141"/>
      <c r="AC1" s="297"/>
      <c r="AD1" s="297"/>
      <c r="AE1" s="297"/>
      <c r="AF1" s="297"/>
      <c r="AG1" s="297"/>
    </row>
    <row r="2" spans="1:33" x14ac:dyDescent="0.2">
      <c r="A2" s="109">
        <v>43838</v>
      </c>
      <c r="B2" s="110">
        <v>1</v>
      </c>
      <c r="C2" s="135">
        <v>0</v>
      </c>
      <c r="D2" s="298">
        <v>150.50079683174201</v>
      </c>
      <c r="E2" s="308">
        <f>D2-$D$2</f>
        <v>0</v>
      </c>
      <c r="F2" s="213" t="s">
        <v>51</v>
      </c>
      <c r="G2" s="213"/>
      <c r="H2" s="146"/>
      <c r="I2" s="146" t="s">
        <v>62</v>
      </c>
      <c r="J2" s="146" t="s">
        <v>63</v>
      </c>
      <c r="K2" s="146" t="s">
        <v>64</v>
      </c>
      <c r="L2" s="146" t="s">
        <v>65</v>
      </c>
      <c r="M2" s="146" t="s">
        <v>66</v>
      </c>
      <c r="N2" s="146"/>
      <c r="O2" s="146" t="s">
        <v>67</v>
      </c>
      <c r="P2" s="146" t="s">
        <v>270</v>
      </c>
      <c r="Q2" s="146" t="s">
        <v>271</v>
      </c>
      <c r="R2" s="146" t="s">
        <v>68</v>
      </c>
      <c r="S2" s="146" t="s">
        <v>69</v>
      </c>
      <c r="T2" s="146" t="s">
        <v>70</v>
      </c>
      <c r="U2" s="146" t="s">
        <v>71</v>
      </c>
      <c r="V2" s="146" t="s">
        <v>72</v>
      </c>
      <c r="W2" s="146" t="s">
        <v>73</v>
      </c>
      <c r="X2" s="178" t="s">
        <v>272</v>
      </c>
      <c r="Y2" s="178" t="s">
        <v>273</v>
      </c>
      <c r="AC2" s="300"/>
      <c r="AD2" s="300"/>
      <c r="AE2" s="300"/>
      <c r="AF2" s="300"/>
      <c r="AG2" s="300"/>
    </row>
    <row r="3" spans="1:33" x14ac:dyDescent="0.2">
      <c r="A3" s="109">
        <v>43838</v>
      </c>
      <c r="B3" s="110">
        <v>1</v>
      </c>
      <c r="C3" s="135">
        <v>0.01</v>
      </c>
      <c r="D3" s="298">
        <v>1484.0771118607099</v>
      </c>
      <c r="E3" s="308">
        <f t="shared" ref="E3:E7" si="0">D3-$D$2</f>
        <v>1333.5763150289679</v>
      </c>
      <c r="F3" s="133" t="s">
        <v>52</v>
      </c>
      <c r="G3" s="133">
        <v>0.99975439022279566</v>
      </c>
      <c r="H3" s="133" t="s">
        <v>58</v>
      </c>
      <c r="I3" s="133">
        <v>1</v>
      </c>
      <c r="J3" s="133">
        <v>320994484.99415922</v>
      </c>
      <c r="K3" s="133">
        <v>320994484.99415922</v>
      </c>
      <c r="L3" s="133">
        <v>6104.9988224948811</v>
      </c>
      <c r="M3" s="133">
        <v>4.6204719008736469E-6</v>
      </c>
      <c r="N3" s="133" t="s">
        <v>61</v>
      </c>
      <c r="O3" s="133">
        <v>-74.626936450456924</v>
      </c>
      <c r="P3" s="133">
        <v>152.00934024163078</v>
      </c>
      <c r="Q3" s="133">
        <f>P3*SQRT(G7)</f>
        <v>339.90321799518074</v>
      </c>
      <c r="R3" s="133">
        <v>-0.49093651963643514</v>
      </c>
      <c r="S3" s="133">
        <v>0.65714076279439881</v>
      </c>
      <c r="T3" s="133">
        <v>-558.38849967104898</v>
      </c>
      <c r="U3" s="133">
        <v>409.13462677013518</v>
      </c>
      <c r="V3" s="133">
        <v>-558.38849967104898</v>
      </c>
      <c r="W3" s="133">
        <v>409.13462677013518</v>
      </c>
      <c r="X3" s="162">
        <f>3.3*Q3/O4</f>
        <v>9.723196942112251E-3</v>
      </c>
      <c r="Y3" s="162">
        <f>10*Q3/O4</f>
        <v>2.9464233157915912E-2</v>
      </c>
      <c r="AC3" s="300"/>
      <c r="AD3" s="300"/>
      <c r="AE3" s="300"/>
      <c r="AF3" s="300"/>
      <c r="AG3" s="300"/>
    </row>
    <row r="4" spans="1:33" x14ac:dyDescent="0.2">
      <c r="A4" s="109">
        <v>43838</v>
      </c>
      <c r="B4" s="110">
        <v>1</v>
      </c>
      <c r="C4" s="135">
        <v>0.02</v>
      </c>
      <c r="D4" s="298">
        <v>2383.6988921459001</v>
      </c>
      <c r="E4" s="308">
        <f t="shared" si="0"/>
        <v>2233.1980953141583</v>
      </c>
      <c r="F4" s="133" t="s">
        <v>53</v>
      </c>
      <c r="G4" s="133">
        <v>0.99950884076975399</v>
      </c>
      <c r="H4" s="133" t="s">
        <v>59</v>
      </c>
      <c r="I4" s="133">
        <v>3</v>
      </c>
      <c r="J4" s="133">
        <v>157736.87808656169</v>
      </c>
      <c r="K4" s="133">
        <v>52578.959362187226</v>
      </c>
      <c r="L4" s="133"/>
      <c r="M4" s="133"/>
      <c r="N4" s="133" t="s">
        <v>74</v>
      </c>
      <c r="O4" s="133">
        <v>115361.29794162375</v>
      </c>
      <c r="P4" s="133">
        <v>1476.4452312295114</v>
      </c>
      <c r="Q4" s="133"/>
      <c r="R4" s="133">
        <v>78.13449188735332</v>
      </c>
      <c r="S4" s="133">
        <v>4.6204719008736469E-6</v>
      </c>
      <c r="T4" s="133">
        <v>110662.59027054365</v>
      </c>
      <c r="U4" s="133">
        <v>120060.00561270386</v>
      </c>
      <c r="V4" s="133">
        <v>110662.59027054365</v>
      </c>
      <c r="W4" s="133">
        <v>120060.00561270386</v>
      </c>
      <c r="AC4" s="300"/>
      <c r="AD4" s="300"/>
      <c r="AE4" s="300"/>
      <c r="AF4" s="300"/>
      <c r="AG4" s="300"/>
    </row>
    <row r="5" spans="1:33" x14ac:dyDescent="0.2">
      <c r="A5" s="109">
        <v>43838</v>
      </c>
      <c r="B5" s="110">
        <v>1</v>
      </c>
      <c r="C5" s="135">
        <v>0.05</v>
      </c>
      <c r="D5" s="298">
        <v>5650.3674030490401</v>
      </c>
      <c r="E5" s="308">
        <f t="shared" si="0"/>
        <v>5499.8666062172979</v>
      </c>
      <c r="F5" s="133" t="s">
        <v>54</v>
      </c>
      <c r="G5" s="133">
        <v>0.99934512102633866</v>
      </c>
      <c r="H5" s="133" t="s">
        <v>60</v>
      </c>
      <c r="I5" s="133">
        <v>4</v>
      </c>
      <c r="J5" s="133">
        <v>321152221.87224579</v>
      </c>
      <c r="K5" s="133"/>
      <c r="L5" s="133"/>
      <c r="M5" s="133"/>
      <c r="N5" s="137"/>
      <c r="O5" s="137"/>
      <c r="P5" s="137"/>
      <c r="Q5" s="137"/>
      <c r="R5" s="137"/>
      <c r="S5" s="137"/>
      <c r="T5" s="137"/>
      <c r="U5" s="137"/>
      <c r="V5" s="137"/>
      <c r="W5" s="137"/>
      <c r="AC5" s="300"/>
      <c r="AD5" s="300"/>
      <c r="AE5" s="300"/>
      <c r="AF5" s="300"/>
      <c r="AG5" s="300"/>
    </row>
    <row r="6" spans="1:33" x14ac:dyDescent="0.2">
      <c r="A6" s="109">
        <v>43838</v>
      </c>
      <c r="B6" s="110">
        <v>1</v>
      </c>
      <c r="C6" s="135">
        <v>0.1</v>
      </c>
      <c r="D6" s="298">
        <v>11417.560837965901</v>
      </c>
      <c r="E6" s="308">
        <f t="shared" si="0"/>
        <v>11267.060041134158</v>
      </c>
      <c r="F6" s="133" t="s">
        <v>55</v>
      </c>
      <c r="G6" s="133">
        <v>229.30102346519789</v>
      </c>
      <c r="H6" s="137"/>
      <c r="I6" s="137"/>
      <c r="J6" s="137"/>
      <c r="K6" s="137"/>
      <c r="L6" s="137"/>
      <c r="M6" s="137"/>
      <c r="N6" s="137"/>
      <c r="O6" s="137"/>
      <c r="P6" s="137"/>
      <c r="Q6" s="137"/>
      <c r="R6" s="137"/>
      <c r="S6" s="137"/>
      <c r="T6" s="137"/>
      <c r="U6" s="137"/>
      <c r="V6" s="137"/>
      <c r="W6" s="137"/>
      <c r="AC6" s="300"/>
      <c r="AD6" s="300"/>
      <c r="AE6" s="300"/>
      <c r="AF6" s="300"/>
      <c r="AG6" s="300"/>
    </row>
    <row r="7" spans="1:33" x14ac:dyDescent="0.2">
      <c r="A7" s="123">
        <v>43838</v>
      </c>
      <c r="B7" s="124">
        <v>1</v>
      </c>
      <c r="C7" s="141">
        <v>0.2</v>
      </c>
      <c r="D7" s="303">
        <v>23280.958274701901</v>
      </c>
      <c r="E7" s="309">
        <f t="shared" si="0"/>
        <v>23130.457477870161</v>
      </c>
      <c r="F7" s="148" t="s">
        <v>56</v>
      </c>
      <c r="G7" s="148">
        <v>5</v>
      </c>
      <c r="H7" s="141"/>
      <c r="I7" s="141"/>
      <c r="J7" s="141"/>
      <c r="K7" s="141"/>
      <c r="L7" s="141"/>
      <c r="M7" s="141"/>
      <c r="N7" s="141"/>
      <c r="O7" s="141"/>
      <c r="P7" s="141"/>
      <c r="Q7" s="141"/>
      <c r="R7" s="141"/>
      <c r="S7" s="141"/>
      <c r="T7" s="141"/>
      <c r="U7" s="141"/>
      <c r="V7" s="141"/>
      <c r="W7" s="141"/>
      <c r="X7" s="141"/>
      <c r="Y7" s="141"/>
      <c r="AC7" s="300"/>
      <c r="AD7" s="300"/>
      <c r="AE7" s="300"/>
      <c r="AF7" s="300"/>
      <c r="AG7" s="300"/>
    </row>
    <row r="8" spans="1:33" x14ac:dyDescent="0.2">
      <c r="A8" s="109">
        <v>43838</v>
      </c>
      <c r="B8" s="110">
        <v>2</v>
      </c>
      <c r="C8" s="135">
        <v>0</v>
      </c>
      <c r="D8" s="298">
        <v>153.75082774570799</v>
      </c>
      <c r="E8" s="308">
        <f>D8-$D$8</f>
        <v>0</v>
      </c>
      <c r="F8" s="213" t="s">
        <v>51</v>
      </c>
      <c r="G8" s="213"/>
      <c r="H8" s="146"/>
      <c r="I8" s="146" t="s">
        <v>62</v>
      </c>
      <c r="J8" s="146" t="s">
        <v>63</v>
      </c>
      <c r="K8" s="146" t="s">
        <v>64</v>
      </c>
      <c r="L8" s="146" t="s">
        <v>65</v>
      </c>
      <c r="M8" s="146" t="s">
        <v>66</v>
      </c>
      <c r="N8" s="146"/>
      <c r="O8" s="146" t="s">
        <v>67</v>
      </c>
      <c r="P8" s="146" t="s">
        <v>270</v>
      </c>
      <c r="Q8" s="146" t="s">
        <v>271</v>
      </c>
      <c r="R8" s="146" t="s">
        <v>68</v>
      </c>
      <c r="S8" s="146" t="s">
        <v>69</v>
      </c>
      <c r="T8" s="146" t="s">
        <v>70</v>
      </c>
      <c r="U8" s="146" t="s">
        <v>71</v>
      </c>
      <c r="V8" s="146" t="s">
        <v>72</v>
      </c>
      <c r="W8" s="146" t="s">
        <v>73</v>
      </c>
    </row>
    <row r="9" spans="1:33" x14ac:dyDescent="0.2">
      <c r="A9" s="109">
        <v>43838</v>
      </c>
      <c r="B9" s="110">
        <v>2</v>
      </c>
      <c r="C9" s="135">
        <v>0.01</v>
      </c>
      <c r="D9" s="298">
        <v>1292.8085709132099</v>
      </c>
      <c r="E9" s="308">
        <f t="shared" ref="E9:E13" si="1">D9-$D$8</f>
        <v>1139.0577431675019</v>
      </c>
      <c r="F9" s="133" t="s">
        <v>52</v>
      </c>
      <c r="G9" s="133">
        <v>0.99990613536905615</v>
      </c>
      <c r="H9" s="133" t="s">
        <v>58</v>
      </c>
      <c r="I9" s="133">
        <v>1</v>
      </c>
      <c r="J9" s="133">
        <v>258216944.41810179</v>
      </c>
      <c r="K9" s="133">
        <v>258216944.41810179</v>
      </c>
      <c r="L9" s="133">
        <v>15978.210246014009</v>
      </c>
      <c r="M9" s="133">
        <v>1.0916431852973701E-6</v>
      </c>
      <c r="N9" s="133" t="s">
        <v>61</v>
      </c>
      <c r="O9" s="283">
        <v>-63.255956943933597</v>
      </c>
      <c r="P9" s="283">
        <v>84.27380132243492</v>
      </c>
      <c r="Q9" s="283">
        <f>P9*SQRT(G13)</f>
        <v>188.44194847927616</v>
      </c>
      <c r="R9" s="283">
        <v>-0.75060049447530897</v>
      </c>
      <c r="S9" s="283">
        <v>0.50740162474557182</v>
      </c>
      <c r="T9" s="283">
        <v>-331.45280459472997</v>
      </c>
      <c r="U9" s="283">
        <v>204.94089070686277</v>
      </c>
      <c r="V9" s="283">
        <v>-331.45280459472997</v>
      </c>
      <c r="W9" s="283">
        <v>204.94089070686277</v>
      </c>
      <c r="X9" s="162">
        <f>3.3*Q9/O10</f>
        <v>6.0101845668108942E-3</v>
      </c>
      <c r="Y9" s="162">
        <f>10*Q9/O10</f>
        <v>1.821268050548756E-2</v>
      </c>
    </row>
    <row r="10" spans="1:33" x14ac:dyDescent="0.2">
      <c r="A10" s="109">
        <v>43838</v>
      </c>
      <c r="B10" s="110">
        <v>2</v>
      </c>
      <c r="C10" s="135">
        <v>0.02</v>
      </c>
      <c r="D10" s="298">
        <v>2093.6534981080199</v>
      </c>
      <c r="E10" s="308">
        <f t="shared" si="1"/>
        <v>1939.9026703623119</v>
      </c>
      <c r="F10" s="133" t="s">
        <v>53</v>
      </c>
      <c r="G10" s="133">
        <v>0.99981227954868135</v>
      </c>
      <c r="H10" s="133" t="s">
        <v>59</v>
      </c>
      <c r="I10" s="133">
        <v>3</v>
      </c>
      <c r="J10" s="133">
        <v>48481.702351335189</v>
      </c>
      <c r="K10" s="133">
        <v>16160.567450445064</v>
      </c>
      <c r="L10" s="133"/>
      <c r="M10" s="133"/>
      <c r="N10" s="133" t="s">
        <v>74</v>
      </c>
      <c r="O10" s="283">
        <v>103467.44314901794</v>
      </c>
      <c r="P10" s="283">
        <v>818.53951791585962</v>
      </c>
      <c r="Q10" s="283"/>
      <c r="R10" s="283">
        <v>126.40494549666165</v>
      </c>
      <c r="S10" s="283">
        <v>1.0916431852973701E-6</v>
      </c>
      <c r="T10" s="283">
        <v>100862.48508449791</v>
      </c>
      <c r="U10" s="283">
        <v>106072.40121353797</v>
      </c>
      <c r="V10" s="283">
        <v>100862.48508449791</v>
      </c>
      <c r="W10" s="283">
        <v>106072.40121353797</v>
      </c>
    </row>
    <row r="11" spans="1:33" x14ac:dyDescent="0.2">
      <c r="A11" s="109">
        <v>43838</v>
      </c>
      <c r="B11" s="110">
        <v>2</v>
      </c>
      <c r="C11" s="135">
        <v>0.05</v>
      </c>
      <c r="D11" s="298">
        <v>5183.4403729182504</v>
      </c>
      <c r="E11" s="308">
        <f t="shared" si="1"/>
        <v>5029.6895451725422</v>
      </c>
      <c r="F11" s="133" t="s">
        <v>54</v>
      </c>
      <c r="G11" s="133">
        <v>0.99974970606490843</v>
      </c>
      <c r="H11" s="133" t="s">
        <v>60</v>
      </c>
      <c r="I11" s="133">
        <v>4</v>
      </c>
      <c r="J11" s="133">
        <v>258265426.12045312</v>
      </c>
      <c r="K11" s="133"/>
      <c r="L11" s="133"/>
      <c r="M11" s="133"/>
      <c r="N11" s="137"/>
      <c r="O11" s="284"/>
      <c r="P11" s="284"/>
      <c r="Q11" s="284"/>
      <c r="R11" s="284"/>
      <c r="S11" s="284"/>
      <c r="T11" s="284"/>
      <c r="U11" s="284"/>
      <c r="V11" s="284"/>
      <c r="W11" s="284"/>
    </row>
    <row r="12" spans="1:33" x14ac:dyDescent="0.2">
      <c r="A12" s="109">
        <v>43838</v>
      </c>
      <c r="B12" s="110">
        <v>2</v>
      </c>
      <c r="C12" s="135">
        <v>0.1</v>
      </c>
      <c r="D12" s="298">
        <v>10358.5069825382</v>
      </c>
      <c r="E12" s="308">
        <f t="shared" si="1"/>
        <v>10204.756154792492</v>
      </c>
      <c r="F12" s="133" t="s">
        <v>55</v>
      </c>
      <c r="G12" s="133">
        <v>127.12422055000009</v>
      </c>
      <c r="H12" s="137"/>
      <c r="I12" s="137"/>
      <c r="J12" s="137"/>
      <c r="K12" s="137"/>
      <c r="L12" s="137"/>
      <c r="M12" s="137"/>
      <c r="N12" s="137"/>
      <c r="O12" s="284"/>
      <c r="P12" s="284"/>
      <c r="Q12" s="284"/>
      <c r="R12" s="284"/>
      <c r="S12" s="284"/>
      <c r="T12" s="284"/>
      <c r="U12" s="284"/>
      <c r="V12" s="284"/>
      <c r="W12" s="284"/>
    </row>
    <row r="13" spans="1:33" x14ac:dyDescent="0.2">
      <c r="A13" s="123">
        <v>43838</v>
      </c>
      <c r="B13" s="124">
        <v>2</v>
      </c>
      <c r="C13" s="141">
        <v>0.2</v>
      </c>
      <c r="D13" s="303">
        <v>20841.693326158002</v>
      </c>
      <c r="E13" s="309">
        <f t="shared" si="1"/>
        <v>20687.942498412292</v>
      </c>
      <c r="F13" s="148" t="s">
        <v>56</v>
      </c>
      <c r="G13" s="148">
        <v>5</v>
      </c>
      <c r="H13" s="141"/>
      <c r="I13" s="141"/>
      <c r="J13" s="141"/>
      <c r="K13" s="141"/>
      <c r="L13" s="141"/>
      <c r="M13" s="141"/>
      <c r="N13" s="141"/>
      <c r="O13" s="285"/>
      <c r="P13" s="285"/>
      <c r="Q13" s="285"/>
      <c r="R13" s="285"/>
      <c r="S13" s="285"/>
      <c r="T13" s="285"/>
      <c r="U13" s="285"/>
      <c r="V13" s="285"/>
      <c r="W13" s="285"/>
      <c r="X13" s="141"/>
      <c r="Y13" s="141"/>
    </row>
    <row r="14" spans="1:33" x14ac:dyDescent="0.2">
      <c r="A14" s="109">
        <v>43838</v>
      </c>
      <c r="B14" s="110">
        <v>3</v>
      </c>
      <c r="C14" s="135">
        <v>0</v>
      </c>
      <c r="D14" s="298">
        <v>144.00072658617</v>
      </c>
      <c r="E14" s="308">
        <f>D14-$D$14</f>
        <v>0</v>
      </c>
      <c r="F14" s="213" t="s">
        <v>51</v>
      </c>
      <c r="G14" s="213"/>
      <c r="H14" s="146"/>
      <c r="I14" s="146" t="s">
        <v>62</v>
      </c>
      <c r="J14" s="146" t="s">
        <v>63</v>
      </c>
      <c r="K14" s="146" t="s">
        <v>64</v>
      </c>
      <c r="L14" s="146" t="s">
        <v>65</v>
      </c>
      <c r="M14" s="146" t="s">
        <v>66</v>
      </c>
      <c r="N14" s="146"/>
      <c r="O14" s="286" t="s">
        <v>67</v>
      </c>
      <c r="P14" s="286" t="s">
        <v>270</v>
      </c>
      <c r="Q14" s="286" t="s">
        <v>271</v>
      </c>
      <c r="R14" s="286" t="s">
        <v>68</v>
      </c>
      <c r="S14" s="286" t="s">
        <v>69</v>
      </c>
      <c r="T14" s="286" t="s">
        <v>70</v>
      </c>
      <c r="U14" s="286" t="s">
        <v>71</v>
      </c>
      <c r="V14" s="286" t="s">
        <v>72</v>
      </c>
      <c r="W14" s="286" t="s">
        <v>73</v>
      </c>
    </row>
    <row r="15" spans="1:33" x14ac:dyDescent="0.2">
      <c r="A15" s="109">
        <v>43838</v>
      </c>
      <c r="B15" s="110">
        <v>3</v>
      </c>
      <c r="C15" s="135">
        <v>0.01</v>
      </c>
      <c r="D15" s="298">
        <v>837.52455047216699</v>
      </c>
      <c r="E15" s="308">
        <f t="shared" ref="E15:E19" si="2">D15-$D$14</f>
        <v>693.52382388599699</v>
      </c>
      <c r="F15" s="133" t="s">
        <v>52</v>
      </c>
      <c r="G15" s="133">
        <v>0.99977887996583625</v>
      </c>
      <c r="H15" s="133" t="s">
        <v>58</v>
      </c>
      <c r="I15" s="133">
        <v>1</v>
      </c>
      <c r="J15" s="133">
        <v>93864986.326147318</v>
      </c>
      <c r="K15" s="133">
        <v>93864986.326147318</v>
      </c>
      <c r="L15" s="133">
        <v>6781.3959234016984</v>
      </c>
      <c r="M15" s="133">
        <v>3.9469496965675944E-6</v>
      </c>
      <c r="N15" s="133" t="s">
        <v>61</v>
      </c>
      <c r="O15" s="283">
        <v>-38.542570535997584</v>
      </c>
      <c r="P15" s="283">
        <v>77.993164371548787</v>
      </c>
      <c r="Q15" s="283">
        <f>P15*SQRT(G19)</f>
        <v>174.39801731509775</v>
      </c>
      <c r="R15" s="283">
        <v>-0.4941788276775903</v>
      </c>
      <c r="S15" s="283">
        <v>0.65510064196864981</v>
      </c>
      <c r="T15" s="283">
        <v>-286.75162832761805</v>
      </c>
      <c r="U15" s="283">
        <v>209.66648725562288</v>
      </c>
      <c r="V15" s="283">
        <v>-286.75162832761805</v>
      </c>
      <c r="W15" s="283">
        <v>209.66648725562288</v>
      </c>
      <c r="X15" s="162">
        <f>3.3*Q15/O16</f>
        <v>9.2255512170270077E-3</v>
      </c>
      <c r="Y15" s="162">
        <f>10*Q15/O16</f>
        <v>2.7956215809172753E-2</v>
      </c>
    </row>
    <row r="16" spans="1:33" x14ac:dyDescent="0.2">
      <c r="A16" s="109">
        <v>43838</v>
      </c>
      <c r="B16" s="110">
        <v>3</v>
      </c>
      <c r="C16" s="135">
        <v>0.02</v>
      </c>
      <c r="D16" s="298">
        <v>1323.06141933553</v>
      </c>
      <c r="E16" s="308">
        <f t="shared" si="2"/>
        <v>1179.06069274936</v>
      </c>
      <c r="F16" s="133" t="s">
        <v>53</v>
      </c>
      <c r="G16" s="133">
        <v>0.99955780882574208</v>
      </c>
      <c r="H16" s="133" t="s">
        <v>59</v>
      </c>
      <c r="I16" s="133">
        <v>3</v>
      </c>
      <c r="J16" s="133">
        <v>41524.63035032287</v>
      </c>
      <c r="K16" s="133">
        <v>13841.543450107623</v>
      </c>
      <c r="L16" s="133"/>
      <c r="M16" s="133"/>
      <c r="N16" s="133" t="s">
        <v>74</v>
      </c>
      <c r="O16" s="283">
        <v>62382.55510170864</v>
      </c>
      <c r="P16" s="283">
        <v>757.53657914591622</v>
      </c>
      <c r="Q16" s="283"/>
      <c r="R16" s="283">
        <v>82.349231468190993</v>
      </c>
      <c r="S16" s="283">
        <v>3.9469496965675944E-6</v>
      </c>
      <c r="T16" s="283">
        <v>59971.73561428846</v>
      </c>
      <c r="U16" s="283">
        <v>64793.37458912882</v>
      </c>
      <c r="V16" s="283">
        <v>59971.73561428846</v>
      </c>
      <c r="W16" s="283">
        <v>64793.37458912882</v>
      </c>
    </row>
    <row r="17" spans="1:25" x14ac:dyDescent="0.2">
      <c r="A17" s="109">
        <v>43838</v>
      </c>
      <c r="B17" s="110">
        <v>3</v>
      </c>
      <c r="C17" s="135">
        <v>0.05</v>
      </c>
      <c r="D17" s="298">
        <v>3225.6153670194699</v>
      </c>
      <c r="E17" s="308">
        <f t="shared" si="2"/>
        <v>3081.6146404332999</v>
      </c>
      <c r="F17" s="133" t="s">
        <v>54</v>
      </c>
      <c r="G17" s="133">
        <v>0.9994104117676561</v>
      </c>
      <c r="H17" s="133" t="s">
        <v>60</v>
      </c>
      <c r="I17" s="133">
        <v>4</v>
      </c>
      <c r="J17" s="133">
        <v>93906510.956497639</v>
      </c>
      <c r="K17" s="133"/>
      <c r="L17" s="133"/>
      <c r="M17" s="133"/>
      <c r="N17" s="137"/>
      <c r="O17" s="284"/>
      <c r="P17" s="284"/>
      <c r="Q17" s="284"/>
      <c r="R17" s="284"/>
      <c r="S17" s="284"/>
      <c r="T17" s="284"/>
      <c r="U17" s="284"/>
      <c r="V17" s="284"/>
      <c r="W17" s="284"/>
    </row>
    <row r="18" spans="1:25" x14ac:dyDescent="0.2">
      <c r="A18" s="109">
        <v>43838</v>
      </c>
      <c r="B18" s="110">
        <v>3</v>
      </c>
      <c r="C18" s="135">
        <v>0.1</v>
      </c>
      <c r="D18" s="298">
        <v>6190.5979896737799</v>
      </c>
      <c r="E18" s="308">
        <f t="shared" si="2"/>
        <v>6046.5972630876095</v>
      </c>
      <c r="F18" s="133" t="s">
        <v>55</v>
      </c>
      <c r="G18" s="133">
        <v>117.65008903569782</v>
      </c>
      <c r="H18" s="137"/>
      <c r="I18" s="137"/>
      <c r="J18" s="144"/>
      <c r="K18" s="220"/>
      <c r="L18" s="144"/>
      <c r="M18" s="137"/>
      <c r="N18" s="137"/>
      <c r="O18" s="284"/>
      <c r="P18" s="284"/>
      <c r="Q18" s="284"/>
      <c r="R18" s="284"/>
      <c r="S18" s="284"/>
      <c r="T18" s="284"/>
      <c r="U18" s="284"/>
      <c r="V18" s="316"/>
      <c r="W18" s="316"/>
      <c r="X18" s="136"/>
    </row>
    <row r="19" spans="1:25" x14ac:dyDescent="0.2">
      <c r="A19" s="123">
        <v>43838</v>
      </c>
      <c r="B19" s="124">
        <v>3</v>
      </c>
      <c r="C19" s="141">
        <v>0.2</v>
      </c>
      <c r="D19" s="303">
        <v>12655.8623923992</v>
      </c>
      <c r="E19" s="309">
        <f t="shared" si="2"/>
        <v>12511.86166581303</v>
      </c>
      <c r="F19" s="148" t="s">
        <v>56</v>
      </c>
      <c r="G19" s="148">
        <v>5</v>
      </c>
      <c r="H19" s="141"/>
      <c r="I19" s="141"/>
      <c r="J19" s="143"/>
      <c r="K19" s="280"/>
      <c r="L19" s="143"/>
      <c r="M19" s="141"/>
      <c r="N19" s="141"/>
      <c r="O19" s="285"/>
      <c r="P19" s="285"/>
      <c r="Q19" s="285"/>
      <c r="R19" s="285"/>
      <c r="S19" s="285"/>
      <c r="T19" s="285"/>
      <c r="U19" s="285"/>
      <c r="V19" s="318"/>
      <c r="W19" s="318"/>
      <c r="X19" s="143"/>
      <c r="Y19" s="141"/>
    </row>
    <row r="20" spans="1:25" x14ac:dyDescent="0.2">
      <c r="A20" s="290">
        <v>43789</v>
      </c>
      <c r="B20" s="291">
        <v>1</v>
      </c>
      <c r="C20" s="135">
        <v>0</v>
      </c>
      <c r="D20" s="224">
        <v>542.51030876353695</v>
      </c>
      <c r="E20" s="308">
        <f>D20-$D$20</f>
        <v>0</v>
      </c>
      <c r="F20" s="213" t="s">
        <v>51</v>
      </c>
      <c r="G20" s="213"/>
      <c r="H20" s="146"/>
      <c r="I20" s="146" t="s">
        <v>62</v>
      </c>
      <c r="J20" s="146" t="s">
        <v>63</v>
      </c>
      <c r="K20" s="146" t="s">
        <v>64</v>
      </c>
      <c r="L20" s="146" t="s">
        <v>65</v>
      </c>
      <c r="M20" s="146" t="s">
        <v>66</v>
      </c>
      <c r="N20" s="146"/>
      <c r="O20" s="286" t="s">
        <v>67</v>
      </c>
      <c r="P20" s="286" t="s">
        <v>270</v>
      </c>
      <c r="Q20" s="286" t="s">
        <v>271</v>
      </c>
      <c r="R20" s="286" t="s">
        <v>68</v>
      </c>
      <c r="S20" s="286" t="s">
        <v>69</v>
      </c>
      <c r="T20" s="286" t="s">
        <v>70</v>
      </c>
      <c r="U20" s="286" t="s">
        <v>71</v>
      </c>
      <c r="V20" s="286" t="s">
        <v>72</v>
      </c>
      <c r="W20" s="286" t="s">
        <v>73</v>
      </c>
    </row>
    <row r="21" spans="1:25" x14ac:dyDescent="0.2">
      <c r="A21" s="290">
        <v>43789</v>
      </c>
      <c r="B21" s="291">
        <v>1</v>
      </c>
      <c r="C21" s="135">
        <v>0.01</v>
      </c>
      <c r="D21" s="224">
        <v>772.020870977031</v>
      </c>
      <c r="E21" s="308">
        <f t="shared" ref="E21:E25" si="3">D21-$D$20</f>
        <v>229.51056221349404</v>
      </c>
      <c r="F21" s="133" t="s">
        <v>52</v>
      </c>
      <c r="G21" s="133">
        <v>0.9991832982887926</v>
      </c>
      <c r="H21" s="133" t="s">
        <v>58</v>
      </c>
      <c r="I21" s="133">
        <v>1</v>
      </c>
      <c r="J21" s="133">
        <v>129681390.52782661</v>
      </c>
      <c r="K21" s="133">
        <v>129681390.52782661</v>
      </c>
      <c r="L21" s="133">
        <v>1834.4061862718015</v>
      </c>
      <c r="M21" s="133">
        <v>2.8014046503150218E-5</v>
      </c>
      <c r="N21" s="133" t="s">
        <v>61</v>
      </c>
      <c r="O21" s="283">
        <v>-644.27946553012771</v>
      </c>
      <c r="P21" s="283">
        <v>176.26064582722015</v>
      </c>
      <c r="Q21" s="283">
        <f>P21*SQRT(G25)</f>
        <v>394.13078582767889</v>
      </c>
      <c r="R21" s="283">
        <v>-3.6552655444238185</v>
      </c>
      <c r="S21" s="283">
        <v>3.536187248537654E-2</v>
      </c>
      <c r="T21" s="283">
        <v>-1205.2195066098848</v>
      </c>
      <c r="U21" s="283">
        <v>-83.339424450370529</v>
      </c>
      <c r="V21" s="283">
        <v>-1205.2195066098848</v>
      </c>
      <c r="W21" s="283">
        <v>-83.339424450370529</v>
      </c>
      <c r="X21" s="162">
        <f>3.3*Q21/O22</f>
        <v>1.7737978392154765E-2</v>
      </c>
      <c r="Y21" s="162">
        <f>10*Q21/O22</f>
        <v>5.3751449673196255E-2</v>
      </c>
    </row>
    <row r="22" spans="1:25" x14ac:dyDescent="0.2">
      <c r="A22" s="290">
        <v>43789</v>
      </c>
      <c r="B22" s="291">
        <v>1</v>
      </c>
      <c r="C22" s="135">
        <v>0.02</v>
      </c>
      <c r="D22" s="224">
        <v>1397.3183733363301</v>
      </c>
      <c r="E22" s="308">
        <f t="shared" si="3"/>
        <v>854.80806457279311</v>
      </c>
      <c r="F22" s="133" t="s">
        <v>53</v>
      </c>
      <c r="G22" s="133">
        <v>0.9983672635792703</v>
      </c>
      <c r="H22" s="133" t="s">
        <v>59</v>
      </c>
      <c r="I22" s="133">
        <v>3</v>
      </c>
      <c r="J22" s="133">
        <v>212081.80308973056</v>
      </c>
      <c r="K22" s="133">
        <v>70693.934363243519</v>
      </c>
      <c r="L22" s="133"/>
      <c r="M22" s="133"/>
      <c r="N22" s="133" t="s">
        <v>74</v>
      </c>
      <c r="O22" s="283">
        <v>73324.680213083906</v>
      </c>
      <c r="P22" s="283">
        <v>1711.9947338193983</v>
      </c>
      <c r="Q22" s="283"/>
      <c r="R22" s="283">
        <v>42.829968319761825</v>
      </c>
      <c r="S22" s="283">
        <v>2.8014046503150218E-5</v>
      </c>
      <c r="T22" s="283">
        <v>67876.348897775199</v>
      </c>
      <c r="U22" s="283">
        <v>78773.011528392613</v>
      </c>
      <c r="V22" s="283">
        <v>67876.348897775199</v>
      </c>
      <c r="W22" s="283">
        <v>78773.011528392613</v>
      </c>
    </row>
    <row r="23" spans="1:25" x14ac:dyDescent="0.2">
      <c r="A23" s="290">
        <v>43789</v>
      </c>
      <c r="B23" s="291">
        <v>1</v>
      </c>
      <c r="C23" s="135">
        <v>0.05</v>
      </c>
      <c r="D23" s="224">
        <v>3612.2067499938198</v>
      </c>
      <c r="E23" s="308">
        <f t="shared" si="3"/>
        <v>3069.6964412302827</v>
      </c>
      <c r="F23" s="133" t="s">
        <v>54</v>
      </c>
      <c r="G23" s="133">
        <v>0.99782301810569374</v>
      </c>
      <c r="H23" s="133" t="s">
        <v>60</v>
      </c>
      <c r="I23" s="133">
        <v>4</v>
      </c>
      <c r="J23" s="133">
        <v>129893472.33091635</v>
      </c>
      <c r="K23" s="133"/>
      <c r="L23" s="133"/>
      <c r="M23" s="133"/>
      <c r="N23" s="137"/>
      <c r="O23" s="284"/>
      <c r="P23" s="284"/>
      <c r="Q23" s="284"/>
      <c r="R23" s="284"/>
      <c r="S23" s="283"/>
      <c r="T23" s="283"/>
      <c r="U23" s="283"/>
      <c r="V23" s="284"/>
      <c r="W23" s="284"/>
    </row>
    <row r="24" spans="1:25" x14ac:dyDescent="0.2">
      <c r="A24" s="290">
        <v>43789</v>
      </c>
      <c r="B24" s="291">
        <v>1</v>
      </c>
      <c r="C24" s="135">
        <v>0.1</v>
      </c>
      <c r="D24" s="224">
        <v>6833.3848252039497</v>
      </c>
      <c r="E24" s="308">
        <f t="shared" si="3"/>
        <v>6290.8745164404127</v>
      </c>
      <c r="F24" s="133" t="s">
        <v>55</v>
      </c>
      <c r="G24" s="133">
        <v>265.88330967408149</v>
      </c>
      <c r="H24" s="133"/>
      <c r="I24" s="133"/>
      <c r="J24" s="137"/>
      <c r="K24" s="137"/>
      <c r="L24" s="137"/>
      <c r="M24" s="137"/>
      <c r="N24" s="137"/>
      <c r="O24" s="284"/>
      <c r="P24" s="284"/>
      <c r="Q24" s="284"/>
      <c r="R24" s="284"/>
      <c r="S24" s="283"/>
      <c r="T24" s="283"/>
      <c r="U24" s="283"/>
      <c r="V24" s="284"/>
      <c r="W24" s="284"/>
    </row>
    <row r="25" spans="1:25" x14ac:dyDescent="0.2">
      <c r="A25" s="292">
        <v>43789</v>
      </c>
      <c r="B25" s="293">
        <v>1</v>
      </c>
      <c r="C25" s="141">
        <v>0.2</v>
      </c>
      <c r="D25" s="225">
        <v>14739.6018776278</v>
      </c>
      <c r="E25" s="309">
        <f t="shared" si="3"/>
        <v>14197.091568864264</v>
      </c>
      <c r="F25" s="148" t="s">
        <v>56</v>
      </c>
      <c r="G25" s="148">
        <v>5</v>
      </c>
      <c r="H25" s="148"/>
      <c r="I25" s="148"/>
      <c r="J25" s="141"/>
      <c r="K25" s="141"/>
      <c r="L25" s="141"/>
      <c r="M25" s="141"/>
      <c r="N25" s="141"/>
      <c r="O25" s="285"/>
      <c r="P25" s="285"/>
      <c r="Q25" s="285"/>
      <c r="R25" s="285"/>
      <c r="S25" s="317"/>
      <c r="T25" s="317"/>
      <c r="U25" s="317"/>
      <c r="V25" s="285"/>
      <c r="W25" s="285"/>
      <c r="X25" s="141"/>
      <c r="Y25" s="141"/>
    </row>
    <row r="26" spans="1:25" x14ac:dyDescent="0.2">
      <c r="A26" s="109">
        <v>43888</v>
      </c>
      <c r="B26" s="110">
        <v>1</v>
      </c>
      <c r="C26" s="135">
        <v>0</v>
      </c>
      <c r="D26" s="224">
        <v>209.501536668775</v>
      </c>
      <c r="E26" s="308">
        <f>D26-$D$26</f>
        <v>0</v>
      </c>
      <c r="F26" s="213" t="s">
        <v>51</v>
      </c>
      <c r="G26" s="213"/>
      <c r="H26" s="146"/>
      <c r="I26" s="146" t="s">
        <v>62</v>
      </c>
      <c r="J26" s="146" t="s">
        <v>63</v>
      </c>
      <c r="K26" s="146" t="s">
        <v>64</v>
      </c>
      <c r="L26" s="146" t="s">
        <v>65</v>
      </c>
      <c r="M26" s="146" t="s">
        <v>66</v>
      </c>
      <c r="N26" s="146"/>
      <c r="O26" s="286" t="s">
        <v>67</v>
      </c>
      <c r="P26" s="286" t="s">
        <v>270</v>
      </c>
      <c r="Q26" s="286" t="s">
        <v>271</v>
      </c>
      <c r="R26" s="286" t="s">
        <v>68</v>
      </c>
      <c r="S26" s="286" t="s">
        <v>69</v>
      </c>
      <c r="T26" s="286" t="s">
        <v>70</v>
      </c>
      <c r="U26" s="286" t="s">
        <v>71</v>
      </c>
      <c r="V26" s="286" t="s">
        <v>72</v>
      </c>
      <c r="W26" s="286" t="s">
        <v>73</v>
      </c>
    </row>
    <row r="27" spans="1:25" x14ac:dyDescent="0.2">
      <c r="A27" s="109">
        <v>43888</v>
      </c>
      <c r="B27" s="110">
        <v>1</v>
      </c>
      <c r="C27" s="135">
        <v>0.01</v>
      </c>
      <c r="D27" s="224">
        <v>831.52422184372699</v>
      </c>
      <c r="E27" s="308">
        <f t="shared" ref="E27:E31" si="4">D27-$D$26</f>
        <v>622.02268517495202</v>
      </c>
      <c r="F27" s="133" t="s">
        <v>52</v>
      </c>
      <c r="G27" s="133">
        <v>0.99984119224694079</v>
      </c>
      <c r="H27" s="133" t="s">
        <v>58</v>
      </c>
      <c r="I27" s="133">
        <v>1</v>
      </c>
      <c r="J27" s="133">
        <v>148171747.25773731</v>
      </c>
      <c r="K27" s="133">
        <v>148171747.25773731</v>
      </c>
      <c r="L27" s="133">
        <v>9443.1327383310454</v>
      </c>
      <c r="M27" s="133">
        <v>2.4023211415693609E-6</v>
      </c>
      <c r="N27" s="133" t="s">
        <v>61</v>
      </c>
      <c r="O27" s="283">
        <v>-226.3060898028225</v>
      </c>
      <c r="P27" s="283">
        <v>83.040304833286541</v>
      </c>
      <c r="Q27" s="283">
        <f>P27*SQRT(G31)</f>
        <v>185.68376647953306</v>
      </c>
      <c r="R27" s="283">
        <v>-2.7252560098034246</v>
      </c>
      <c r="S27" s="283">
        <v>7.2228674102373228E-2</v>
      </c>
      <c r="T27" s="283">
        <v>-490.57740110914818</v>
      </c>
      <c r="U27" s="283">
        <v>37.965221503503187</v>
      </c>
      <c r="V27" s="283">
        <v>-490.57740110914818</v>
      </c>
      <c r="W27" s="283">
        <v>37.965221503503187</v>
      </c>
      <c r="X27" s="162">
        <f>3.3*Q27/O28</f>
        <v>7.8179669016939825E-3</v>
      </c>
      <c r="Y27" s="162">
        <f>10*Q27/O28</f>
        <v>2.369080879301207E-2</v>
      </c>
    </row>
    <row r="28" spans="1:25" x14ac:dyDescent="0.2">
      <c r="A28" s="109">
        <v>43888</v>
      </c>
      <c r="B28" s="110">
        <v>1</v>
      </c>
      <c r="C28" s="135">
        <v>0.02</v>
      </c>
      <c r="D28" s="224">
        <v>1579.58741669541</v>
      </c>
      <c r="E28" s="308">
        <f t="shared" si="4"/>
        <v>1370.0858800266349</v>
      </c>
      <c r="F28" s="133" t="s">
        <v>53</v>
      </c>
      <c r="G28" s="133">
        <v>0.99968240971378397</v>
      </c>
      <c r="H28" s="133" t="s">
        <v>59</v>
      </c>
      <c r="I28" s="133">
        <v>3</v>
      </c>
      <c r="J28" s="133">
        <v>47072.857502983104</v>
      </c>
      <c r="K28" s="133">
        <v>15690.952500994368</v>
      </c>
      <c r="L28" s="133"/>
      <c r="M28" s="133"/>
      <c r="N28" s="133" t="s">
        <v>74</v>
      </c>
      <c r="O28" s="283">
        <v>78377.976920020999</v>
      </c>
      <c r="P28" s="283">
        <v>806.55874090408815</v>
      </c>
      <c r="Q28" s="283"/>
      <c r="R28" s="283">
        <v>97.175782674136698</v>
      </c>
      <c r="S28" s="283">
        <v>2.4023211415693609E-6</v>
      </c>
      <c r="T28" s="283">
        <v>75811.147035036498</v>
      </c>
      <c r="U28" s="283">
        <v>80944.806805005501</v>
      </c>
      <c r="V28" s="283">
        <v>75811.147035036498</v>
      </c>
      <c r="W28" s="283">
        <v>80944.806805005501</v>
      </c>
    </row>
    <row r="29" spans="1:25" x14ac:dyDescent="0.2">
      <c r="A29" s="109">
        <v>43888</v>
      </c>
      <c r="B29" s="110">
        <v>1</v>
      </c>
      <c r="C29" s="135">
        <v>0.05</v>
      </c>
      <c r="D29" s="224">
        <v>3910.0352740974199</v>
      </c>
      <c r="E29" s="308">
        <f t="shared" si="4"/>
        <v>3700.5337374286451</v>
      </c>
      <c r="F29" s="133" t="s">
        <v>54</v>
      </c>
      <c r="G29" s="133">
        <v>0.99957654628504533</v>
      </c>
      <c r="H29" s="133" t="s">
        <v>60</v>
      </c>
      <c r="I29" s="133">
        <v>4</v>
      </c>
      <c r="J29" s="133">
        <v>148218820.11524031</v>
      </c>
      <c r="K29" s="133"/>
      <c r="L29" s="133"/>
      <c r="M29" s="133"/>
      <c r="N29" s="137"/>
      <c r="O29" s="284"/>
      <c r="P29" s="284"/>
      <c r="Q29" s="284"/>
      <c r="R29" s="284"/>
      <c r="S29" s="284"/>
      <c r="T29" s="284"/>
      <c r="U29" s="284"/>
      <c r="V29" s="284"/>
      <c r="W29" s="284"/>
    </row>
    <row r="30" spans="1:25" x14ac:dyDescent="0.2">
      <c r="A30" s="109">
        <v>43888</v>
      </c>
      <c r="B30" s="110">
        <v>1</v>
      </c>
      <c r="C30" s="135">
        <v>0.1</v>
      </c>
      <c r="D30" s="224">
        <v>7634.5401794727804</v>
      </c>
      <c r="E30" s="308">
        <f t="shared" si="4"/>
        <v>7425.0386428040056</v>
      </c>
      <c r="F30" s="133" t="s">
        <v>55</v>
      </c>
      <c r="G30" s="133">
        <v>125.2635322070808</v>
      </c>
      <c r="O30" s="315"/>
      <c r="P30" s="315"/>
      <c r="Q30" s="315"/>
      <c r="R30" s="315"/>
      <c r="S30" s="315"/>
      <c r="T30" s="315"/>
      <c r="U30" s="315"/>
      <c r="V30" s="315"/>
      <c r="W30" s="315"/>
    </row>
    <row r="31" spans="1:25" x14ac:dyDescent="0.2">
      <c r="A31" s="123">
        <v>43888</v>
      </c>
      <c r="B31" s="124">
        <v>1</v>
      </c>
      <c r="C31" s="141">
        <v>0.2</v>
      </c>
      <c r="D31" s="225">
        <v>15743.921371828401</v>
      </c>
      <c r="E31" s="309">
        <f t="shared" si="4"/>
        <v>15534.419835159626</v>
      </c>
      <c r="F31" s="148" t="s">
        <v>56</v>
      </c>
      <c r="G31" s="148">
        <v>5</v>
      </c>
      <c r="H31" s="141"/>
      <c r="I31" s="141"/>
      <c r="J31" s="141"/>
      <c r="K31" s="141"/>
      <c r="L31" s="141"/>
      <c r="M31" s="141"/>
      <c r="N31" s="141"/>
      <c r="O31" s="285"/>
      <c r="P31" s="285"/>
      <c r="Q31" s="285"/>
      <c r="R31" s="285"/>
      <c r="S31" s="285"/>
      <c r="T31" s="285"/>
      <c r="U31" s="285"/>
      <c r="V31" s="285"/>
      <c r="W31" s="285"/>
      <c r="X31" s="141"/>
      <c r="Y31" s="141"/>
    </row>
    <row r="32" spans="1:25" x14ac:dyDescent="0.2">
      <c r="A32" s="109">
        <v>43888</v>
      </c>
      <c r="B32" s="110">
        <v>2</v>
      </c>
      <c r="C32" s="135">
        <v>0</v>
      </c>
      <c r="D32" s="224">
        <v>403.00569099295501</v>
      </c>
      <c r="E32" s="308">
        <f>D32-$D$32</f>
        <v>0</v>
      </c>
      <c r="F32" s="213" t="s">
        <v>51</v>
      </c>
      <c r="G32" s="213"/>
      <c r="H32" s="146"/>
      <c r="I32" s="146" t="s">
        <v>62</v>
      </c>
      <c r="J32" s="146" t="s">
        <v>63</v>
      </c>
      <c r="K32" s="146" t="s">
        <v>64</v>
      </c>
      <c r="L32" s="146" t="s">
        <v>65</v>
      </c>
      <c r="M32" s="146" t="s">
        <v>66</v>
      </c>
      <c r="N32" s="146"/>
      <c r="O32" s="286" t="s">
        <v>67</v>
      </c>
      <c r="P32" s="286" t="s">
        <v>55</v>
      </c>
      <c r="Q32" s="286" t="s">
        <v>271</v>
      </c>
      <c r="R32" s="286" t="s">
        <v>68</v>
      </c>
      <c r="S32" s="286" t="s">
        <v>69</v>
      </c>
      <c r="T32" s="286" t="s">
        <v>70</v>
      </c>
      <c r="U32" s="286" t="s">
        <v>71</v>
      </c>
      <c r="V32" s="286" t="s">
        <v>72</v>
      </c>
      <c r="W32" s="286" t="s">
        <v>73</v>
      </c>
    </row>
    <row r="33" spans="1:25" x14ac:dyDescent="0.2">
      <c r="A33" s="109">
        <v>43888</v>
      </c>
      <c r="B33" s="110">
        <v>2</v>
      </c>
      <c r="C33" s="135">
        <v>0.01</v>
      </c>
      <c r="D33" s="224">
        <v>808.77294667877095</v>
      </c>
      <c r="E33" s="308">
        <f t="shared" ref="E33:E37" si="5">D33-$D$32</f>
        <v>405.76725568581594</v>
      </c>
      <c r="F33" s="133" t="s">
        <v>52</v>
      </c>
      <c r="G33" s="133">
        <v>0.99995940500987945</v>
      </c>
      <c r="H33" s="133" t="s">
        <v>58</v>
      </c>
      <c r="I33" s="133">
        <v>1</v>
      </c>
      <c r="J33" s="133">
        <v>150931390.86161256</v>
      </c>
      <c r="K33" s="133">
        <v>150931390.86161256</v>
      </c>
      <c r="L33" s="133">
        <v>36948.122352950581</v>
      </c>
      <c r="M33" s="133">
        <v>3.1048446334171332E-7</v>
      </c>
      <c r="N33" s="133" t="s">
        <v>61</v>
      </c>
      <c r="O33" s="283">
        <v>-460.19978543476191</v>
      </c>
      <c r="P33" s="283">
        <v>42.369943163941031</v>
      </c>
      <c r="Q33" s="283">
        <f>P33*SQRT(G37)</f>
        <v>94.742073117374659</v>
      </c>
      <c r="R33" s="283">
        <v>-10.861468084913913</v>
      </c>
      <c r="S33" s="283">
        <v>1.6699697386112578E-3</v>
      </c>
      <c r="T33" s="283">
        <v>-595.03985451192682</v>
      </c>
      <c r="U33" s="283">
        <v>-325.35971635759699</v>
      </c>
      <c r="V33" s="283">
        <v>-595.03985451192682</v>
      </c>
      <c r="W33" s="283">
        <v>-325.35971635759699</v>
      </c>
      <c r="X33" s="162">
        <f>3.3*Q33/O34</f>
        <v>3.9523526537019642E-3</v>
      </c>
      <c r="Y33" s="162">
        <f>10*Q33/O34</f>
        <v>1.1976826223339284E-2</v>
      </c>
    </row>
    <row r="34" spans="1:25" x14ac:dyDescent="0.2">
      <c r="A34" s="109">
        <v>43888</v>
      </c>
      <c r="B34" s="110">
        <v>2</v>
      </c>
      <c r="C34" s="135">
        <v>0.02</v>
      </c>
      <c r="D34" s="224">
        <v>1480.3267567345199</v>
      </c>
      <c r="E34" s="308">
        <f t="shared" si="5"/>
        <v>1077.3210657415648</v>
      </c>
      <c r="F34" s="133" t="s">
        <v>53</v>
      </c>
      <c r="G34" s="133">
        <v>0.99991881166771224</v>
      </c>
      <c r="H34" s="133" t="s">
        <v>59</v>
      </c>
      <c r="I34" s="133">
        <v>3</v>
      </c>
      <c r="J34" s="133">
        <v>12254.862865817016</v>
      </c>
      <c r="K34" s="133">
        <v>4084.954288605672</v>
      </c>
      <c r="L34" s="133"/>
      <c r="M34" s="133"/>
      <c r="N34" s="133" t="s">
        <v>74</v>
      </c>
      <c r="O34" s="283">
        <v>79104.490079976647</v>
      </c>
      <c r="P34" s="283">
        <v>411.53326784016735</v>
      </c>
      <c r="Q34" s="283"/>
      <c r="R34" s="283">
        <v>192.21894379314071</v>
      </c>
      <c r="S34" s="283">
        <v>3.1048446334171332E-7</v>
      </c>
      <c r="T34" s="283">
        <v>77794.807552237369</v>
      </c>
      <c r="U34" s="283">
        <v>80414.172607715926</v>
      </c>
      <c r="V34" s="283">
        <v>77794.807552237369</v>
      </c>
      <c r="W34" s="283">
        <v>80414.172607715926</v>
      </c>
    </row>
    <row r="35" spans="1:25" x14ac:dyDescent="0.2">
      <c r="A35" s="109">
        <v>43888</v>
      </c>
      <c r="B35" s="110">
        <v>2</v>
      </c>
      <c r="C35" s="135">
        <v>0.05</v>
      </c>
      <c r="D35" s="224">
        <v>3897.0317563732501</v>
      </c>
      <c r="E35" s="308">
        <f t="shared" si="5"/>
        <v>3494.0260653802952</v>
      </c>
      <c r="F35" s="133" t="s">
        <v>54</v>
      </c>
      <c r="G35" s="133">
        <v>0.99989174889028298</v>
      </c>
      <c r="H35" s="133" t="s">
        <v>60</v>
      </c>
      <c r="I35" s="133">
        <v>4</v>
      </c>
      <c r="J35" s="133">
        <v>150943645.72447836</v>
      </c>
      <c r="K35" s="133"/>
      <c r="L35" s="133"/>
      <c r="M35" s="133"/>
      <c r="N35" s="137"/>
      <c r="O35" s="137"/>
      <c r="P35" s="137"/>
      <c r="Q35" s="137"/>
      <c r="R35" s="137"/>
      <c r="S35" s="137"/>
      <c r="T35" s="137"/>
      <c r="U35" s="137"/>
      <c r="V35" s="137"/>
      <c r="W35" s="137"/>
    </row>
    <row r="36" spans="1:25" x14ac:dyDescent="0.2">
      <c r="A36" s="109">
        <v>43888</v>
      </c>
      <c r="B36" s="110">
        <v>2</v>
      </c>
      <c r="C36" s="135">
        <v>0.1</v>
      </c>
      <c r="D36" s="224">
        <v>7792.6249374837498</v>
      </c>
      <c r="E36" s="308">
        <f t="shared" si="5"/>
        <v>7389.6192464907945</v>
      </c>
      <c r="F36" s="133" t="s">
        <v>55</v>
      </c>
      <c r="G36" s="133">
        <v>63.913647123330961</v>
      </c>
      <c r="H36" s="137"/>
      <c r="I36" s="137"/>
      <c r="J36" s="137"/>
      <c r="K36" s="137"/>
      <c r="L36" s="137"/>
      <c r="M36" s="137"/>
      <c r="N36" s="137"/>
      <c r="O36" s="137"/>
      <c r="P36" s="137"/>
      <c r="Q36" s="137"/>
      <c r="R36" s="137"/>
      <c r="S36" s="137"/>
      <c r="T36" s="137"/>
      <c r="U36" s="137"/>
      <c r="V36" s="137"/>
      <c r="W36" s="137"/>
    </row>
    <row r="37" spans="1:25" x14ac:dyDescent="0.2">
      <c r="A37" s="123">
        <v>43888</v>
      </c>
      <c r="B37" s="124">
        <v>2</v>
      </c>
      <c r="C37" s="141">
        <v>0.2</v>
      </c>
      <c r="D37" s="225">
        <v>15794.979360911801</v>
      </c>
      <c r="E37" s="309">
        <f t="shared" si="5"/>
        <v>15391.973669918845</v>
      </c>
      <c r="F37" s="148" t="s">
        <v>56</v>
      </c>
      <c r="G37" s="148">
        <v>5</v>
      </c>
      <c r="H37" s="141"/>
      <c r="I37" s="141"/>
      <c r="J37" s="141"/>
      <c r="K37" s="141"/>
      <c r="L37" s="141"/>
      <c r="M37" s="141"/>
      <c r="N37" s="141"/>
      <c r="O37" s="141"/>
      <c r="P37" s="141"/>
      <c r="Q37" s="141"/>
      <c r="R37" s="141"/>
      <c r="S37" s="141"/>
      <c r="T37" s="141"/>
      <c r="U37" s="141"/>
      <c r="V37" s="141"/>
      <c r="W37" s="141"/>
      <c r="X37" s="141"/>
      <c r="Y37" s="141"/>
    </row>
    <row r="42" spans="1:25" x14ac:dyDescent="0.2">
      <c r="P42" s="145"/>
      <c r="Q42" s="145"/>
    </row>
    <row r="43" spans="1:25" x14ac:dyDescent="0.2">
      <c r="P43" s="133"/>
      <c r="Q43" s="133"/>
    </row>
    <row r="44" spans="1:25" x14ac:dyDescent="0.2">
      <c r="P44" s="133"/>
      <c r="Q44" s="133"/>
    </row>
    <row r="46" spans="1:25" x14ac:dyDescent="0.2">
      <c r="J46" s="136"/>
      <c r="K46" s="140"/>
      <c r="L46" s="136"/>
      <c r="V46" s="136"/>
      <c r="W46" s="140"/>
      <c r="X46" s="136"/>
    </row>
    <row r="47" spans="1:25" x14ac:dyDescent="0.2">
      <c r="J47" s="136"/>
      <c r="K47" s="140"/>
      <c r="L47" s="136"/>
      <c r="V47" s="136"/>
      <c r="W47" s="140"/>
      <c r="X47" s="136"/>
    </row>
    <row r="48" spans="1:25" x14ac:dyDescent="0.2">
      <c r="G48" s="137"/>
      <c r="H48" s="137"/>
      <c r="I48" s="137"/>
      <c r="J48" s="137"/>
      <c r="R48" s="137"/>
      <c r="S48" s="137"/>
      <c r="T48" s="137"/>
      <c r="U48" s="137"/>
      <c r="V48" s="137"/>
      <c r="W48" s="137"/>
      <c r="X48" s="137"/>
    </row>
    <row r="49" spans="7:24" x14ac:dyDescent="0.2">
      <c r="G49" s="137"/>
      <c r="H49" s="137"/>
      <c r="I49" s="137"/>
      <c r="J49" s="137"/>
      <c r="R49" s="137"/>
      <c r="S49" s="137"/>
      <c r="T49" s="137"/>
      <c r="U49" s="137"/>
      <c r="V49" s="137"/>
      <c r="W49" s="137"/>
      <c r="X49" s="137"/>
    </row>
    <row r="50" spans="7:24" x14ac:dyDescent="0.2">
      <c r="G50" s="145"/>
      <c r="H50" s="145"/>
      <c r="I50" s="145"/>
      <c r="J50" s="137"/>
      <c r="R50" s="137"/>
      <c r="S50" s="145"/>
      <c r="T50" s="145"/>
      <c r="U50" s="145"/>
      <c r="V50" s="137"/>
      <c r="W50" s="137"/>
      <c r="X50" s="137"/>
    </row>
    <row r="51" spans="7:24" x14ac:dyDescent="0.2">
      <c r="G51" s="133"/>
      <c r="H51" s="133"/>
      <c r="I51" s="133"/>
      <c r="J51" s="137"/>
      <c r="R51" s="137"/>
      <c r="S51" s="133"/>
      <c r="T51" s="133"/>
      <c r="U51" s="133"/>
      <c r="V51" s="137"/>
      <c r="W51" s="137"/>
      <c r="X51" s="137"/>
    </row>
    <row r="52" spans="7:24" x14ac:dyDescent="0.2">
      <c r="G52" s="133"/>
      <c r="H52" s="133"/>
      <c r="I52" s="133"/>
      <c r="J52" s="137"/>
      <c r="R52" s="137"/>
      <c r="S52" s="133"/>
      <c r="T52" s="133"/>
      <c r="U52" s="133"/>
      <c r="V52" s="137"/>
      <c r="W52" s="137"/>
      <c r="X52" s="137"/>
    </row>
    <row r="53" spans="7:24" x14ac:dyDescent="0.2">
      <c r="G53" s="133"/>
      <c r="H53" s="133"/>
      <c r="I53" s="133"/>
      <c r="J53" s="137"/>
      <c r="R53" s="137"/>
      <c r="S53" s="133"/>
      <c r="T53" s="133"/>
      <c r="U53" s="133"/>
      <c r="V53" s="137"/>
      <c r="W53" s="137"/>
      <c r="X53" s="137"/>
    </row>
    <row r="54" spans="7:24" x14ac:dyDescent="0.2">
      <c r="G54" s="133"/>
      <c r="H54" s="133"/>
      <c r="I54" s="133"/>
      <c r="J54" s="137"/>
      <c r="R54" s="137"/>
      <c r="S54" s="133"/>
      <c r="T54" s="133"/>
      <c r="U54" s="133"/>
      <c r="V54" s="137"/>
      <c r="W54" s="137"/>
      <c r="X54" s="137"/>
    </row>
    <row r="55" spans="7:24" x14ac:dyDescent="0.2">
      <c r="G55" s="133"/>
      <c r="H55" s="133"/>
      <c r="I55" s="133"/>
      <c r="J55" s="137"/>
      <c r="R55" s="137"/>
      <c r="S55" s="133"/>
      <c r="T55" s="133"/>
      <c r="U55" s="133"/>
      <c r="V55" s="137"/>
      <c r="W55" s="137"/>
      <c r="X55" s="137"/>
    </row>
    <row r="56" spans="7:24" x14ac:dyDescent="0.2">
      <c r="G56" s="137"/>
      <c r="H56" s="137"/>
      <c r="I56" s="137"/>
      <c r="J56" s="137"/>
      <c r="R56" s="137"/>
      <c r="S56" s="137"/>
      <c r="T56" s="137"/>
      <c r="U56" s="137"/>
      <c r="V56" s="137"/>
      <c r="W56" s="137"/>
      <c r="X56" s="137"/>
    </row>
    <row r="73" spans="7:24" x14ac:dyDescent="0.2">
      <c r="P73" s="145"/>
      <c r="Q73" s="145"/>
    </row>
    <row r="74" spans="7:24" x14ac:dyDescent="0.2">
      <c r="P74" s="133"/>
      <c r="Q74" s="133"/>
    </row>
    <row r="75" spans="7:24" x14ac:dyDescent="0.2">
      <c r="P75" s="133"/>
      <c r="Q75" s="133"/>
    </row>
    <row r="77" spans="7:24" x14ac:dyDescent="0.2">
      <c r="J77" s="136"/>
      <c r="K77" s="140"/>
      <c r="L77" s="136"/>
      <c r="V77" s="136"/>
      <c r="W77" s="140"/>
      <c r="X77" s="136"/>
    </row>
    <row r="78" spans="7:24" x14ac:dyDescent="0.2">
      <c r="G78" s="137"/>
      <c r="H78" s="137"/>
      <c r="I78" s="137"/>
      <c r="J78" s="144"/>
      <c r="K78" s="220"/>
      <c r="L78" s="144"/>
      <c r="M78" s="137"/>
      <c r="N78" s="137"/>
      <c r="O78" s="137"/>
      <c r="P78" s="137"/>
      <c r="Q78" s="137"/>
      <c r="R78" s="137"/>
      <c r="S78" s="137"/>
      <c r="T78" s="137"/>
      <c r="U78" s="137"/>
      <c r="V78" s="144"/>
      <c r="W78" s="220"/>
      <c r="X78" s="136"/>
    </row>
    <row r="79" spans="7:24" x14ac:dyDescent="0.2">
      <c r="G79" s="137"/>
      <c r="H79" s="137"/>
      <c r="I79" s="137"/>
      <c r="J79" s="137"/>
      <c r="K79" s="137"/>
      <c r="L79" s="137"/>
      <c r="M79" s="137"/>
      <c r="N79" s="137"/>
      <c r="O79" s="137"/>
      <c r="P79" s="137"/>
      <c r="Q79" s="137"/>
      <c r="R79" s="137"/>
      <c r="S79" s="137"/>
      <c r="T79" s="137"/>
      <c r="U79" s="137"/>
      <c r="V79" s="137"/>
      <c r="W79" s="137"/>
    </row>
    <row r="80" spans="7:24" x14ac:dyDescent="0.2">
      <c r="G80" s="137"/>
      <c r="H80" s="137"/>
      <c r="I80" s="137"/>
      <c r="J80" s="137"/>
      <c r="K80" s="137"/>
      <c r="L80" s="137"/>
      <c r="M80" s="137"/>
      <c r="N80" s="137"/>
      <c r="O80" s="137"/>
      <c r="P80" s="137"/>
      <c r="Q80" s="137"/>
      <c r="R80" s="137"/>
      <c r="S80" s="137"/>
      <c r="T80" s="137"/>
      <c r="U80" s="137"/>
      <c r="V80" s="137"/>
      <c r="W80" s="137"/>
    </row>
    <row r="81" spans="7:23" x14ac:dyDescent="0.2">
      <c r="G81" s="145"/>
      <c r="H81" s="145"/>
      <c r="I81" s="145"/>
      <c r="J81" s="137"/>
      <c r="K81" s="137"/>
      <c r="L81" s="137"/>
      <c r="M81" s="137"/>
      <c r="N81" s="137"/>
      <c r="O81" s="137"/>
      <c r="P81" s="137"/>
      <c r="Q81" s="137"/>
      <c r="R81" s="137"/>
      <c r="S81" s="145"/>
      <c r="T81" s="145"/>
      <c r="U81" s="145"/>
      <c r="V81" s="137"/>
      <c r="W81" s="137"/>
    </row>
    <row r="82" spans="7:23" x14ac:dyDescent="0.2">
      <c r="G82" s="133"/>
      <c r="H82" s="133"/>
      <c r="I82" s="133"/>
      <c r="J82" s="137"/>
      <c r="K82" s="137"/>
      <c r="L82" s="137"/>
      <c r="M82" s="137"/>
      <c r="N82" s="137"/>
      <c r="O82" s="137"/>
      <c r="P82" s="137"/>
      <c r="Q82" s="137"/>
      <c r="R82" s="137"/>
      <c r="S82" s="133"/>
      <c r="T82" s="133"/>
      <c r="U82" s="133"/>
      <c r="V82" s="137"/>
      <c r="W82" s="137"/>
    </row>
    <row r="83" spans="7:23" x14ac:dyDescent="0.2">
      <c r="G83" s="133"/>
      <c r="H83" s="133"/>
      <c r="I83" s="133"/>
      <c r="J83" s="137"/>
      <c r="K83" s="137"/>
      <c r="L83" s="137"/>
      <c r="M83" s="137"/>
      <c r="N83" s="137"/>
      <c r="O83" s="137"/>
      <c r="P83" s="137"/>
      <c r="Q83" s="137"/>
      <c r="R83" s="137"/>
      <c r="S83" s="133"/>
      <c r="T83" s="133"/>
      <c r="U83" s="133"/>
      <c r="V83" s="137"/>
      <c r="W83" s="137"/>
    </row>
    <row r="84" spans="7:23" x14ac:dyDescent="0.2">
      <c r="G84" s="133"/>
      <c r="H84" s="133"/>
      <c r="I84" s="133"/>
      <c r="J84" s="137"/>
      <c r="K84" s="137"/>
      <c r="L84" s="137"/>
      <c r="M84" s="137"/>
      <c r="N84" s="137"/>
      <c r="O84" s="137"/>
      <c r="P84" s="137"/>
      <c r="Q84" s="137"/>
      <c r="R84" s="137"/>
      <c r="S84" s="133"/>
      <c r="T84" s="133"/>
      <c r="U84" s="133"/>
      <c r="V84" s="137"/>
      <c r="W84" s="137"/>
    </row>
    <row r="85" spans="7:23" x14ac:dyDescent="0.2">
      <c r="G85" s="133"/>
      <c r="H85" s="133"/>
      <c r="I85" s="133"/>
      <c r="J85" s="137"/>
      <c r="K85" s="137"/>
      <c r="L85" s="137"/>
      <c r="M85" s="137"/>
      <c r="N85" s="137"/>
      <c r="O85" s="137"/>
      <c r="P85" s="137"/>
      <c r="Q85" s="137"/>
      <c r="R85" s="137"/>
      <c r="S85" s="133"/>
      <c r="T85" s="133"/>
      <c r="U85" s="133"/>
      <c r="V85" s="137"/>
      <c r="W85" s="137"/>
    </row>
    <row r="86" spans="7:23" x14ac:dyDescent="0.2">
      <c r="G86" s="133"/>
      <c r="H86" s="133"/>
      <c r="I86" s="133"/>
      <c r="J86" s="137"/>
      <c r="K86" s="137"/>
      <c r="L86" s="137"/>
      <c r="M86" s="137"/>
      <c r="N86" s="137"/>
      <c r="O86" s="137"/>
      <c r="P86" s="137"/>
      <c r="Q86" s="137"/>
      <c r="R86" s="137"/>
      <c r="S86" s="133"/>
      <c r="T86" s="133"/>
      <c r="U86" s="133"/>
      <c r="V86" s="137"/>
      <c r="W86" s="137"/>
    </row>
    <row r="87" spans="7:23" x14ac:dyDescent="0.2">
      <c r="G87" s="137"/>
      <c r="H87" s="137"/>
      <c r="I87" s="137"/>
      <c r="J87" s="137"/>
      <c r="K87" s="137"/>
      <c r="L87" s="137"/>
      <c r="M87" s="137"/>
      <c r="N87" s="137"/>
      <c r="O87" s="137"/>
      <c r="P87" s="137"/>
      <c r="Q87" s="137"/>
      <c r="R87" s="137"/>
      <c r="S87" s="137"/>
      <c r="T87" s="137"/>
      <c r="U87" s="137"/>
      <c r="V87" s="137"/>
      <c r="W87" s="137"/>
    </row>
    <row r="88" spans="7:23" x14ac:dyDescent="0.2">
      <c r="G88" s="137"/>
      <c r="H88" s="137"/>
      <c r="I88" s="137"/>
      <c r="J88" s="137"/>
      <c r="K88" s="137"/>
      <c r="L88" s="137"/>
      <c r="M88" s="137"/>
      <c r="N88" s="137"/>
      <c r="O88" s="137"/>
      <c r="P88" s="137"/>
      <c r="Q88" s="137"/>
      <c r="R88" s="137"/>
      <c r="S88" s="137"/>
      <c r="T88" s="137"/>
      <c r="U88" s="137"/>
      <c r="V88" s="137"/>
      <c r="W88" s="137"/>
    </row>
    <row r="89" spans="7:23" x14ac:dyDescent="0.2">
      <c r="G89" s="137"/>
      <c r="H89" s="137"/>
      <c r="I89" s="137"/>
      <c r="J89" s="137"/>
      <c r="K89" s="137"/>
      <c r="L89" s="137"/>
      <c r="M89" s="137"/>
      <c r="N89" s="137"/>
      <c r="O89" s="137"/>
      <c r="P89" s="137"/>
      <c r="Q89" s="137"/>
      <c r="R89" s="137"/>
      <c r="S89" s="137"/>
      <c r="T89" s="137"/>
      <c r="U89" s="137"/>
      <c r="V89" s="137"/>
      <c r="W89" s="137"/>
    </row>
    <row r="90" spans="7:23" x14ac:dyDescent="0.2">
      <c r="G90" s="137"/>
      <c r="H90" s="137"/>
      <c r="I90" s="137"/>
      <c r="J90" s="137"/>
      <c r="K90" s="137"/>
      <c r="L90" s="137"/>
      <c r="M90" s="137"/>
      <c r="N90" s="137"/>
      <c r="O90" s="137"/>
      <c r="P90" s="137"/>
      <c r="Q90" s="137"/>
      <c r="R90" s="137"/>
      <c r="S90" s="137"/>
      <c r="T90" s="137"/>
      <c r="U90" s="137"/>
      <c r="V90" s="137"/>
      <c r="W90" s="137"/>
    </row>
    <row r="91" spans="7:23" x14ac:dyDescent="0.2">
      <c r="G91" s="137"/>
      <c r="H91" s="137"/>
      <c r="I91" s="137"/>
      <c r="J91" s="137"/>
      <c r="K91" s="137"/>
      <c r="L91" s="137"/>
      <c r="M91" s="137"/>
      <c r="N91" s="137"/>
      <c r="O91" s="137"/>
      <c r="P91" s="137"/>
      <c r="Q91" s="137"/>
      <c r="R91" s="137"/>
      <c r="S91" s="137"/>
      <c r="T91" s="137"/>
      <c r="U91" s="137"/>
      <c r="V91" s="137"/>
      <c r="W91" s="137"/>
    </row>
    <row r="92" spans="7:23" x14ac:dyDescent="0.2">
      <c r="G92" s="137"/>
      <c r="H92" s="137"/>
      <c r="I92" s="137"/>
      <c r="J92" s="137"/>
      <c r="K92" s="137"/>
      <c r="L92" s="137"/>
      <c r="M92" s="137"/>
      <c r="N92" s="137"/>
      <c r="O92" s="137"/>
      <c r="P92" s="137"/>
      <c r="Q92" s="137"/>
      <c r="R92" s="137"/>
      <c r="S92" s="137"/>
      <c r="T92" s="137"/>
      <c r="U92" s="137"/>
      <c r="V92" s="137"/>
      <c r="W92" s="137"/>
    </row>
    <row r="93" spans="7:23" x14ac:dyDescent="0.2">
      <c r="G93" s="137"/>
      <c r="H93" s="137"/>
      <c r="I93" s="137"/>
      <c r="J93" s="137"/>
      <c r="K93" s="137"/>
      <c r="L93" s="137"/>
      <c r="M93" s="137"/>
      <c r="N93" s="137"/>
      <c r="O93" s="137"/>
      <c r="P93" s="137"/>
      <c r="Q93" s="137"/>
      <c r="R93" s="137"/>
      <c r="S93" s="137"/>
      <c r="T93" s="137"/>
      <c r="U93" s="137"/>
      <c r="V93" s="137"/>
      <c r="W93" s="137"/>
    </row>
    <row r="94" spans="7:23" x14ac:dyDescent="0.2">
      <c r="G94" s="137"/>
      <c r="H94" s="137"/>
      <c r="I94" s="137"/>
      <c r="J94" s="137"/>
      <c r="K94" s="137"/>
      <c r="L94" s="137"/>
      <c r="M94" s="137"/>
      <c r="N94" s="137"/>
      <c r="O94" s="137"/>
      <c r="P94" s="137"/>
      <c r="Q94" s="137"/>
      <c r="R94" s="137"/>
      <c r="S94" s="137"/>
      <c r="T94" s="137"/>
      <c r="U94" s="137"/>
      <c r="V94" s="137"/>
      <c r="W94" s="137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B6293-FB6F-124B-BA0C-E63377CA3A76}">
  <dimension ref="A1:AF90"/>
  <sheetViews>
    <sheetView topLeftCell="D1" workbookViewId="0">
      <selection activeCell="D1" sqref="A1:XFD1"/>
    </sheetView>
  </sheetViews>
  <sheetFormatPr baseColWidth="10" defaultRowHeight="16" x14ac:dyDescent="0.2"/>
  <cols>
    <col min="1" max="1" width="13.33203125" customWidth="1"/>
    <col min="9" max="9" width="6" customWidth="1"/>
    <col min="13" max="13" width="8.5" customWidth="1"/>
    <col min="14" max="14" width="9.1640625" customWidth="1"/>
    <col min="15" max="15" width="8.83203125" customWidth="1"/>
    <col min="16" max="16" width="7.83203125" customWidth="1"/>
    <col min="17" max="17" width="7.33203125" customWidth="1"/>
    <col min="18" max="18" width="11" bestFit="1" customWidth="1"/>
    <col min="19" max="19" width="7.5" customWidth="1"/>
    <col min="20" max="20" width="9" customWidth="1"/>
    <col min="21" max="23" width="11.6640625" bestFit="1" customWidth="1"/>
    <col min="28" max="29" width="11" bestFit="1" customWidth="1"/>
    <col min="30" max="30" width="11.6640625" bestFit="1" customWidth="1"/>
    <col min="31" max="31" width="11" bestFit="1" customWidth="1"/>
  </cols>
  <sheetData>
    <row r="1" spans="1:32" ht="35" thickBot="1" x14ac:dyDescent="0.25">
      <c r="A1" s="51" t="s">
        <v>2</v>
      </c>
      <c r="B1" s="52" t="s">
        <v>3</v>
      </c>
      <c r="C1" s="52" t="s">
        <v>4</v>
      </c>
      <c r="D1" s="53" t="s">
        <v>253</v>
      </c>
      <c r="E1" s="52" t="s">
        <v>254</v>
      </c>
      <c r="F1" t="s">
        <v>50</v>
      </c>
      <c r="H1" t="s">
        <v>57</v>
      </c>
      <c r="AB1" s="63"/>
      <c r="AC1" s="63"/>
      <c r="AD1" s="63"/>
      <c r="AE1" s="63"/>
      <c r="AF1" s="63"/>
    </row>
    <row r="2" spans="1:32" x14ac:dyDescent="0.2">
      <c r="A2" s="109">
        <v>43838</v>
      </c>
      <c r="B2" s="110">
        <v>1</v>
      </c>
      <c r="C2" s="135">
        <v>0</v>
      </c>
      <c r="D2" s="294">
        <v>183.25118348894799</v>
      </c>
      <c r="E2" s="116">
        <f>D2-$D$2</f>
        <v>0</v>
      </c>
      <c r="F2" s="210" t="s">
        <v>51</v>
      </c>
      <c r="G2" s="210"/>
      <c r="H2" s="211"/>
      <c r="I2" s="211" t="s">
        <v>62</v>
      </c>
      <c r="J2" s="211" t="s">
        <v>63</v>
      </c>
      <c r="K2" s="211" t="s">
        <v>64</v>
      </c>
      <c r="L2" s="211" t="s">
        <v>65</v>
      </c>
      <c r="M2" s="211" t="s">
        <v>66</v>
      </c>
      <c r="N2" s="211"/>
      <c r="O2" s="211" t="s">
        <v>67</v>
      </c>
      <c r="P2" s="211" t="s">
        <v>270</v>
      </c>
      <c r="Q2" s="211" t="s">
        <v>271</v>
      </c>
      <c r="R2" s="211" t="s">
        <v>68</v>
      </c>
      <c r="S2" s="211" t="s">
        <v>69</v>
      </c>
      <c r="T2" s="211" t="s">
        <v>70</v>
      </c>
      <c r="U2" s="211" t="s">
        <v>71</v>
      </c>
      <c r="V2" s="211" t="s">
        <v>72</v>
      </c>
      <c r="W2" s="211" t="s">
        <v>73</v>
      </c>
      <c r="X2" s="178" t="s">
        <v>272</v>
      </c>
      <c r="Y2" s="178" t="s">
        <v>273</v>
      </c>
      <c r="Z2" s="135"/>
      <c r="AA2" s="135"/>
      <c r="AB2" s="300"/>
      <c r="AC2" s="300"/>
      <c r="AD2" s="12"/>
      <c r="AE2" s="12"/>
      <c r="AF2" s="12"/>
    </row>
    <row r="3" spans="1:32" x14ac:dyDescent="0.2">
      <c r="A3" s="109">
        <v>43838</v>
      </c>
      <c r="B3" s="110">
        <v>1</v>
      </c>
      <c r="C3" s="135">
        <v>0.25</v>
      </c>
      <c r="D3" s="294">
        <v>839.27467513987995</v>
      </c>
      <c r="E3" s="116">
        <f t="shared" ref="E3:E7" si="0">D3-$D$2</f>
        <v>656.02349165093199</v>
      </c>
      <c r="F3" s="133" t="s">
        <v>52</v>
      </c>
      <c r="G3" s="133">
        <v>0.9999786414873455</v>
      </c>
      <c r="H3" s="133" t="s">
        <v>58</v>
      </c>
      <c r="I3" s="133">
        <v>1</v>
      </c>
      <c r="J3" s="133">
        <v>110898037.66183512</v>
      </c>
      <c r="K3" s="133">
        <v>110898037.66183512</v>
      </c>
      <c r="L3" s="133">
        <v>70227.359356927511</v>
      </c>
      <c r="M3" s="133">
        <v>1.1849198518712251E-7</v>
      </c>
      <c r="N3" s="133" t="s">
        <v>61</v>
      </c>
      <c r="O3" s="134">
        <v>-59.967820160195515</v>
      </c>
      <c r="P3" s="134">
        <v>26.343473758767072</v>
      </c>
      <c r="Q3" s="134">
        <f>P3*SQRT(G7)</f>
        <v>58.905798088085071</v>
      </c>
      <c r="R3" s="134">
        <v>-2.276382405347674</v>
      </c>
      <c r="S3" s="134">
        <v>0.10729207101514769</v>
      </c>
      <c r="T3" s="134">
        <v>-143.80451089212212</v>
      </c>
      <c r="U3" s="134">
        <v>23.868870571731094</v>
      </c>
      <c r="V3" s="134">
        <v>-143.80451089212212</v>
      </c>
      <c r="W3" s="134">
        <v>23.868870571731094</v>
      </c>
      <c r="X3" s="162">
        <f>3.3*Q3/O4</f>
        <v>7.1670216110013826E-2</v>
      </c>
      <c r="Y3" s="162">
        <f>10*Q3/O4</f>
        <v>0.21718247306064795</v>
      </c>
      <c r="Z3" s="135"/>
      <c r="AA3" s="135"/>
      <c r="AB3" s="300"/>
      <c r="AC3" s="300"/>
      <c r="AD3" s="12"/>
      <c r="AE3" s="12"/>
      <c r="AF3" s="12"/>
    </row>
    <row r="4" spans="1:32" x14ac:dyDescent="0.2">
      <c r="A4" s="109">
        <v>43838</v>
      </c>
      <c r="B4" s="110">
        <v>1</v>
      </c>
      <c r="C4" s="135">
        <v>0.5</v>
      </c>
      <c r="D4" s="294">
        <v>1488.8275804140101</v>
      </c>
      <c r="E4" s="116">
        <f t="shared" si="0"/>
        <v>1305.576396925062</v>
      </c>
      <c r="F4" s="133" t="s">
        <v>53</v>
      </c>
      <c r="G4" s="133">
        <v>0.99995728343087709</v>
      </c>
      <c r="H4" s="133" t="s">
        <v>59</v>
      </c>
      <c r="I4" s="133">
        <v>3</v>
      </c>
      <c r="J4" s="133">
        <v>4737.3860562605223</v>
      </c>
      <c r="K4" s="133">
        <v>1579.1286854201742</v>
      </c>
      <c r="L4" s="133"/>
      <c r="M4" s="133"/>
      <c r="N4" s="133" t="s">
        <v>74</v>
      </c>
      <c r="O4" s="134">
        <v>2712.2721855937102</v>
      </c>
      <c r="P4" s="134">
        <v>10.234817450908016</v>
      </c>
      <c r="Q4" s="134"/>
      <c r="R4" s="134">
        <v>265.00445157945461</v>
      </c>
      <c r="S4" s="134">
        <v>1.1849198518712251E-7</v>
      </c>
      <c r="T4" s="134">
        <v>2679.7004286118149</v>
      </c>
      <c r="U4" s="134">
        <v>2744.8439425756055</v>
      </c>
      <c r="V4" s="134">
        <v>2679.7004286118149</v>
      </c>
      <c r="W4" s="134">
        <v>2744.8439425756055</v>
      </c>
      <c r="X4" s="135"/>
      <c r="Y4" s="135"/>
      <c r="Z4" s="135"/>
      <c r="AA4" s="135"/>
      <c r="AB4" s="300"/>
      <c r="AC4" s="300"/>
      <c r="AD4" s="12"/>
      <c r="AE4" s="12"/>
      <c r="AF4" s="12"/>
    </row>
    <row r="5" spans="1:32" x14ac:dyDescent="0.2">
      <c r="A5" s="109">
        <v>43838</v>
      </c>
      <c r="B5" s="110">
        <v>1</v>
      </c>
      <c r="C5" s="135">
        <v>1.25</v>
      </c>
      <c r="D5" s="294">
        <v>3479.67386205298</v>
      </c>
      <c r="E5" s="116">
        <f t="shared" si="0"/>
        <v>3296.4226785640321</v>
      </c>
      <c r="F5" s="133" t="s">
        <v>54</v>
      </c>
      <c r="G5" s="133">
        <v>0.99994304457450278</v>
      </c>
      <c r="H5" s="133" t="s">
        <v>60</v>
      </c>
      <c r="I5" s="133">
        <v>4</v>
      </c>
      <c r="J5" s="133">
        <v>110902775.04789138</v>
      </c>
      <c r="K5" s="133"/>
      <c r="L5" s="133"/>
      <c r="M5" s="133"/>
      <c r="N5" s="137"/>
      <c r="O5" s="138"/>
      <c r="P5" s="138"/>
      <c r="Q5" s="138"/>
      <c r="R5" s="138"/>
      <c r="S5" s="138"/>
      <c r="T5" s="138"/>
      <c r="U5" s="138"/>
      <c r="V5" s="138"/>
      <c r="W5" s="138"/>
      <c r="X5" s="135"/>
      <c r="Y5" s="135"/>
      <c r="Z5" s="135"/>
      <c r="AA5" s="135"/>
      <c r="AB5" s="300"/>
      <c r="AC5" s="300"/>
      <c r="AD5" s="12"/>
      <c r="AE5" s="12"/>
      <c r="AF5" s="12"/>
    </row>
    <row r="6" spans="1:32" x14ac:dyDescent="0.2">
      <c r="A6" s="109">
        <v>43838</v>
      </c>
      <c r="B6" s="110">
        <v>1</v>
      </c>
      <c r="C6" s="135">
        <v>2.5</v>
      </c>
      <c r="D6" s="294">
        <v>6865.8995992116397</v>
      </c>
      <c r="E6" s="116">
        <f t="shared" si="0"/>
        <v>6682.6484157226914</v>
      </c>
      <c r="F6" s="133" t="s">
        <v>55</v>
      </c>
      <c r="G6" s="133">
        <v>39.738252168662051</v>
      </c>
      <c r="H6" s="137"/>
      <c r="I6" s="137"/>
      <c r="J6" s="137"/>
      <c r="K6" s="137"/>
      <c r="L6" s="137"/>
      <c r="M6" s="137"/>
      <c r="N6" s="137"/>
      <c r="O6" s="138"/>
      <c r="P6" s="138"/>
      <c r="Q6" s="138"/>
      <c r="R6" s="138"/>
      <c r="S6" s="138"/>
      <c r="T6" s="138"/>
      <c r="U6" s="138"/>
      <c r="V6" s="138"/>
      <c r="W6" s="138"/>
      <c r="X6" s="135"/>
      <c r="Y6" s="135"/>
      <c r="Z6" s="135"/>
      <c r="AA6" s="135"/>
      <c r="AB6" s="300"/>
      <c r="AC6" s="300"/>
      <c r="AD6" s="12"/>
      <c r="AE6" s="12"/>
      <c r="AF6" s="12"/>
    </row>
    <row r="7" spans="1:32" x14ac:dyDescent="0.2">
      <c r="A7" s="123">
        <v>43838</v>
      </c>
      <c r="B7" s="124">
        <v>1</v>
      </c>
      <c r="C7" s="141">
        <v>5</v>
      </c>
      <c r="D7" s="295">
        <v>13709.326862965499</v>
      </c>
      <c r="E7" s="126">
        <f t="shared" si="0"/>
        <v>13526.075679476551</v>
      </c>
      <c r="F7" s="148" t="s">
        <v>56</v>
      </c>
      <c r="G7" s="148">
        <v>5</v>
      </c>
      <c r="H7" s="141"/>
      <c r="I7" s="141"/>
      <c r="J7" s="141"/>
      <c r="K7" s="141"/>
      <c r="L7" s="141"/>
      <c r="M7" s="141"/>
      <c r="N7" s="141"/>
      <c r="O7" s="142"/>
      <c r="P7" s="142"/>
      <c r="Q7" s="142"/>
      <c r="R7" s="142"/>
      <c r="S7" s="142"/>
      <c r="T7" s="142"/>
      <c r="U7" s="142"/>
      <c r="V7" s="142"/>
      <c r="W7" s="142"/>
      <c r="X7" s="141"/>
      <c r="Y7" s="141"/>
      <c r="Z7" s="135"/>
      <c r="AA7" s="135"/>
      <c r="AB7" s="300"/>
      <c r="AC7" s="300"/>
      <c r="AD7" s="12"/>
      <c r="AE7" s="12"/>
      <c r="AF7" s="12"/>
    </row>
    <row r="8" spans="1:32" x14ac:dyDescent="0.2">
      <c r="A8" s="109">
        <v>43838</v>
      </c>
      <c r="B8" s="110">
        <v>2</v>
      </c>
      <c r="C8" s="135">
        <v>0</v>
      </c>
      <c r="D8" s="294">
        <v>180.501142932254</v>
      </c>
      <c r="E8" s="116">
        <f>D8-$D$8</f>
        <v>0</v>
      </c>
      <c r="F8" s="213" t="s">
        <v>51</v>
      </c>
      <c r="G8" s="213"/>
      <c r="H8" s="146"/>
      <c r="I8" s="146" t="s">
        <v>62</v>
      </c>
      <c r="J8" s="146" t="s">
        <v>63</v>
      </c>
      <c r="K8" s="146" t="s">
        <v>64</v>
      </c>
      <c r="L8" s="146" t="s">
        <v>65</v>
      </c>
      <c r="M8" s="146" t="s">
        <v>66</v>
      </c>
      <c r="N8" s="146"/>
      <c r="O8" s="215" t="s">
        <v>67</v>
      </c>
      <c r="P8" s="215" t="s">
        <v>270</v>
      </c>
      <c r="Q8" s="215" t="s">
        <v>271</v>
      </c>
      <c r="R8" s="215" t="s">
        <v>68</v>
      </c>
      <c r="S8" s="215" t="s">
        <v>69</v>
      </c>
      <c r="T8" s="215" t="s">
        <v>70</v>
      </c>
      <c r="U8" s="215" t="s">
        <v>71</v>
      </c>
      <c r="V8" s="215" t="s">
        <v>72</v>
      </c>
      <c r="W8" s="215" t="s">
        <v>73</v>
      </c>
      <c r="X8" s="135"/>
      <c r="Y8" s="135"/>
      <c r="Z8" s="135"/>
      <c r="AA8" s="135"/>
      <c r="AB8" s="135"/>
      <c r="AC8" s="135"/>
    </row>
    <row r="9" spans="1:32" x14ac:dyDescent="0.2">
      <c r="A9" s="109">
        <v>43838</v>
      </c>
      <c r="B9" s="110">
        <v>2</v>
      </c>
      <c r="C9" s="135">
        <v>0.25</v>
      </c>
      <c r="D9" s="294">
        <v>758.27013102089802</v>
      </c>
      <c r="E9" s="116">
        <f t="shared" ref="E9:E13" si="1">D9-$D$8</f>
        <v>577.76898808864405</v>
      </c>
      <c r="F9" s="133" t="s">
        <v>52</v>
      </c>
      <c r="G9" s="133">
        <v>0.99988640714714405</v>
      </c>
      <c r="H9" s="133" t="s">
        <v>58</v>
      </c>
      <c r="I9" s="133">
        <v>1</v>
      </c>
      <c r="J9" s="133">
        <v>80751915.465405837</v>
      </c>
      <c r="K9" s="133">
        <v>80751915.465405837</v>
      </c>
      <c r="L9" s="133">
        <v>13202.806190830644</v>
      </c>
      <c r="M9" s="133">
        <v>1.4532922837601479E-6</v>
      </c>
      <c r="N9" s="133" t="s">
        <v>61</v>
      </c>
      <c r="O9" s="134">
        <v>-44.520706990761028</v>
      </c>
      <c r="P9" s="134">
        <v>51.845082894084584</v>
      </c>
      <c r="Q9" s="134">
        <f>P9*SQRT(G13)</f>
        <v>115.92912965028466</v>
      </c>
      <c r="R9" s="134">
        <v>-0.85872573647366557</v>
      </c>
      <c r="S9" s="134">
        <v>0.45363069592691835</v>
      </c>
      <c r="T9" s="134">
        <v>-209.51489949416813</v>
      </c>
      <c r="U9" s="134">
        <v>120.47348551264608</v>
      </c>
      <c r="V9" s="134">
        <v>-209.51489949416813</v>
      </c>
      <c r="W9" s="134">
        <v>120.47348551264608</v>
      </c>
      <c r="X9" s="162">
        <f>3.3*Q9/O10</f>
        <v>0.16529463555381058</v>
      </c>
      <c r="Y9" s="162">
        <f>10*Q9/O10</f>
        <v>0.50089283501154724</v>
      </c>
      <c r="Z9" s="135"/>
      <c r="AA9" s="135"/>
      <c r="AB9" s="135"/>
      <c r="AC9" s="135"/>
    </row>
    <row r="10" spans="1:32" x14ac:dyDescent="0.2">
      <c r="A10" s="109">
        <v>43838</v>
      </c>
      <c r="B10" s="110">
        <v>2</v>
      </c>
      <c r="C10" s="135">
        <v>0.5</v>
      </c>
      <c r="D10" s="294">
        <v>1284.80779012889</v>
      </c>
      <c r="E10" s="116">
        <f t="shared" si="1"/>
        <v>1104.306647196636</v>
      </c>
      <c r="F10" s="133" t="s">
        <v>53</v>
      </c>
      <c r="G10" s="133">
        <v>0.99977282719762439</v>
      </c>
      <c r="H10" s="133" t="s">
        <v>59</v>
      </c>
      <c r="I10" s="133">
        <v>3</v>
      </c>
      <c r="J10" s="133">
        <v>18348.807283444352</v>
      </c>
      <c r="K10" s="133">
        <v>6116.2690944814503</v>
      </c>
      <c r="L10" s="133"/>
      <c r="M10" s="133"/>
      <c r="N10" s="133" t="s">
        <v>74</v>
      </c>
      <c r="O10" s="134">
        <v>2314.4497494681095</v>
      </c>
      <c r="P10" s="134">
        <v>20.142558419105917</v>
      </c>
      <c r="Q10" s="134"/>
      <c r="R10" s="134">
        <v>114.90346465982064</v>
      </c>
      <c r="S10" s="134">
        <v>1.4532922837601479E-6</v>
      </c>
      <c r="T10" s="134">
        <v>2250.3471388482644</v>
      </c>
      <c r="U10" s="134">
        <v>2378.5523600879546</v>
      </c>
      <c r="V10" s="134">
        <v>2250.3471388482644</v>
      </c>
      <c r="W10" s="134">
        <v>2378.5523600879546</v>
      </c>
      <c r="X10" s="137"/>
      <c r="Y10" s="135"/>
      <c r="Z10" s="135"/>
      <c r="AA10" s="135"/>
      <c r="AB10" s="135"/>
      <c r="AC10" s="135"/>
    </row>
    <row r="11" spans="1:32" x14ac:dyDescent="0.2">
      <c r="A11" s="109">
        <v>43838</v>
      </c>
      <c r="B11" s="110">
        <v>2</v>
      </c>
      <c r="C11" s="135">
        <v>1.25</v>
      </c>
      <c r="D11" s="294">
        <v>3060.0779366319298</v>
      </c>
      <c r="E11" s="116">
        <f t="shared" si="1"/>
        <v>2879.5767936996758</v>
      </c>
      <c r="F11" s="133" t="s">
        <v>54</v>
      </c>
      <c r="G11" s="133">
        <v>0.99969710293016589</v>
      </c>
      <c r="H11" s="133" t="s">
        <v>60</v>
      </c>
      <c r="I11" s="133">
        <v>4</v>
      </c>
      <c r="J11" s="133">
        <v>80770264.272689283</v>
      </c>
      <c r="K11" s="133"/>
      <c r="L11" s="133"/>
      <c r="M11" s="133"/>
      <c r="N11" s="137"/>
      <c r="O11" s="138"/>
      <c r="P11" s="138"/>
      <c r="Q11" s="138"/>
      <c r="R11" s="138"/>
      <c r="S11" s="138"/>
      <c r="T11" s="138"/>
      <c r="U11" s="138"/>
      <c r="V11" s="138"/>
      <c r="W11" s="138"/>
      <c r="X11" s="137"/>
      <c r="Y11" s="135"/>
      <c r="Z11" s="135"/>
      <c r="AA11" s="135"/>
      <c r="AB11" s="135"/>
      <c r="AC11" s="135"/>
    </row>
    <row r="12" spans="1:32" x14ac:dyDescent="0.2">
      <c r="A12" s="109">
        <v>43838</v>
      </c>
      <c r="B12" s="110">
        <v>2</v>
      </c>
      <c r="C12" s="135">
        <v>2.5</v>
      </c>
      <c r="D12" s="294">
        <v>5807.6805861592902</v>
      </c>
      <c r="E12" s="116">
        <f t="shared" si="1"/>
        <v>5627.1794432270362</v>
      </c>
      <c r="F12" s="133" t="s">
        <v>55</v>
      </c>
      <c r="G12" s="133">
        <v>78.206579611190321</v>
      </c>
      <c r="H12" s="135"/>
      <c r="I12" s="135"/>
      <c r="J12" s="135"/>
      <c r="K12" s="135"/>
      <c r="L12" s="135"/>
      <c r="M12" s="135"/>
      <c r="N12" s="135"/>
      <c r="O12" s="139"/>
      <c r="P12" s="139"/>
      <c r="Q12" s="139"/>
      <c r="R12" s="139"/>
      <c r="S12" s="139"/>
      <c r="T12" s="139"/>
      <c r="U12" s="139"/>
      <c r="V12" s="139"/>
      <c r="W12" s="139"/>
      <c r="X12" s="135"/>
      <c r="Y12" s="135"/>
      <c r="Z12" s="135"/>
      <c r="AA12" s="135"/>
      <c r="AB12" s="135"/>
      <c r="AC12" s="135"/>
    </row>
    <row r="13" spans="1:32" x14ac:dyDescent="0.2">
      <c r="A13" s="123">
        <v>43838</v>
      </c>
      <c r="B13" s="124">
        <v>2</v>
      </c>
      <c r="C13" s="141">
        <v>5</v>
      </c>
      <c r="D13" s="295">
        <v>11756.3383557135</v>
      </c>
      <c r="E13" s="126">
        <f t="shared" si="1"/>
        <v>11575.837212781245</v>
      </c>
      <c r="F13" s="148" t="s">
        <v>56</v>
      </c>
      <c r="G13" s="148">
        <v>5</v>
      </c>
      <c r="H13" s="141"/>
      <c r="I13" s="141"/>
      <c r="J13" s="141"/>
      <c r="K13" s="141"/>
      <c r="L13" s="141"/>
      <c r="M13" s="141"/>
      <c r="N13" s="141"/>
      <c r="O13" s="142"/>
      <c r="P13" s="142"/>
      <c r="Q13" s="142"/>
      <c r="R13" s="142"/>
      <c r="S13" s="142"/>
      <c r="T13" s="142"/>
      <c r="U13" s="142"/>
      <c r="V13" s="142"/>
      <c r="W13" s="142"/>
      <c r="X13" s="141"/>
      <c r="Y13" s="141"/>
      <c r="Z13" s="135"/>
      <c r="AA13" s="135"/>
      <c r="AB13" s="135"/>
      <c r="AC13" s="135"/>
    </row>
    <row r="14" spans="1:32" x14ac:dyDescent="0.2">
      <c r="A14" s="109">
        <v>43838</v>
      </c>
      <c r="B14" s="110">
        <v>3</v>
      </c>
      <c r="C14" s="135">
        <v>0</v>
      </c>
      <c r="D14" s="294">
        <v>190.50127577608399</v>
      </c>
      <c r="E14" s="116">
        <f>D14-$D$14</f>
        <v>0</v>
      </c>
      <c r="F14" s="213" t="s">
        <v>51</v>
      </c>
      <c r="G14" s="213"/>
      <c r="H14" s="146"/>
      <c r="I14" s="146" t="s">
        <v>62</v>
      </c>
      <c r="J14" s="146" t="s">
        <v>63</v>
      </c>
      <c r="K14" s="146" t="s">
        <v>64</v>
      </c>
      <c r="L14" s="146" t="s">
        <v>65</v>
      </c>
      <c r="M14" s="146" t="s">
        <v>66</v>
      </c>
      <c r="N14" s="146"/>
      <c r="O14" s="215" t="s">
        <v>67</v>
      </c>
      <c r="P14" s="215" t="s">
        <v>270</v>
      </c>
      <c r="Q14" s="215" t="s">
        <v>271</v>
      </c>
      <c r="R14" s="215" t="s">
        <v>68</v>
      </c>
      <c r="S14" s="215" t="s">
        <v>69</v>
      </c>
      <c r="T14" s="215" t="s">
        <v>70</v>
      </c>
      <c r="U14" s="215" t="s">
        <v>71</v>
      </c>
      <c r="V14" s="215" t="s">
        <v>72</v>
      </c>
      <c r="W14" s="215" t="s">
        <v>73</v>
      </c>
      <c r="X14" s="135"/>
      <c r="Y14" s="135"/>
      <c r="Z14" s="135"/>
      <c r="AA14" s="135"/>
      <c r="AB14" s="135"/>
      <c r="AC14" s="135"/>
    </row>
    <row r="15" spans="1:32" x14ac:dyDescent="0.2">
      <c r="A15" s="109">
        <v>43838</v>
      </c>
      <c r="B15" s="110">
        <v>3</v>
      </c>
      <c r="C15" s="135">
        <v>0.25</v>
      </c>
      <c r="D15" s="294">
        <v>691.01674246387404</v>
      </c>
      <c r="E15" s="116">
        <f t="shared" ref="E15:E19" si="2">D15-$D$14</f>
        <v>500.51546668779008</v>
      </c>
      <c r="F15" s="133" t="s">
        <v>52</v>
      </c>
      <c r="G15" s="133">
        <v>0.99997265961718873</v>
      </c>
      <c r="H15" s="133" t="s">
        <v>58</v>
      </c>
      <c r="I15" s="133">
        <v>1</v>
      </c>
      <c r="J15" s="133">
        <v>66071888.353447475</v>
      </c>
      <c r="K15" s="133">
        <v>66071888.353447475</v>
      </c>
      <c r="L15" s="133">
        <v>54861.648967160261</v>
      </c>
      <c r="M15" s="133">
        <v>1.7160856630073526E-7</v>
      </c>
      <c r="N15" s="133" t="s">
        <v>61</v>
      </c>
      <c r="O15" s="134">
        <v>-34.652416033062309</v>
      </c>
      <c r="P15" s="134">
        <v>23.005846196662546</v>
      </c>
      <c r="Q15" s="134">
        <f>P15*SQRT(G19)</f>
        <v>51.442635975642453</v>
      </c>
      <c r="R15" s="134">
        <v>-1.5062439232550084</v>
      </c>
      <c r="S15" s="134">
        <v>0.22909044503558709</v>
      </c>
      <c r="T15" s="134">
        <v>-107.8672862615563</v>
      </c>
      <c r="U15" s="134">
        <v>38.562454195431684</v>
      </c>
      <c r="V15" s="134">
        <v>-107.8672862615563</v>
      </c>
      <c r="W15" s="134">
        <v>38.562454195431684</v>
      </c>
      <c r="X15" s="162">
        <f>3.3*Q15/O16</f>
        <v>8.1088161691523636E-2</v>
      </c>
      <c r="Y15" s="162">
        <f>10*Q15/O16</f>
        <v>0.24572170209552618</v>
      </c>
      <c r="Z15" s="135"/>
      <c r="AA15" s="135"/>
      <c r="AB15" s="135"/>
      <c r="AC15" s="135"/>
    </row>
    <row r="16" spans="1:32" x14ac:dyDescent="0.2">
      <c r="A16" s="109">
        <v>43838</v>
      </c>
      <c r="B16" s="110">
        <v>3</v>
      </c>
      <c r="C16" s="135">
        <v>0.5</v>
      </c>
      <c r="D16" s="294">
        <v>1157.54692615862</v>
      </c>
      <c r="E16" s="116">
        <f t="shared" si="2"/>
        <v>967.045650382536</v>
      </c>
      <c r="F16" s="133" t="s">
        <v>53</v>
      </c>
      <c r="G16" s="133">
        <v>0.99994531998187397</v>
      </c>
      <c r="H16" s="133" t="s">
        <v>59</v>
      </c>
      <c r="I16" s="133">
        <v>3</v>
      </c>
      <c r="J16" s="133">
        <v>3613.0096122154973</v>
      </c>
      <c r="K16" s="133">
        <v>1204.3365374051657</v>
      </c>
      <c r="L16" s="133"/>
      <c r="M16" s="133"/>
      <c r="N16" s="133" t="s">
        <v>74</v>
      </c>
      <c r="O16" s="134">
        <v>2093.532461192367</v>
      </c>
      <c r="P16" s="134">
        <v>8.9381012649535876</v>
      </c>
      <c r="Q16" s="134"/>
      <c r="R16" s="134">
        <v>234.22563687000675</v>
      </c>
      <c r="S16" s="134">
        <v>1.7160856630073526E-7</v>
      </c>
      <c r="T16" s="134">
        <v>2065.0874338454637</v>
      </c>
      <c r="U16" s="134">
        <v>2121.9774885392703</v>
      </c>
      <c r="V16" s="134">
        <v>2065.0874338454637</v>
      </c>
      <c r="W16" s="134">
        <v>2121.9774885392703</v>
      </c>
      <c r="X16" s="135"/>
      <c r="Y16" s="135"/>
      <c r="Z16" s="135"/>
      <c r="AA16" s="135"/>
      <c r="AB16" s="135"/>
      <c r="AC16" s="135"/>
    </row>
    <row r="17" spans="1:29" x14ac:dyDescent="0.2">
      <c r="A17" s="109">
        <v>43838</v>
      </c>
      <c r="B17" s="110">
        <v>3</v>
      </c>
      <c r="C17" s="135">
        <v>1.25</v>
      </c>
      <c r="D17" s="294">
        <v>2810.0264391007399</v>
      </c>
      <c r="E17" s="116">
        <f t="shared" si="2"/>
        <v>2619.5251633246558</v>
      </c>
      <c r="F17" s="133" t="s">
        <v>54</v>
      </c>
      <c r="G17" s="133">
        <v>0.99992709330916529</v>
      </c>
      <c r="H17" s="133" t="s">
        <v>60</v>
      </c>
      <c r="I17" s="133">
        <v>4</v>
      </c>
      <c r="J17" s="133">
        <v>66075501.363059692</v>
      </c>
      <c r="K17" s="133"/>
      <c r="L17" s="133"/>
      <c r="M17" s="133"/>
      <c r="N17" s="137"/>
      <c r="O17" s="138"/>
      <c r="P17" s="138"/>
      <c r="Q17" s="138"/>
      <c r="R17" s="138"/>
      <c r="S17" s="138"/>
      <c r="T17" s="138"/>
      <c r="U17" s="138"/>
      <c r="V17" s="138"/>
      <c r="W17" s="138"/>
      <c r="X17" s="135"/>
      <c r="Y17" s="135"/>
      <c r="Z17" s="135"/>
      <c r="AA17" s="135"/>
      <c r="AB17" s="135"/>
      <c r="AC17" s="135"/>
    </row>
    <row r="18" spans="1:29" x14ac:dyDescent="0.2">
      <c r="A18" s="109">
        <v>43838</v>
      </c>
      <c r="B18" s="110">
        <v>3</v>
      </c>
      <c r="C18" s="135">
        <v>2.5</v>
      </c>
      <c r="D18" s="294">
        <v>5392.5186458448597</v>
      </c>
      <c r="E18" s="116">
        <f t="shared" si="2"/>
        <v>5202.0173700687756</v>
      </c>
      <c r="F18" s="133" t="s">
        <v>55</v>
      </c>
      <c r="G18" s="133">
        <v>34.703552230357708</v>
      </c>
      <c r="H18" s="135"/>
      <c r="I18" s="135"/>
      <c r="J18" s="136"/>
      <c r="K18" s="140"/>
      <c r="L18" s="136"/>
      <c r="M18" s="135"/>
      <c r="N18" s="135"/>
      <c r="O18" s="139"/>
      <c r="P18" s="139"/>
      <c r="Q18" s="139"/>
      <c r="R18" s="139"/>
      <c r="S18" s="139"/>
      <c r="T18" s="139"/>
      <c r="U18" s="329"/>
      <c r="V18" s="329"/>
      <c r="W18" s="329"/>
      <c r="X18" s="135"/>
      <c r="Y18" s="135"/>
      <c r="Z18" s="135"/>
      <c r="AA18" s="135"/>
      <c r="AB18" s="135"/>
      <c r="AC18" s="135"/>
    </row>
    <row r="19" spans="1:29" x14ac:dyDescent="0.2">
      <c r="A19" s="123">
        <v>43838</v>
      </c>
      <c r="B19" s="124">
        <v>3</v>
      </c>
      <c r="C19" s="141">
        <v>5</v>
      </c>
      <c r="D19" s="295">
        <v>10616.6939264745</v>
      </c>
      <c r="E19" s="126">
        <f t="shared" si="2"/>
        <v>10426.192650698416</v>
      </c>
      <c r="F19" s="148" t="s">
        <v>56</v>
      </c>
      <c r="G19" s="148">
        <v>5</v>
      </c>
      <c r="H19" s="141"/>
      <c r="I19" s="141"/>
      <c r="J19" s="143"/>
      <c r="K19" s="280"/>
      <c r="L19" s="143"/>
      <c r="M19" s="141"/>
      <c r="N19" s="141"/>
      <c r="O19" s="142"/>
      <c r="P19" s="142"/>
      <c r="Q19" s="142"/>
      <c r="R19" s="142"/>
      <c r="S19" s="142"/>
      <c r="T19" s="142"/>
      <c r="U19" s="222"/>
      <c r="V19" s="222"/>
      <c r="W19" s="222"/>
      <c r="X19" s="141"/>
      <c r="Y19" s="141"/>
      <c r="Z19" s="135"/>
      <c r="AA19" s="135"/>
      <c r="AB19" s="135"/>
      <c r="AC19" s="135"/>
    </row>
    <row r="20" spans="1:29" x14ac:dyDescent="0.2">
      <c r="A20" s="290">
        <v>43789</v>
      </c>
      <c r="B20" s="291">
        <v>1</v>
      </c>
      <c r="C20" s="135">
        <v>0</v>
      </c>
      <c r="D20" s="253">
        <v>68.750166206653603</v>
      </c>
      <c r="E20" s="116">
        <f>D20-$D$20</f>
        <v>0</v>
      </c>
      <c r="F20" s="213" t="s">
        <v>51</v>
      </c>
      <c r="G20" s="213"/>
      <c r="H20" s="146"/>
      <c r="I20" s="146" t="s">
        <v>62</v>
      </c>
      <c r="J20" s="146" t="s">
        <v>63</v>
      </c>
      <c r="K20" s="146" t="s">
        <v>64</v>
      </c>
      <c r="L20" s="146" t="s">
        <v>65</v>
      </c>
      <c r="M20" s="146" t="s">
        <v>66</v>
      </c>
      <c r="N20" s="146"/>
      <c r="O20" s="215" t="s">
        <v>67</v>
      </c>
      <c r="P20" s="215" t="s">
        <v>270</v>
      </c>
      <c r="Q20" s="215" t="s">
        <v>271</v>
      </c>
      <c r="R20" s="215" t="s">
        <v>68</v>
      </c>
      <c r="S20" s="215" t="s">
        <v>69</v>
      </c>
      <c r="T20" s="215" t="s">
        <v>70</v>
      </c>
      <c r="U20" s="215" t="s">
        <v>71</v>
      </c>
      <c r="V20" s="215" t="s">
        <v>72</v>
      </c>
      <c r="W20" s="215" t="s">
        <v>73</v>
      </c>
      <c r="X20" s="135"/>
      <c r="Y20" s="135"/>
      <c r="Z20" s="135"/>
      <c r="AA20" s="135"/>
      <c r="AB20" s="135"/>
      <c r="AC20" s="135"/>
    </row>
    <row r="21" spans="1:29" x14ac:dyDescent="0.2">
      <c r="A21" s="290">
        <v>43789</v>
      </c>
      <c r="B21" s="291">
        <v>1</v>
      </c>
      <c r="C21" s="135">
        <v>0.25</v>
      </c>
      <c r="D21" s="253">
        <v>467.00769293518601</v>
      </c>
      <c r="E21" s="116">
        <f t="shared" ref="E21:E25" si="3">D21-$D$20</f>
        <v>398.25752672853241</v>
      </c>
      <c r="F21" s="133" t="s">
        <v>52</v>
      </c>
      <c r="G21" s="133">
        <v>0.9999663625849825</v>
      </c>
      <c r="H21" s="133" t="s">
        <v>58</v>
      </c>
      <c r="I21" s="133">
        <v>1</v>
      </c>
      <c r="J21" s="133">
        <v>34192760.618195288</v>
      </c>
      <c r="K21" s="133">
        <v>34192760.618195288</v>
      </c>
      <c r="L21" s="133">
        <v>44590.950745124981</v>
      </c>
      <c r="M21" s="133">
        <v>2.3418851162023046E-7</v>
      </c>
      <c r="N21" s="133" t="s">
        <v>61</v>
      </c>
      <c r="O21" s="134">
        <v>24.15626698645292</v>
      </c>
      <c r="P21" s="134">
        <v>18.357265861098725</v>
      </c>
      <c r="Q21" s="134">
        <f>P21*SQRT(G25)</f>
        <v>41.048094346452963</v>
      </c>
      <c r="R21" s="134">
        <v>1.3158967772887673</v>
      </c>
      <c r="S21" s="134">
        <v>0.27972804254213535</v>
      </c>
      <c r="T21" s="134">
        <v>-34.264745928311484</v>
      </c>
      <c r="U21" s="134">
        <v>82.577279901217324</v>
      </c>
      <c r="V21" s="134">
        <v>-34.264745928311484</v>
      </c>
      <c r="W21" s="134">
        <v>82.577279901217324</v>
      </c>
      <c r="X21" s="162">
        <f>3.3*Q21/O22</f>
        <v>8.9943237772371273E-2</v>
      </c>
      <c r="Y21" s="162">
        <f>10*Q21/O22</f>
        <v>0.27255526597688268</v>
      </c>
      <c r="Z21" s="135"/>
      <c r="AA21" s="135"/>
      <c r="AB21" s="135"/>
      <c r="AC21" s="135"/>
    </row>
    <row r="22" spans="1:29" x14ac:dyDescent="0.2">
      <c r="A22" s="290">
        <v>43789</v>
      </c>
      <c r="B22" s="291">
        <v>1</v>
      </c>
      <c r="C22" s="135">
        <v>0.5</v>
      </c>
      <c r="D22" s="253">
        <v>824.02378754484596</v>
      </c>
      <c r="E22" s="116">
        <f t="shared" si="3"/>
        <v>755.27362133819236</v>
      </c>
      <c r="F22" s="133" t="s">
        <v>53</v>
      </c>
      <c r="G22" s="133">
        <v>0.99993272630144059</v>
      </c>
      <c r="H22" s="133" t="s">
        <v>59</v>
      </c>
      <c r="I22" s="133">
        <v>3</v>
      </c>
      <c r="J22" s="133">
        <v>2300.428229057226</v>
      </c>
      <c r="K22" s="133">
        <v>766.80940968574203</v>
      </c>
      <c r="L22" s="133"/>
      <c r="M22" s="133"/>
      <c r="N22" s="133" t="s">
        <v>74</v>
      </c>
      <c r="O22" s="134">
        <v>1506.0466433965191</v>
      </c>
      <c r="P22" s="134">
        <v>7.1320611209675375</v>
      </c>
      <c r="Q22" s="134"/>
      <c r="R22" s="134">
        <v>211.16569500069124</v>
      </c>
      <c r="S22" s="134">
        <v>2.3418851162023128E-7</v>
      </c>
      <c r="T22" s="134">
        <v>1483.3492418330384</v>
      </c>
      <c r="U22" s="134">
        <v>1528.7440449599999</v>
      </c>
      <c r="V22" s="134">
        <v>1483.3492418330384</v>
      </c>
      <c r="W22" s="134">
        <v>1528.7440449599999</v>
      </c>
      <c r="X22" s="135"/>
      <c r="Y22" s="135"/>
      <c r="Z22" s="135"/>
      <c r="AA22" s="135"/>
      <c r="AB22" s="135"/>
      <c r="AC22" s="135"/>
    </row>
    <row r="23" spans="1:29" x14ac:dyDescent="0.2">
      <c r="A23" s="290">
        <v>43789</v>
      </c>
      <c r="B23" s="291">
        <v>1</v>
      </c>
      <c r="C23" s="135">
        <v>1.25</v>
      </c>
      <c r="D23" s="253">
        <v>2015.1421873700299</v>
      </c>
      <c r="E23" s="116">
        <f t="shared" si="3"/>
        <v>1946.3920211633763</v>
      </c>
      <c r="F23" s="133" t="s">
        <v>54</v>
      </c>
      <c r="G23" s="133">
        <v>0.99991030173525408</v>
      </c>
      <c r="H23" s="133" t="s">
        <v>60</v>
      </c>
      <c r="I23" s="133">
        <v>4</v>
      </c>
      <c r="J23" s="133">
        <v>34195061.046424344</v>
      </c>
      <c r="K23" s="133"/>
      <c r="L23" s="133"/>
      <c r="M23" s="133"/>
      <c r="N23" s="137"/>
      <c r="O23" s="138"/>
      <c r="P23" s="138"/>
      <c r="Q23" s="138"/>
      <c r="R23" s="134"/>
      <c r="S23" s="134"/>
      <c r="T23" s="134"/>
      <c r="U23" s="138"/>
      <c r="V23" s="138"/>
      <c r="W23" s="138"/>
      <c r="X23" s="135"/>
      <c r="Y23" s="135"/>
      <c r="Z23" s="135"/>
      <c r="AA23" s="135"/>
      <c r="AB23" s="135"/>
      <c r="AC23" s="135"/>
    </row>
    <row r="24" spans="1:29" x14ac:dyDescent="0.2">
      <c r="A24" s="290">
        <v>43789</v>
      </c>
      <c r="B24" s="291">
        <v>1</v>
      </c>
      <c r="C24" s="135">
        <v>2.5</v>
      </c>
      <c r="D24" s="253">
        <v>3842.51737011462</v>
      </c>
      <c r="E24" s="116">
        <f t="shared" si="3"/>
        <v>3773.7672039079662</v>
      </c>
      <c r="F24" s="133" t="s">
        <v>55</v>
      </c>
      <c r="G24" s="133">
        <v>27.691323725776311</v>
      </c>
      <c r="H24" s="133"/>
      <c r="I24" s="133"/>
      <c r="J24" s="137"/>
      <c r="K24" s="137"/>
      <c r="L24" s="137"/>
      <c r="M24" s="137"/>
      <c r="N24" s="137"/>
      <c r="O24" s="138"/>
      <c r="P24" s="138"/>
      <c r="Q24" s="138"/>
      <c r="R24" s="134"/>
      <c r="S24" s="134"/>
      <c r="T24" s="134"/>
      <c r="U24" s="138"/>
      <c r="V24" s="138"/>
      <c r="W24" s="138"/>
      <c r="X24" s="135"/>
      <c r="Y24" s="135"/>
      <c r="Z24" s="135"/>
      <c r="AA24" s="135"/>
      <c r="AB24" s="135"/>
      <c r="AC24" s="135"/>
    </row>
    <row r="25" spans="1:29" x14ac:dyDescent="0.2">
      <c r="A25" s="292">
        <v>43789</v>
      </c>
      <c r="B25" s="293">
        <v>1</v>
      </c>
      <c r="C25" s="141">
        <v>5</v>
      </c>
      <c r="D25" s="254">
        <v>7623.2842402677798</v>
      </c>
      <c r="E25" s="126">
        <f t="shared" si="3"/>
        <v>7554.5340740611264</v>
      </c>
      <c r="F25" s="148" t="s">
        <v>56</v>
      </c>
      <c r="G25" s="148">
        <v>5</v>
      </c>
      <c r="H25" s="148"/>
      <c r="I25" s="148"/>
      <c r="J25" s="141"/>
      <c r="K25" s="141"/>
      <c r="L25" s="141"/>
      <c r="M25" s="141"/>
      <c r="N25" s="141"/>
      <c r="O25" s="142"/>
      <c r="P25" s="142"/>
      <c r="Q25" s="142"/>
      <c r="R25" s="314"/>
      <c r="S25" s="314"/>
      <c r="T25" s="314"/>
      <c r="U25" s="142"/>
      <c r="V25" s="142"/>
      <c r="W25" s="142"/>
      <c r="X25" s="141"/>
      <c r="Y25" s="141"/>
      <c r="Z25" s="135"/>
      <c r="AA25" s="135"/>
      <c r="AB25" s="135"/>
      <c r="AC25" s="135"/>
    </row>
    <row r="26" spans="1:29" x14ac:dyDescent="0.2">
      <c r="A26" s="109">
        <v>43888</v>
      </c>
      <c r="B26" s="110">
        <v>1</v>
      </c>
      <c r="C26" s="135">
        <v>0</v>
      </c>
      <c r="D26" s="253">
        <v>283.75281918177097</v>
      </c>
      <c r="E26" s="116">
        <f>D26-$D$26</f>
        <v>0</v>
      </c>
      <c r="F26" s="213" t="s">
        <v>51</v>
      </c>
      <c r="G26" s="213"/>
      <c r="H26" s="146"/>
      <c r="I26" s="146" t="s">
        <v>62</v>
      </c>
      <c r="J26" s="146" t="s">
        <v>63</v>
      </c>
      <c r="K26" s="146" t="s">
        <v>64</v>
      </c>
      <c r="L26" s="146" t="s">
        <v>65</v>
      </c>
      <c r="M26" s="146" t="s">
        <v>66</v>
      </c>
      <c r="N26" s="146"/>
      <c r="O26" s="215" t="s">
        <v>67</v>
      </c>
      <c r="P26" s="215" t="s">
        <v>270</v>
      </c>
      <c r="Q26" s="215" t="s">
        <v>271</v>
      </c>
      <c r="R26" s="215" t="s">
        <v>68</v>
      </c>
      <c r="S26" s="215" t="s">
        <v>69</v>
      </c>
      <c r="T26" s="215" t="s">
        <v>70</v>
      </c>
      <c r="U26" s="215" t="s">
        <v>71</v>
      </c>
      <c r="V26" s="215" t="s">
        <v>72</v>
      </c>
      <c r="W26" s="215" t="s">
        <v>73</v>
      </c>
      <c r="X26" s="135"/>
      <c r="Y26" s="135"/>
      <c r="Z26" s="135"/>
      <c r="AA26" s="135"/>
      <c r="AB26" s="135"/>
      <c r="AC26" s="135"/>
    </row>
    <row r="27" spans="1:29" x14ac:dyDescent="0.2">
      <c r="A27" s="109">
        <v>43888</v>
      </c>
      <c r="B27" s="110">
        <v>1</v>
      </c>
      <c r="C27" s="135">
        <v>0.25</v>
      </c>
      <c r="D27" s="253">
        <v>889.52772361250504</v>
      </c>
      <c r="E27" s="116">
        <f t="shared" ref="E27:E31" si="4">D27-$D$26</f>
        <v>605.77490443073407</v>
      </c>
      <c r="F27" s="133" t="s">
        <v>52</v>
      </c>
      <c r="G27" s="133">
        <v>0.99980959639054856</v>
      </c>
      <c r="H27" s="133" t="s">
        <v>58</v>
      </c>
      <c r="I27" s="133">
        <v>1</v>
      </c>
      <c r="J27" s="133">
        <v>114363342.84660451</v>
      </c>
      <c r="K27" s="133">
        <v>114363342.84660451</v>
      </c>
      <c r="L27" s="133">
        <v>7875.7519870289198</v>
      </c>
      <c r="M27" s="133">
        <v>3.1538005080999024E-6</v>
      </c>
      <c r="N27" s="133" t="s">
        <v>61</v>
      </c>
      <c r="O27" s="134">
        <v>-103.38909832088484</v>
      </c>
      <c r="P27" s="134">
        <v>79.884346329584247</v>
      </c>
      <c r="Q27" s="134">
        <f>P27*SQRT(G31)</f>
        <v>178.62682873108619</v>
      </c>
      <c r="R27" s="134">
        <v>-1.2942347665251643</v>
      </c>
      <c r="S27" s="134">
        <v>0.28620711681051525</v>
      </c>
      <c r="T27" s="134">
        <v>-357.61674114747444</v>
      </c>
      <c r="U27" s="134">
        <v>150.83854450570476</v>
      </c>
      <c r="V27" s="134">
        <v>-357.61674114747444</v>
      </c>
      <c r="W27" s="134">
        <v>150.83854450570476</v>
      </c>
      <c r="X27" s="162">
        <f>3.3*Q27/O28</f>
        <v>0.21401581514375875</v>
      </c>
      <c r="Y27" s="162">
        <f>10*Q27/O28</f>
        <v>0.64853277316290536</v>
      </c>
      <c r="Z27" s="135"/>
      <c r="AA27" s="135"/>
      <c r="AB27" s="135"/>
      <c r="AC27" s="135"/>
    </row>
    <row r="28" spans="1:29" x14ac:dyDescent="0.2">
      <c r="A28" s="109">
        <v>43888</v>
      </c>
      <c r="B28" s="110">
        <v>1</v>
      </c>
      <c r="C28" s="135">
        <v>0.5</v>
      </c>
      <c r="D28" s="253">
        <v>1583.3377547733501</v>
      </c>
      <c r="E28" s="116">
        <f t="shared" si="4"/>
        <v>1299.5849355915791</v>
      </c>
      <c r="F28" s="133" t="s">
        <v>53</v>
      </c>
      <c r="G28" s="133">
        <v>0.99961922903463152</v>
      </c>
      <c r="H28" s="133" t="s">
        <v>59</v>
      </c>
      <c r="I28" s="133">
        <v>3</v>
      </c>
      <c r="J28" s="133">
        <v>43562.827918511204</v>
      </c>
      <c r="K28" s="133">
        <v>14520.942639503735</v>
      </c>
      <c r="L28" s="133"/>
      <c r="M28" s="133"/>
      <c r="N28" s="133" t="s">
        <v>74</v>
      </c>
      <c r="O28" s="134">
        <v>2754.3223121927995</v>
      </c>
      <c r="P28" s="134">
        <v>31.036214485430634</v>
      </c>
      <c r="Q28" s="134"/>
      <c r="R28" s="134">
        <v>88.745433612264932</v>
      </c>
      <c r="S28" s="134">
        <v>3.1538005080999024E-6</v>
      </c>
      <c r="T28" s="134">
        <v>2655.5512260736482</v>
      </c>
      <c r="U28" s="134">
        <v>2853.0933983119508</v>
      </c>
      <c r="V28" s="134">
        <v>2655.5512260736482</v>
      </c>
      <c r="W28" s="134">
        <v>2853.0933983119508</v>
      </c>
      <c r="X28" s="135"/>
      <c r="Y28" s="135"/>
      <c r="Z28" s="135"/>
      <c r="AA28" s="135"/>
      <c r="AB28" s="135"/>
      <c r="AC28" s="135"/>
    </row>
    <row r="29" spans="1:29" x14ac:dyDescent="0.2">
      <c r="A29" s="109">
        <v>43888</v>
      </c>
      <c r="B29" s="110">
        <v>1</v>
      </c>
      <c r="C29" s="135">
        <v>1.25</v>
      </c>
      <c r="D29" s="253">
        <v>3687.7262133034701</v>
      </c>
      <c r="E29" s="116">
        <f t="shared" si="4"/>
        <v>3403.9733941216991</v>
      </c>
      <c r="F29" s="133" t="s">
        <v>54</v>
      </c>
      <c r="G29" s="133">
        <v>0.99949230537950873</v>
      </c>
      <c r="H29" s="133" t="s">
        <v>60</v>
      </c>
      <c r="I29" s="133">
        <v>4</v>
      </c>
      <c r="J29" s="133">
        <v>114406905.67452303</v>
      </c>
      <c r="K29" s="133"/>
      <c r="L29" s="133"/>
      <c r="M29" s="133"/>
      <c r="N29" s="137"/>
      <c r="O29" s="138"/>
      <c r="P29" s="138"/>
      <c r="Q29" s="138"/>
      <c r="R29" s="138"/>
      <c r="S29" s="138"/>
      <c r="T29" s="138"/>
      <c r="U29" s="138"/>
      <c r="V29" s="138"/>
      <c r="W29" s="138"/>
      <c r="X29" s="135"/>
      <c r="Y29" s="135"/>
      <c r="Z29" s="135"/>
      <c r="AA29" s="135"/>
      <c r="AB29" s="135"/>
      <c r="AC29" s="135"/>
    </row>
    <row r="30" spans="1:29" x14ac:dyDescent="0.2">
      <c r="A30" s="109">
        <v>43888</v>
      </c>
      <c r="B30" s="110">
        <v>1</v>
      </c>
      <c r="C30" s="135">
        <v>2.5</v>
      </c>
      <c r="D30" s="253">
        <v>6883.9084110350996</v>
      </c>
      <c r="E30" s="116">
        <f t="shared" si="4"/>
        <v>6600.1555918533286</v>
      </c>
      <c r="F30" s="133" t="s">
        <v>55</v>
      </c>
      <c r="G30" s="133">
        <v>120.50287398856401</v>
      </c>
      <c r="H30" s="135"/>
      <c r="I30" s="135"/>
      <c r="J30" s="135"/>
      <c r="K30" s="135"/>
      <c r="L30" s="135"/>
      <c r="M30" s="135"/>
      <c r="N30" s="135"/>
      <c r="O30" s="139"/>
      <c r="P30" s="139"/>
      <c r="Q30" s="139"/>
      <c r="R30" s="139"/>
      <c r="S30" s="139"/>
      <c r="T30" s="139"/>
      <c r="U30" s="139"/>
      <c r="V30" s="139"/>
      <c r="W30" s="139"/>
      <c r="X30" s="135"/>
      <c r="Y30" s="135"/>
      <c r="Z30" s="135"/>
      <c r="AA30" s="135"/>
      <c r="AB30" s="135"/>
      <c r="AC30" s="135"/>
    </row>
    <row r="31" spans="1:29" x14ac:dyDescent="0.2">
      <c r="A31" s="123">
        <v>43888</v>
      </c>
      <c r="B31" s="124">
        <v>1</v>
      </c>
      <c r="C31" s="141">
        <v>5</v>
      </c>
      <c r="D31" s="254">
        <v>14023.3804674116</v>
      </c>
      <c r="E31" s="126">
        <f t="shared" si="4"/>
        <v>13739.627648229829</v>
      </c>
      <c r="F31" s="148" t="s">
        <v>56</v>
      </c>
      <c r="G31" s="148">
        <v>5</v>
      </c>
      <c r="H31" s="141"/>
      <c r="I31" s="141"/>
      <c r="J31" s="141"/>
      <c r="K31" s="141"/>
      <c r="L31" s="141"/>
      <c r="M31" s="141"/>
      <c r="N31" s="141"/>
      <c r="O31" s="142"/>
      <c r="P31" s="142"/>
      <c r="Q31" s="142"/>
      <c r="R31" s="142"/>
      <c r="S31" s="142"/>
      <c r="T31" s="142"/>
      <c r="U31" s="142"/>
      <c r="V31" s="142"/>
      <c r="W31" s="142"/>
      <c r="X31" s="141"/>
      <c r="Y31" s="141"/>
      <c r="Z31" s="135"/>
      <c r="AA31" s="135"/>
      <c r="AB31" s="135"/>
      <c r="AC31" s="135"/>
    </row>
    <row r="32" spans="1:29" x14ac:dyDescent="0.2">
      <c r="A32" s="109">
        <v>43888</v>
      </c>
      <c r="B32" s="110">
        <v>2</v>
      </c>
      <c r="C32" s="135">
        <v>0</v>
      </c>
      <c r="D32" s="253">
        <v>300.00317220628898</v>
      </c>
      <c r="E32" s="116">
        <f>D32-$D$32</f>
        <v>0</v>
      </c>
      <c r="F32" s="213" t="s">
        <v>51</v>
      </c>
      <c r="G32" s="213"/>
      <c r="H32" s="146"/>
      <c r="I32" s="146" t="s">
        <v>62</v>
      </c>
      <c r="J32" s="146" t="s">
        <v>63</v>
      </c>
      <c r="K32" s="146" t="s">
        <v>64</v>
      </c>
      <c r="L32" s="146" t="s">
        <v>65</v>
      </c>
      <c r="M32" s="146" t="s">
        <v>66</v>
      </c>
      <c r="N32" s="146"/>
      <c r="O32" s="215" t="s">
        <v>67</v>
      </c>
      <c r="P32" s="215" t="s">
        <v>270</v>
      </c>
      <c r="Q32" s="215" t="s">
        <v>271</v>
      </c>
      <c r="R32" s="215" t="s">
        <v>68</v>
      </c>
      <c r="S32" s="215" t="s">
        <v>69</v>
      </c>
      <c r="T32" s="215" t="s">
        <v>70</v>
      </c>
      <c r="U32" s="215" t="s">
        <v>71</v>
      </c>
      <c r="V32" s="215" t="s">
        <v>72</v>
      </c>
      <c r="W32" s="215" t="s">
        <v>73</v>
      </c>
      <c r="X32" s="135"/>
      <c r="Y32" s="135"/>
      <c r="Z32" s="135"/>
      <c r="AA32" s="135"/>
      <c r="AB32" s="135"/>
      <c r="AC32" s="135"/>
    </row>
    <row r="33" spans="1:29" x14ac:dyDescent="0.2">
      <c r="A33" s="109">
        <v>43888</v>
      </c>
      <c r="B33" s="110">
        <v>2</v>
      </c>
      <c r="C33" s="135">
        <v>0.25</v>
      </c>
      <c r="D33" s="253">
        <v>881.77723858596096</v>
      </c>
      <c r="E33" s="116">
        <f t="shared" ref="E33:E37" si="5">D33-$D$32</f>
        <v>581.77406637967192</v>
      </c>
      <c r="F33" s="133" t="s">
        <v>52</v>
      </c>
      <c r="G33" s="133">
        <v>0.99994923798876012</v>
      </c>
      <c r="H33" s="133" t="s">
        <v>58</v>
      </c>
      <c r="I33" s="133">
        <v>1</v>
      </c>
      <c r="J33" s="133">
        <v>85225481.077513695</v>
      </c>
      <c r="K33" s="133">
        <v>85225481.077513695</v>
      </c>
      <c r="L33" s="133">
        <v>29547.40660990485</v>
      </c>
      <c r="M33" s="133">
        <v>4.341489769113814E-7</v>
      </c>
      <c r="N33" s="133" t="s">
        <v>61</v>
      </c>
      <c r="O33" s="134">
        <v>11.139567734099728</v>
      </c>
      <c r="P33" s="134">
        <v>35.603224048233137</v>
      </c>
      <c r="Q33" s="134">
        <f>P33*SQRT(G37)</f>
        <v>79.611229190004551</v>
      </c>
      <c r="R33" s="134">
        <v>0.31288087053600827</v>
      </c>
      <c r="S33" s="134">
        <v>0.77486063005036931</v>
      </c>
      <c r="T33" s="134">
        <v>-102.16578109438792</v>
      </c>
      <c r="U33" s="134">
        <v>124.44491656258738</v>
      </c>
      <c r="V33" s="134">
        <v>-102.16578109438792</v>
      </c>
      <c r="W33" s="134">
        <v>124.44491656258738</v>
      </c>
      <c r="X33" s="162">
        <f>3.3*Q33/O34</f>
        <v>0.11049234709553228</v>
      </c>
      <c r="Y33" s="162">
        <f>10*Q33/O34</f>
        <v>0.33482529422888574</v>
      </c>
      <c r="Z33" s="135"/>
      <c r="AA33" s="135"/>
      <c r="AB33" s="135"/>
      <c r="AC33" s="135"/>
    </row>
    <row r="34" spans="1:29" x14ac:dyDescent="0.2">
      <c r="A34" s="109">
        <v>43888</v>
      </c>
      <c r="B34" s="110">
        <v>2</v>
      </c>
      <c r="C34" s="135">
        <v>0.5</v>
      </c>
      <c r="D34" s="253">
        <v>1454.5740596938101</v>
      </c>
      <c r="E34" s="116">
        <f t="shared" si="5"/>
        <v>1154.5708874875211</v>
      </c>
      <c r="F34" s="133" t="s">
        <v>53</v>
      </c>
      <c r="G34" s="133">
        <v>0.99989847855430203</v>
      </c>
      <c r="H34" s="133" t="s">
        <v>59</v>
      </c>
      <c r="I34" s="133">
        <v>3</v>
      </c>
      <c r="J34" s="133">
        <v>8653.092523755824</v>
      </c>
      <c r="K34" s="133">
        <v>2884.3641745852747</v>
      </c>
      <c r="L34" s="133"/>
      <c r="M34" s="133"/>
      <c r="N34" s="133" t="s">
        <v>74</v>
      </c>
      <c r="O34" s="134">
        <v>2377.6945936343304</v>
      </c>
      <c r="P34" s="134">
        <v>13.832363268954804</v>
      </c>
      <c r="Q34" s="134"/>
      <c r="R34" s="134">
        <v>171.89359095063679</v>
      </c>
      <c r="S34" s="134">
        <v>4.341489769113814E-7</v>
      </c>
      <c r="T34" s="134">
        <v>2333.673840255703</v>
      </c>
      <c r="U34" s="134">
        <v>2421.7153470129579</v>
      </c>
      <c r="V34" s="134">
        <v>2333.673840255703</v>
      </c>
      <c r="W34" s="134">
        <v>2421.7153470129579</v>
      </c>
      <c r="X34" s="135"/>
      <c r="Y34" s="135"/>
      <c r="Z34" s="135"/>
      <c r="AA34" s="135"/>
      <c r="AB34" s="135"/>
      <c r="AC34" s="135"/>
    </row>
    <row r="35" spans="1:29" x14ac:dyDescent="0.2">
      <c r="A35" s="109">
        <v>43888</v>
      </c>
      <c r="B35" s="110">
        <v>2</v>
      </c>
      <c r="C35" s="135">
        <v>1.25</v>
      </c>
      <c r="D35" s="253">
        <v>3355.39406076263</v>
      </c>
      <c r="E35" s="116">
        <f t="shared" si="5"/>
        <v>3055.390888556341</v>
      </c>
      <c r="F35" s="133" t="s">
        <v>54</v>
      </c>
      <c r="G35" s="133">
        <v>0.99986463807240267</v>
      </c>
      <c r="H35" s="133" t="s">
        <v>60</v>
      </c>
      <c r="I35" s="133">
        <v>4</v>
      </c>
      <c r="J35" s="133">
        <v>85234134.170037448</v>
      </c>
      <c r="K35" s="133"/>
      <c r="L35" s="133"/>
      <c r="M35" s="133"/>
      <c r="N35" s="137"/>
      <c r="O35" s="138"/>
      <c r="P35" s="138"/>
      <c r="Q35" s="138"/>
      <c r="R35" s="138"/>
      <c r="S35" s="138"/>
      <c r="T35" s="138"/>
      <c r="U35" s="138"/>
      <c r="V35" s="138"/>
      <c r="W35" s="138"/>
      <c r="X35" s="135"/>
      <c r="Y35" s="135"/>
      <c r="Z35" s="135"/>
      <c r="AA35" s="135"/>
      <c r="AB35" s="135"/>
      <c r="AC35" s="135"/>
    </row>
    <row r="36" spans="1:29" x14ac:dyDescent="0.2">
      <c r="A36" s="109">
        <v>43888</v>
      </c>
      <c r="B36" s="110">
        <v>2</v>
      </c>
      <c r="C36" s="135">
        <v>2.5</v>
      </c>
      <c r="D36" s="253">
        <v>6274.1277491216797</v>
      </c>
      <c r="E36" s="116">
        <f t="shared" si="5"/>
        <v>5974.1245769153911</v>
      </c>
      <c r="F36" s="133" t="s">
        <v>55</v>
      </c>
      <c r="G36" s="133">
        <v>53.706276863931599</v>
      </c>
      <c r="H36" s="137"/>
      <c r="I36" s="137"/>
      <c r="J36" s="137"/>
      <c r="K36" s="137"/>
      <c r="L36" s="137"/>
      <c r="M36" s="137"/>
      <c r="N36" s="137"/>
      <c r="O36" s="138"/>
      <c r="P36" s="138"/>
      <c r="Q36" s="138"/>
      <c r="R36" s="138"/>
      <c r="S36" s="138"/>
      <c r="T36" s="138"/>
      <c r="U36" s="138"/>
      <c r="V36" s="138"/>
      <c r="W36" s="138"/>
      <c r="X36" s="135"/>
      <c r="Y36" s="135"/>
      <c r="Z36" s="135"/>
      <c r="AA36" s="135"/>
      <c r="AB36" s="135"/>
      <c r="AC36" s="135"/>
    </row>
    <row r="37" spans="1:29" x14ac:dyDescent="0.2">
      <c r="A37" s="123">
        <v>43888</v>
      </c>
      <c r="B37" s="124">
        <v>2</v>
      </c>
      <c r="C37" s="141">
        <v>5</v>
      </c>
      <c r="D37" s="254">
        <v>12177.939231064</v>
      </c>
      <c r="E37" s="126">
        <f t="shared" si="5"/>
        <v>11877.936058857711</v>
      </c>
      <c r="F37" s="148" t="s">
        <v>56</v>
      </c>
      <c r="G37" s="148">
        <v>5</v>
      </c>
      <c r="H37" s="141"/>
      <c r="I37" s="141"/>
      <c r="J37" s="141"/>
      <c r="K37" s="141"/>
      <c r="L37" s="141"/>
      <c r="M37" s="141"/>
      <c r="N37" s="141"/>
      <c r="O37" s="142"/>
      <c r="P37" s="142"/>
      <c r="Q37" s="142"/>
      <c r="R37" s="142"/>
      <c r="S37" s="142"/>
      <c r="T37" s="142"/>
      <c r="U37" s="142"/>
      <c r="V37" s="142"/>
      <c r="W37" s="142"/>
      <c r="X37" s="141"/>
      <c r="Y37" s="141"/>
      <c r="Z37" s="135"/>
      <c r="AA37" s="135"/>
      <c r="AB37" s="135"/>
      <c r="AC37" s="135"/>
    </row>
    <row r="38" spans="1:29" x14ac:dyDescent="0.2">
      <c r="O38" s="271"/>
      <c r="P38" s="271"/>
      <c r="Q38" s="271"/>
      <c r="R38" s="271"/>
      <c r="S38" s="271"/>
      <c r="T38" s="271"/>
      <c r="U38" s="271"/>
      <c r="V38" s="271"/>
      <c r="W38" s="271"/>
    </row>
    <row r="39" spans="1:29" x14ac:dyDescent="0.2">
      <c r="O39" s="271"/>
      <c r="P39" s="271"/>
      <c r="Q39" s="271"/>
      <c r="R39" s="271"/>
      <c r="S39" s="271"/>
      <c r="T39" s="271"/>
      <c r="U39" s="271"/>
      <c r="V39" s="271"/>
      <c r="W39" s="271"/>
    </row>
    <row r="40" spans="1:29" x14ac:dyDescent="0.2">
      <c r="O40" s="271"/>
      <c r="P40" s="271"/>
      <c r="Q40" s="271"/>
      <c r="R40" s="271"/>
      <c r="S40" s="271"/>
      <c r="T40" s="271"/>
      <c r="U40" s="271"/>
      <c r="V40" s="271"/>
      <c r="W40" s="271"/>
    </row>
    <row r="41" spans="1:29" x14ac:dyDescent="0.2">
      <c r="O41" s="271"/>
      <c r="P41" s="271"/>
      <c r="Q41" s="271"/>
      <c r="R41" s="271"/>
      <c r="S41" s="271"/>
      <c r="T41" s="271"/>
      <c r="U41" s="271"/>
      <c r="V41" s="271"/>
      <c r="W41" s="271"/>
    </row>
    <row r="42" spans="1:29" x14ac:dyDescent="0.2">
      <c r="O42" s="271"/>
      <c r="P42" s="271"/>
      <c r="Q42" s="271"/>
      <c r="R42" s="271"/>
      <c r="S42" s="271"/>
      <c r="T42" s="271"/>
      <c r="U42" s="271"/>
      <c r="V42" s="271"/>
      <c r="W42" s="271"/>
    </row>
    <row r="43" spans="1:29" x14ac:dyDescent="0.2">
      <c r="O43" s="271"/>
      <c r="P43" s="271"/>
      <c r="Q43" s="271"/>
      <c r="R43" s="271"/>
      <c r="S43" s="271"/>
      <c r="T43" s="271"/>
      <c r="U43" s="271"/>
      <c r="V43" s="271"/>
      <c r="W43" s="271"/>
    </row>
    <row r="44" spans="1:29" x14ac:dyDescent="0.2">
      <c r="O44" s="271"/>
      <c r="P44" s="271"/>
      <c r="Q44" s="271"/>
      <c r="R44" s="271"/>
      <c r="S44" s="271"/>
      <c r="T44" s="271"/>
      <c r="U44" s="271"/>
      <c r="V44" s="271"/>
      <c r="W44" s="271"/>
    </row>
    <row r="45" spans="1:29" x14ac:dyDescent="0.2">
      <c r="F45" s="13"/>
      <c r="G45" s="13"/>
      <c r="H45" s="13"/>
      <c r="I45" s="13"/>
      <c r="J45" s="13"/>
      <c r="K45" s="13"/>
      <c r="O45" s="271"/>
      <c r="P45" s="271"/>
      <c r="Q45" s="271"/>
      <c r="R45" s="271"/>
      <c r="S45" s="271"/>
      <c r="T45" s="271"/>
      <c r="U45" s="271"/>
      <c r="V45" s="271"/>
      <c r="W45" s="271"/>
    </row>
    <row r="46" spans="1:29" x14ac:dyDescent="0.2">
      <c r="F46" s="13"/>
      <c r="G46" s="13"/>
      <c r="H46" s="13"/>
      <c r="I46" s="13"/>
      <c r="J46" s="122"/>
      <c r="K46" s="209"/>
      <c r="L46" s="48"/>
      <c r="O46" s="265"/>
      <c r="P46" s="265"/>
      <c r="Q46" s="265"/>
      <c r="R46" s="265"/>
      <c r="S46" s="265"/>
      <c r="T46" s="265"/>
      <c r="U46" s="326"/>
      <c r="V46" s="327"/>
      <c r="W46" s="296"/>
    </row>
    <row r="47" spans="1:29" x14ac:dyDescent="0.2">
      <c r="F47" s="13"/>
      <c r="G47" s="13"/>
      <c r="H47" s="13"/>
      <c r="I47" s="13"/>
      <c r="J47" s="122"/>
      <c r="K47" s="209"/>
      <c r="L47" s="48"/>
      <c r="O47" s="265"/>
      <c r="P47" s="265"/>
      <c r="Q47" s="265"/>
      <c r="R47" s="265"/>
      <c r="S47" s="265"/>
      <c r="T47" s="265"/>
      <c r="U47" s="326"/>
      <c r="V47" s="327"/>
      <c r="W47" s="327"/>
    </row>
    <row r="48" spans="1:29" x14ac:dyDescent="0.2">
      <c r="F48" s="13"/>
      <c r="G48" s="13"/>
      <c r="H48" s="13"/>
      <c r="I48" s="13"/>
      <c r="J48" s="13"/>
      <c r="K48" s="13"/>
      <c r="O48" s="265"/>
      <c r="P48" s="265"/>
      <c r="Q48" s="265"/>
      <c r="R48" s="265"/>
      <c r="S48" s="265"/>
      <c r="T48" s="265"/>
      <c r="U48" s="265"/>
      <c r="V48" s="271"/>
      <c r="W48" s="271"/>
    </row>
    <row r="49" spans="6:23" x14ac:dyDescent="0.2">
      <c r="F49" s="13"/>
      <c r="G49" s="13"/>
      <c r="H49" s="13"/>
      <c r="I49" s="13"/>
      <c r="J49" s="13"/>
      <c r="K49" s="13"/>
      <c r="O49" s="265"/>
      <c r="P49" s="265"/>
      <c r="Q49" s="265"/>
      <c r="R49" s="265"/>
      <c r="S49" s="265"/>
      <c r="T49" s="265"/>
      <c r="U49" s="265"/>
      <c r="V49" s="271"/>
      <c r="W49" s="271"/>
    </row>
    <row r="50" spans="6:23" x14ac:dyDescent="0.2">
      <c r="F50" s="13"/>
      <c r="G50" s="64"/>
      <c r="H50" s="64"/>
      <c r="I50" s="64"/>
      <c r="J50" s="13"/>
      <c r="K50" s="13"/>
      <c r="O50" s="265"/>
      <c r="P50" s="265"/>
      <c r="Q50" s="265"/>
      <c r="R50" s="328"/>
      <c r="S50" s="328"/>
      <c r="T50" s="328"/>
      <c r="U50" s="265"/>
      <c r="V50" s="271"/>
      <c r="W50" s="271"/>
    </row>
    <row r="51" spans="6:23" x14ac:dyDescent="0.2">
      <c r="F51" s="13"/>
      <c r="G51" s="31"/>
      <c r="H51" s="31"/>
      <c r="I51" s="31"/>
      <c r="J51" s="13"/>
      <c r="K51" s="13"/>
      <c r="O51" s="265"/>
      <c r="P51" s="265"/>
      <c r="Q51" s="265"/>
      <c r="R51" s="263"/>
      <c r="S51" s="263"/>
      <c r="T51" s="263"/>
      <c r="U51" s="265"/>
      <c r="V51" s="271"/>
      <c r="W51" s="271"/>
    </row>
    <row r="52" spans="6:23" x14ac:dyDescent="0.2">
      <c r="F52" s="13"/>
      <c r="G52" s="31"/>
      <c r="H52" s="31"/>
      <c r="I52" s="31"/>
      <c r="J52" s="13"/>
      <c r="K52" s="13"/>
      <c r="O52" s="265"/>
      <c r="P52" s="265"/>
      <c r="Q52" s="265"/>
      <c r="R52" s="263"/>
      <c r="S52" s="263"/>
      <c r="T52" s="263"/>
      <c r="U52" s="265"/>
      <c r="V52" s="271"/>
      <c r="W52" s="271"/>
    </row>
    <row r="53" spans="6:23" x14ac:dyDescent="0.2">
      <c r="F53" s="13"/>
      <c r="G53" s="31"/>
      <c r="H53" s="31"/>
      <c r="I53" s="31"/>
      <c r="J53" s="13"/>
      <c r="K53" s="13"/>
      <c r="O53" s="265"/>
      <c r="P53" s="265"/>
      <c r="Q53" s="265"/>
      <c r="R53" s="263"/>
      <c r="S53" s="263"/>
      <c r="T53" s="263"/>
      <c r="U53" s="265"/>
      <c r="V53" s="271"/>
      <c r="W53" s="271"/>
    </row>
    <row r="54" spans="6:23" x14ac:dyDescent="0.2">
      <c r="F54" s="13"/>
      <c r="G54" s="31"/>
      <c r="H54" s="31"/>
      <c r="I54" s="31"/>
      <c r="J54" s="13"/>
      <c r="K54" s="13"/>
      <c r="O54" s="13"/>
      <c r="P54" s="13"/>
      <c r="Q54" s="13"/>
      <c r="R54" s="31"/>
      <c r="S54" s="31"/>
      <c r="T54" s="31"/>
      <c r="U54" s="13"/>
    </row>
    <row r="55" spans="6:23" x14ac:dyDescent="0.2">
      <c r="F55" s="13"/>
      <c r="G55" s="31"/>
      <c r="H55" s="31"/>
      <c r="I55" s="31"/>
      <c r="J55" s="13"/>
      <c r="K55" s="13"/>
      <c r="O55" s="13"/>
      <c r="P55" s="13"/>
      <c r="Q55" s="13"/>
      <c r="R55" s="31"/>
      <c r="S55" s="31"/>
      <c r="T55" s="31"/>
      <c r="U55" s="13"/>
    </row>
    <row r="56" spans="6:23" x14ac:dyDescent="0.2">
      <c r="F56" s="13"/>
      <c r="G56" s="13"/>
      <c r="H56" s="13"/>
      <c r="I56" s="13"/>
      <c r="J56" s="13"/>
      <c r="K56" s="13"/>
    </row>
    <row r="57" spans="6:23" x14ac:dyDescent="0.2">
      <c r="F57" s="13"/>
      <c r="G57" s="13"/>
      <c r="H57" s="13"/>
      <c r="I57" s="13"/>
      <c r="J57" s="13"/>
      <c r="K57" s="13"/>
    </row>
    <row r="77" spans="7:24" x14ac:dyDescent="0.2">
      <c r="J77" s="48"/>
      <c r="K77" s="49"/>
      <c r="L77" s="48"/>
      <c r="U77" s="62"/>
      <c r="V77" s="62"/>
      <c r="W77" s="48"/>
    </row>
    <row r="78" spans="7:24" x14ac:dyDescent="0.2">
      <c r="G78" s="13"/>
      <c r="H78" s="13"/>
      <c r="I78" s="13"/>
      <c r="J78" s="122"/>
      <c r="K78" s="209"/>
      <c r="L78" s="122"/>
      <c r="M78" s="13"/>
      <c r="N78" s="13"/>
      <c r="O78" s="13"/>
      <c r="P78" s="13"/>
      <c r="Q78" s="13"/>
      <c r="R78" s="13"/>
      <c r="S78" s="13"/>
      <c r="T78" s="13"/>
      <c r="U78" s="325"/>
      <c r="V78" s="325"/>
      <c r="W78" s="325"/>
      <c r="X78" s="13"/>
    </row>
    <row r="79" spans="7:24" x14ac:dyDescent="0.2"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</row>
    <row r="80" spans="7:24" x14ac:dyDescent="0.2"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</row>
    <row r="81" spans="7:24" x14ac:dyDescent="0.2">
      <c r="G81" s="64"/>
      <c r="H81" s="64"/>
      <c r="I81" s="64"/>
      <c r="J81" s="13"/>
      <c r="K81" s="13"/>
      <c r="L81" s="13"/>
      <c r="M81" s="13"/>
      <c r="N81" s="13"/>
      <c r="O81" s="13"/>
      <c r="P81" s="13"/>
      <c r="Q81" s="13"/>
      <c r="R81" s="64"/>
      <c r="S81" s="64"/>
      <c r="T81" s="64"/>
      <c r="U81" s="13"/>
      <c r="V81" s="13"/>
      <c r="W81" s="13"/>
      <c r="X81" s="13"/>
    </row>
    <row r="82" spans="7:24" x14ac:dyDescent="0.2">
      <c r="G82" s="31"/>
      <c r="H82" s="31"/>
      <c r="I82" s="31"/>
      <c r="J82" s="13"/>
      <c r="K82" s="13"/>
      <c r="L82" s="13"/>
      <c r="M82" s="13"/>
      <c r="N82" s="13"/>
      <c r="O82" s="13"/>
      <c r="P82" s="13"/>
      <c r="Q82" s="13"/>
      <c r="R82" s="31"/>
      <c r="S82" s="31"/>
      <c r="T82" s="31"/>
      <c r="U82" s="13"/>
      <c r="V82" s="13"/>
      <c r="W82" s="13"/>
      <c r="X82" s="13"/>
    </row>
    <row r="83" spans="7:24" x14ac:dyDescent="0.2">
      <c r="G83" s="31"/>
      <c r="H83" s="31"/>
      <c r="I83" s="31"/>
      <c r="J83" s="13"/>
      <c r="K83" s="13"/>
      <c r="L83" s="13"/>
      <c r="M83" s="13"/>
      <c r="N83" s="13"/>
      <c r="O83" s="13"/>
      <c r="P83" s="13"/>
      <c r="Q83" s="13"/>
      <c r="R83" s="31"/>
      <c r="S83" s="31"/>
      <c r="T83" s="31"/>
      <c r="U83" s="13"/>
      <c r="V83" s="13"/>
      <c r="W83" s="13"/>
      <c r="X83" s="13"/>
    </row>
    <row r="84" spans="7:24" x14ac:dyDescent="0.2">
      <c r="G84" s="31"/>
      <c r="H84" s="31"/>
      <c r="I84" s="31"/>
      <c r="J84" s="13"/>
      <c r="K84" s="13"/>
      <c r="L84" s="13"/>
      <c r="M84" s="13"/>
      <c r="N84" s="13"/>
      <c r="O84" s="13"/>
      <c r="P84" s="13"/>
      <c r="Q84" s="13"/>
      <c r="R84" s="31"/>
      <c r="S84" s="31"/>
      <c r="T84" s="31"/>
      <c r="U84" s="13"/>
      <c r="V84" s="13"/>
      <c r="W84" s="13"/>
      <c r="X84" s="13"/>
    </row>
    <row r="85" spans="7:24" x14ac:dyDescent="0.2">
      <c r="G85" s="31"/>
      <c r="H85" s="31"/>
      <c r="I85" s="31"/>
      <c r="J85" s="13"/>
      <c r="K85" s="13"/>
      <c r="L85" s="13"/>
      <c r="M85" s="13"/>
      <c r="N85" s="13"/>
      <c r="O85" s="13"/>
      <c r="P85" s="13"/>
      <c r="Q85" s="13"/>
      <c r="R85" s="31"/>
      <c r="S85" s="31"/>
      <c r="T85" s="31"/>
      <c r="U85" s="13"/>
      <c r="V85" s="13"/>
      <c r="W85" s="13"/>
      <c r="X85" s="13"/>
    </row>
    <row r="86" spans="7:24" x14ac:dyDescent="0.2">
      <c r="G86" s="31"/>
      <c r="H86" s="31"/>
      <c r="I86" s="31"/>
      <c r="J86" s="13"/>
      <c r="K86" s="13"/>
      <c r="L86" s="13"/>
      <c r="M86" s="13"/>
      <c r="N86" s="13"/>
      <c r="O86" s="13"/>
      <c r="P86" s="13"/>
      <c r="Q86" s="13"/>
      <c r="R86" s="31"/>
      <c r="S86" s="31"/>
      <c r="T86" s="31"/>
      <c r="U86" s="13"/>
      <c r="V86" s="13"/>
      <c r="W86" s="13"/>
      <c r="X86" s="13"/>
    </row>
    <row r="87" spans="7:24" x14ac:dyDescent="0.2"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</row>
    <row r="88" spans="7:24" x14ac:dyDescent="0.2"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</row>
    <row r="89" spans="7:24" x14ac:dyDescent="0.2"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</row>
    <row r="90" spans="7:24" x14ac:dyDescent="0.2"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AB8C9-DC5C-0F4F-BAC5-BF099C1A5ECA}">
  <dimension ref="A1:AE88"/>
  <sheetViews>
    <sheetView zoomScale="116" zoomScaleNormal="120" workbookViewId="0">
      <selection activeCell="E11" sqref="E11"/>
    </sheetView>
  </sheetViews>
  <sheetFormatPr baseColWidth="10" defaultColWidth="7.1640625" defaultRowHeight="14" x14ac:dyDescent="0.2"/>
  <cols>
    <col min="1" max="14" width="7.1640625" style="135"/>
    <col min="15" max="15" width="9.1640625" style="135" bestFit="1" customWidth="1"/>
    <col min="16" max="16" width="7.5" style="135" bestFit="1" customWidth="1"/>
    <col min="17" max="17" width="6" style="135" customWidth="1"/>
    <col min="18" max="18" width="6.5" style="135" customWidth="1"/>
    <col min="19" max="19" width="5.83203125" style="135" customWidth="1"/>
    <col min="20" max="23" width="9.1640625" style="135" bestFit="1" customWidth="1"/>
    <col min="24" max="24" width="9" style="135" customWidth="1"/>
    <col min="25" max="16384" width="7.1640625" style="135"/>
  </cols>
  <sheetData>
    <row r="1" spans="1:25" ht="61" thickBot="1" x14ac:dyDescent="0.25">
      <c r="A1" s="333" t="s">
        <v>2</v>
      </c>
      <c r="B1" s="334" t="s">
        <v>3</v>
      </c>
      <c r="C1" s="334" t="s">
        <v>4</v>
      </c>
      <c r="D1" s="335" t="s">
        <v>255</v>
      </c>
      <c r="E1" s="334" t="s">
        <v>256</v>
      </c>
      <c r="F1" s="135" t="s">
        <v>50</v>
      </c>
      <c r="H1" s="135" t="s">
        <v>57</v>
      </c>
    </row>
    <row r="2" spans="1:25" x14ac:dyDescent="0.2">
      <c r="A2" s="109">
        <v>43838</v>
      </c>
      <c r="B2" s="110">
        <v>1</v>
      </c>
      <c r="C2" s="135">
        <v>0</v>
      </c>
      <c r="D2" s="232">
        <v>13.750007183754001</v>
      </c>
      <c r="E2" s="116">
        <f>D2-$D$2</f>
        <v>0</v>
      </c>
      <c r="F2" s="210" t="s">
        <v>51</v>
      </c>
      <c r="G2" s="210"/>
      <c r="H2" s="211"/>
      <c r="I2" s="211" t="s">
        <v>62</v>
      </c>
      <c r="J2" s="211" t="s">
        <v>63</v>
      </c>
      <c r="K2" s="211" t="s">
        <v>64</v>
      </c>
      <c r="L2" s="211" t="s">
        <v>65</v>
      </c>
      <c r="M2" s="211" t="s">
        <v>66</v>
      </c>
      <c r="N2" s="211"/>
      <c r="O2" s="211" t="s">
        <v>67</v>
      </c>
      <c r="P2" s="211" t="s">
        <v>270</v>
      </c>
      <c r="Q2" s="211" t="s">
        <v>271</v>
      </c>
      <c r="R2" s="211" t="s">
        <v>68</v>
      </c>
      <c r="S2" s="211" t="s">
        <v>69</v>
      </c>
      <c r="T2" s="211" t="s">
        <v>70</v>
      </c>
      <c r="U2" s="211" t="s">
        <v>71</v>
      </c>
      <c r="V2" s="211" t="s">
        <v>72</v>
      </c>
      <c r="W2" s="211" t="s">
        <v>73</v>
      </c>
      <c r="X2" s="178" t="s">
        <v>272</v>
      </c>
      <c r="Y2" s="178" t="s">
        <v>273</v>
      </c>
    </row>
    <row r="3" spans="1:25" x14ac:dyDescent="0.2">
      <c r="A3" s="109">
        <v>43838</v>
      </c>
      <c r="B3" s="110">
        <v>1</v>
      </c>
      <c r="C3" s="135">
        <v>0.25</v>
      </c>
      <c r="D3" s="232">
        <v>1647.5950501736199</v>
      </c>
      <c r="E3" s="116">
        <f t="shared" ref="E3:E7" si="0">D3-$D$2</f>
        <v>1633.845042989866</v>
      </c>
      <c r="F3" s="133" t="s">
        <v>52</v>
      </c>
      <c r="G3" s="133">
        <v>0.99995754645494794</v>
      </c>
      <c r="H3" s="133" t="s">
        <v>58</v>
      </c>
      <c r="I3" s="133">
        <v>1</v>
      </c>
      <c r="J3" s="133">
        <v>715167322.61158037</v>
      </c>
      <c r="K3" s="133">
        <v>715167322.61158037</v>
      </c>
      <c r="L3" s="133">
        <v>35330.488381115618</v>
      </c>
      <c r="M3" s="133">
        <v>3.3204889100230632E-7</v>
      </c>
      <c r="N3" s="133" t="s">
        <v>61</v>
      </c>
      <c r="O3" s="134">
        <v>-179.91637027871184</v>
      </c>
      <c r="P3" s="134">
        <v>94.317719561014201</v>
      </c>
      <c r="Q3" s="134">
        <f>P3*SQRT(G7)</f>
        <v>210.90083242118939</v>
      </c>
      <c r="R3" s="134">
        <v>-1.9075564073866715</v>
      </c>
      <c r="S3" s="134">
        <v>0.15249229226142411</v>
      </c>
      <c r="T3" s="134">
        <v>-480.07744841844652</v>
      </c>
      <c r="U3" s="134">
        <v>120.24470786102285</v>
      </c>
      <c r="V3" s="134">
        <v>-480.07744841844652</v>
      </c>
      <c r="W3" s="134">
        <v>120.24470786102285</v>
      </c>
      <c r="X3" s="162">
        <f>3.3*Q3/O4</f>
        <v>0.10104551993880882</v>
      </c>
      <c r="Y3" s="162">
        <f>10*Q3/O4</f>
        <v>0.30619854526911766</v>
      </c>
    </row>
    <row r="4" spans="1:25" x14ac:dyDescent="0.2">
      <c r="A4" s="109">
        <v>43838</v>
      </c>
      <c r="B4" s="110">
        <v>1</v>
      </c>
      <c r="C4" s="135">
        <v>0.5</v>
      </c>
      <c r="D4" s="232">
        <v>3357.3946334116799</v>
      </c>
      <c r="E4" s="116">
        <f t="shared" si="0"/>
        <v>3343.644626227926</v>
      </c>
      <c r="F4" s="133" t="s">
        <v>53</v>
      </c>
      <c r="G4" s="133">
        <v>0.9999150947121993</v>
      </c>
      <c r="H4" s="133" t="s">
        <v>59</v>
      </c>
      <c r="I4" s="133">
        <v>3</v>
      </c>
      <c r="J4" s="133">
        <v>60726.643365097843</v>
      </c>
      <c r="K4" s="133">
        <v>20242.214455032616</v>
      </c>
      <c r="L4" s="133"/>
      <c r="M4" s="133"/>
      <c r="N4" s="133" t="s">
        <v>74</v>
      </c>
      <c r="O4" s="134">
        <v>6887.7150358708868</v>
      </c>
      <c r="P4" s="134">
        <v>36.643787031756119</v>
      </c>
      <c r="Q4" s="134"/>
      <c r="R4" s="134">
        <v>187.96406140833309</v>
      </c>
      <c r="S4" s="134">
        <v>3.3204889100230754E-7</v>
      </c>
      <c r="T4" s="134">
        <v>6771.0981512200715</v>
      </c>
      <c r="U4" s="134">
        <v>7004.3319205217022</v>
      </c>
      <c r="V4" s="134">
        <v>6771.0981512200715</v>
      </c>
      <c r="W4" s="134">
        <v>7004.3319205217022</v>
      </c>
    </row>
    <row r="5" spans="1:25" x14ac:dyDescent="0.2">
      <c r="A5" s="109">
        <v>43838</v>
      </c>
      <c r="B5" s="110">
        <v>1</v>
      </c>
      <c r="C5" s="135">
        <v>1.25</v>
      </c>
      <c r="D5" s="232">
        <v>8339.4340325630401</v>
      </c>
      <c r="E5" s="116">
        <f t="shared" si="0"/>
        <v>8325.6840253792852</v>
      </c>
      <c r="F5" s="133" t="s">
        <v>54</v>
      </c>
      <c r="G5" s="133">
        <v>0.99988679294959903</v>
      </c>
      <c r="H5" s="133" t="s">
        <v>60</v>
      </c>
      <c r="I5" s="133">
        <v>4</v>
      </c>
      <c r="J5" s="133">
        <v>715228049.25494552</v>
      </c>
      <c r="K5" s="133"/>
      <c r="L5" s="133"/>
      <c r="M5" s="133"/>
      <c r="N5" s="137"/>
      <c r="O5" s="138"/>
      <c r="P5" s="138"/>
      <c r="Q5" s="138"/>
      <c r="R5" s="138"/>
      <c r="S5" s="138"/>
      <c r="T5" s="138"/>
      <c r="U5" s="138"/>
      <c r="V5" s="138"/>
      <c r="W5" s="138"/>
    </row>
    <row r="6" spans="1:25" x14ac:dyDescent="0.2">
      <c r="A6" s="109">
        <v>43838</v>
      </c>
      <c r="B6" s="110">
        <v>1</v>
      </c>
      <c r="C6" s="135">
        <v>2.5</v>
      </c>
      <c r="D6" s="232">
        <v>16891.238020753401</v>
      </c>
      <c r="E6" s="116">
        <f t="shared" si="0"/>
        <v>16877.488013569648</v>
      </c>
      <c r="F6" s="133" t="s">
        <v>55</v>
      </c>
      <c r="G6" s="133">
        <v>142.27513646112808</v>
      </c>
      <c r="H6" s="137"/>
      <c r="I6" s="137"/>
      <c r="J6" s="137"/>
      <c r="K6" s="137"/>
      <c r="L6" s="137"/>
      <c r="M6" s="137"/>
      <c r="N6" s="137"/>
      <c r="O6" s="138"/>
      <c r="P6" s="138"/>
      <c r="Q6" s="138"/>
      <c r="R6" s="138"/>
      <c r="S6" s="138"/>
      <c r="T6" s="138"/>
      <c r="U6" s="138"/>
      <c r="V6" s="138"/>
      <c r="W6" s="138"/>
    </row>
    <row r="7" spans="1:25" x14ac:dyDescent="0.2">
      <c r="A7" s="123">
        <v>43838</v>
      </c>
      <c r="B7" s="124">
        <v>1</v>
      </c>
      <c r="C7" s="141">
        <v>5</v>
      </c>
      <c r="D7" s="235">
        <v>34366.799288396898</v>
      </c>
      <c r="E7" s="126">
        <f t="shared" si="0"/>
        <v>34353.049281213142</v>
      </c>
      <c r="F7" s="148" t="s">
        <v>56</v>
      </c>
      <c r="G7" s="148">
        <v>5</v>
      </c>
      <c r="H7" s="141"/>
      <c r="I7" s="141"/>
      <c r="J7" s="141"/>
      <c r="K7" s="141"/>
      <c r="L7" s="141"/>
      <c r="M7" s="141"/>
      <c r="N7" s="141"/>
      <c r="O7" s="142"/>
      <c r="P7" s="142"/>
      <c r="Q7" s="142"/>
      <c r="R7" s="142"/>
      <c r="S7" s="142"/>
      <c r="T7" s="142"/>
      <c r="U7" s="142"/>
      <c r="V7" s="142"/>
      <c r="W7" s="142"/>
      <c r="X7" s="141"/>
      <c r="Y7" s="141"/>
    </row>
    <row r="8" spans="1:25" x14ac:dyDescent="0.2">
      <c r="A8" s="109">
        <v>43838</v>
      </c>
      <c r="B8" s="110">
        <v>2</v>
      </c>
      <c r="C8" s="135">
        <v>0</v>
      </c>
      <c r="D8" s="232">
        <v>22.750018488765299</v>
      </c>
      <c r="E8" s="116">
        <f>D8-$D$8</f>
        <v>0</v>
      </c>
      <c r="F8" s="213" t="s">
        <v>51</v>
      </c>
      <c r="G8" s="213"/>
      <c r="H8" s="146"/>
      <c r="I8" s="146" t="s">
        <v>62</v>
      </c>
      <c r="J8" s="146" t="s">
        <v>63</v>
      </c>
      <c r="K8" s="146" t="s">
        <v>64</v>
      </c>
      <c r="L8" s="146" t="s">
        <v>65</v>
      </c>
      <c r="M8" s="146" t="s">
        <v>66</v>
      </c>
      <c r="N8" s="146"/>
      <c r="O8" s="215" t="s">
        <v>67</v>
      </c>
      <c r="P8" s="215" t="s">
        <v>270</v>
      </c>
      <c r="Q8" s="215" t="s">
        <v>271</v>
      </c>
      <c r="R8" s="215" t="s">
        <v>68</v>
      </c>
      <c r="S8" s="215" t="s">
        <v>69</v>
      </c>
      <c r="T8" s="215" t="s">
        <v>70</v>
      </c>
      <c r="U8" s="215" t="s">
        <v>71</v>
      </c>
      <c r="V8" s="215" t="s">
        <v>72</v>
      </c>
      <c r="W8" s="215" t="s">
        <v>73</v>
      </c>
    </row>
    <row r="9" spans="1:25" x14ac:dyDescent="0.2">
      <c r="A9" s="109">
        <v>43838</v>
      </c>
      <c r="B9" s="110">
        <v>2</v>
      </c>
      <c r="C9" s="135">
        <v>0.25</v>
      </c>
      <c r="D9" s="232">
        <v>1463.8249950259899</v>
      </c>
      <c r="E9" s="116">
        <f t="shared" ref="E9:E13" si="1">D9-$D$8</f>
        <v>1441.0749765372245</v>
      </c>
      <c r="F9" s="133" t="s">
        <v>52</v>
      </c>
      <c r="G9" s="133">
        <v>0.9999438643548747</v>
      </c>
      <c r="H9" s="133" t="s">
        <v>58</v>
      </c>
      <c r="I9" s="133">
        <v>1</v>
      </c>
      <c r="J9" s="133">
        <v>546994195.32077432</v>
      </c>
      <c r="K9" s="133">
        <v>546994195.32077432</v>
      </c>
      <c r="L9" s="133">
        <v>26718.739806646699</v>
      </c>
      <c r="M9" s="133">
        <v>5.0488012828632333E-7</v>
      </c>
      <c r="N9" s="133" t="s">
        <v>61</v>
      </c>
      <c r="O9" s="134">
        <v>-144.50295592823022</v>
      </c>
      <c r="P9" s="134">
        <v>94.852253727673357</v>
      </c>
      <c r="Q9" s="134">
        <f>P9*SQRT(G13)</f>
        <v>212.09608715413546</v>
      </c>
      <c r="R9" s="134">
        <v>-1.5234530572474017</v>
      </c>
      <c r="S9" s="134">
        <v>0.22502915540960994</v>
      </c>
      <c r="T9" s="134">
        <v>-446.36516035169723</v>
      </c>
      <c r="U9" s="134">
        <v>157.35924849523678</v>
      </c>
      <c r="V9" s="134">
        <v>-446.36516035169723</v>
      </c>
      <c r="W9" s="134">
        <v>157.35924849523678</v>
      </c>
      <c r="X9" s="162">
        <f>3.3*Q9/O10</f>
        <v>0.11619405226735309</v>
      </c>
      <c r="Y9" s="162">
        <f>10*Q9/O10</f>
        <v>0.3521031886889488</v>
      </c>
    </row>
    <row r="10" spans="1:25" x14ac:dyDescent="0.2">
      <c r="A10" s="109">
        <v>43838</v>
      </c>
      <c r="B10" s="110">
        <v>2</v>
      </c>
      <c r="C10" s="135">
        <v>0.5</v>
      </c>
      <c r="D10" s="232">
        <v>2908.0459940777901</v>
      </c>
      <c r="E10" s="116">
        <f t="shared" si="1"/>
        <v>2885.2959755890247</v>
      </c>
      <c r="F10" s="133" t="s">
        <v>53</v>
      </c>
      <c r="G10" s="133">
        <v>0.99988773186096003</v>
      </c>
      <c r="H10" s="133" t="s">
        <v>59</v>
      </c>
      <c r="I10" s="133">
        <v>3</v>
      </c>
      <c r="J10" s="133">
        <v>61416.915537090681</v>
      </c>
      <c r="K10" s="133">
        <v>20472.305179030227</v>
      </c>
      <c r="L10" s="133"/>
      <c r="M10" s="133"/>
      <c r="N10" s="133" t="s">
        <v>74</v>
      </c>
      <c r="O10" s="134">
        <v>6023.69117825579</v>
      </c>
      <c r="P10" s="134">
        <v>36.851461223365298</v>
      </c>
      <c r="Q10" s="134"/>
      <c r="R10" s="134">
        <v>163.45867920256387</v>
      </c>
      <c r="S10" s="134">
        <v>5.0488012828632333E-7</v>
      </c>
      <c r="T10" s="134">
        <v>5906.413381641185</v>
      </c>
      <c r="U10" s="134">
        <v>6140.968974870395</v>
      </c>
      <c r="V10" s="134">
        <v>5906.413381641185</v>
      </c>
      <c r="W10" s="134">
        <v>6140.968974870395</v>
      </c>
      <c r="X10" s="137"/>
    </row>
    <row r="11" spans="1:25" x14ac:dyDescent="0.2">
      <c r="A11" s="109">
        <v>43838</v>
      </c>
      <c r="B11" s="110">
        <v>2</v>
      </c>
      <c r="C11" s="135">
        <v>1.25</v>
      </c>
      <c r="D11" s="232">
        <v>7427.1803167804001</v>
      </c>
      <c r="E11" s="116">
        <f t="shared" si="1"/>
        <v>7404.4302982916352</v>
      </c>
      <c r="F11" s="133" t="s">
        <v>54</v>
      </c>
      <c r="G11" s="133">
        <v>0.9998503091479467</v>
      </c>
      <c r="H11" s="133" t="s">
        <v>60</v>
      </c>
      <c r="I11" s="133">
        <v>4</v>
      </c>
      <c r="J11" s="133">
        <v>547055612.23631144</v>
      </c>
      <c r="K11" s="133"/>
      <c r="L11" s="133"/>
      <c r="M11" s="133"/>
      <c r="N11" s="137"/>
      <c r="O11" s="138"/>
      <c r="P11" s="138"/>
      <c r="Q11" s="138"/>
      <c r="R11" s="139"/>
      <c r="S11" s="139"/>
      <c r="T11" s="139"/>
      <c r="U11" s="138"/>
      <c r="V11" s="138"/>
      <c r="W11" s="138"/>
      <c r="X11" s="137"/>
    </row>
    <row r="12" spans="1:25" x14ac:dyDescent="0.2">
      <c r="A12" s="109">
        <v>43838</v>
      </c>
      <c r="B12" s="110">
        <v>2</v>
      </c>
      <c r="C12" s="135">
        <v>2.5</v>
      </c>
      <c r="D12" s="232">
        <v>14724.835307786099</v>
      </c>
      <c r="E12" s="116">
        <f t="shared" si="1"/>
        <v>14702.085289297334</v>
      </c>
      <c r="F12" s="133" t="s">
        <v>55</v>
      </c>
      <c r="G12" s="133">
        <v>143.08146343614965</v>
      </c>
      <c r="H12" s="137"/>
      <c r="I12" s="137"/>
      <c r="J12" s="137"/>
      <c r="K12" s="137"/>
      <c r="L12" s="137"/>
      <c r="M12" s="137"/>
      <c r="N12" s="137"/>
      <c r="O12" s="138"/>
      <c r="P12" s="138"/>
      <c r="Q12" s="138"/>
      <c r="R12" s="139"/>
      <c r="S12" s="139"/>
      <c r="T12" s="139"/>
      <c r="U12" s="139"/>
      <c r="V12" s="139"/>
      <c r="W12" s="139"/>
    </row>
    <row r="13" spans="1:25" x14ac:dyDescent="0.2">
      <c r="A13" s="123">
        <v>43838</v>
      </c>
      <c r="B13" s="124">
        <v>2</v>
      </c>
      <c r="C13" s="141">
        <v>5</v>
      </c>
      <c r="D13" s="235">
        <v>30092.414892562399</v>
      </c>
      <c r="E13" s="126">
        <f t="shared" si="1"/>
        <v>30069.664874073635</v>
      </c>
      <c r="F13" s="148" t="s">
        <v>56</v>
      </c>
      <c r="G13" s="148">
        <v>5</v>
      </c>
      <c r="H13" s="141"/>
      <c r="I13" s="141"/>
      <c r="J13" s="141"/>
      <c r="K13" s="141"/>
      <c r="L13" s="141"/>
      <c r="M13" s="141"/>
      <c r="N13" s="141"/>
      <c r="O13" s="142"/>
      <c r="P13" s="142"/>
      <c r="Q13" s="142"/>
      <c r="R13" s="142"/>
      <c r="S13" s="142"/>
      <c r="T13" s="142"/>
      <c r="U13" s="142"/>
      <c r="V13" s="142"/>
      <c r="W13" s="142"/>
      <c r="X13" s="141"/>
      <c r="Y13" s="141"/>
    </row>
    <row r="14" spans="1:25" x14ac:dyDescent="0.2">
      <c r="A14" s="109">
        <v>43838</v>
      </c>
      <c r="B14" s="110">
        <v>3</v>
      </c>
      <c r="C14" s="135">
        <v>0</v>
      </c>
      <c r="D14" s="232">
        <v>27.750027203776899</v>
      </c>
      <c r="E14" s="116">
        <f>D14-$D$14</f>
        <v>0</v>
      </c>
      <c r="F14" s="213" t="s">
        <v>51</v>
      </c>
      <c r="G14" s="213"/>
      <c r="H14" s="146"/>
      <c r="I14" s="146" t="s">
        <v>62</v>
      </c>
      <c r="J14" s="146" t="s">
        <v>63</v>
      </c>
      <c r="K14" s="146" t="s">
        <v>64</v>
      </c>
      <c r="L14" s="146" t="s">
        <v>65</v>
      </c>
      <c r="M14" s="146" t="s">
        <v>66</v>
      </c>
      <c r="N14" s="146"/>
      <c r="O14" s="215" t="s">
        <v>67</v>
      </c>
      <c r="P14" s="215" t="s">
        <v>270</v>
      </c>
      <c r="Q14" s="215" t="s">
        <v>271</v>
      </c>
      <c r="R14" s="215" t="s">
        <v>68</v>
      </c>
      <c r="S14" s="215" t="s">
        <v>69</v>
      </c>
      <c r="T14" s="215" t="s">
        <v>70</v>
      </c>
      <c r="U14" s="215" t="s">
        <v>71</v>
      </c>
      <c r="V14" s="215" t="s">
        <v>72</v>
      </c>
      <c r="W14" s="215" t="s">
        <v>73</v>
      </c>
    </row>
    <row r="15" spans="1:25" x14ac:dyDescent="0.2">
      <c r="A15" s="109">
        <v>43838</v>
      </c>
      <c r="B15" s="110">
        <v>3</v>
      </c>
      <c r="C15" s="135">
        <v>0.25</v>
      </c>
      <c r="D15" s="232">
        <v>1375.06622817989</v>
      </c>
      <c r="E15" s="116">
        <f t="shared" ref="E15:E19" si="2">D15-$D$14</f>
        <v>1347.3162009761131</v>
      </c>
      <c r="F15" s="133" t="s">
        <v>52</v>
      </c>
      <c r="G15" s="133">
        <v>0.99992398459253506</v>
      </c>
      <c r="H15" s="133" t="s">
        <v>58</v>
      </c>
      <c r="I15" s="133">
        <v>1</v>
      </c>
      <c r="J15" s="133">
        <v>445811122.27325374</v>
      </c>
      <c r="K15" s="133">
        <v>445811122.27325374</v>
      </c>
      <c r="L15" s="133">
        <v>19730.591698689608</v>
      </c>
      <c r="M15" s="133">
        <v>7.9557540227465973E-7</v>
      </c>
      <c r="N15" s="133" t="s">
        <v>61</v>
      </c>
      <c r="O15" s="134">
        <v>16.003895765759808</v>
      </c>
      <c r="P15" s="134">
        <v>99.648249922349663</v>
      </c>
      <c r="Q15" s="134">
        <f>P15*SQRT(G19)</f>
        <v>222.820260665262</v>
      </c>
      <c r="R15" s="134">
        <v>0.16060388193702099</v>
      </c>
      <c r="S15" s="134">
        <v>0.88261077217654205</v>
      </c>
      <c r="T15" s="134">
        <v>-301.12130902760953</v>
      </c>
      <c r="U15" s="134">
        <v>333.12910055912914</v>
      </c>
      <c r="V15" s="134">
        <v>-301.12130902760953</v>
      </c>
      <c r="W15" s="134">
        <v>333.12910055912914</v>
      </c>
      <c r="X15" s="162">
        <f>3.3*Q15/O16</f>
        <v>0.13521405231189296</v>
      </c>
      <c r="Y15" s="162">
        <f>10*Q15/O16</f>
        <v>0.40973955246028171</v>
      </c>
    </row>
    <row r="16" spans="1:25" x14ac:dyDescent="0.2">
      <c r="A16" s="109">
        <v>43838</v>
      </c>
      <c r="B16" s="110">
        <v>3</v>
      </c>
      <c r="C16" s="135">
        <v>0.5</v>
      </c>
      <c r="D16" s="232">
        <v>2748.7645230902799</v>
      </c>
      <c r="E16" s="116">
        <f t="shared" si="2"/>
        <v>2721.014495886503</v>
      </c>
      <c r="F16" s="133" t="s">
        <v>53</v>
      </c>
      <c r="G16" s="133">
        <v>0.99984797496341227</v>
      </c>
      <c r="H16" s="133" t="s">
        <v>59</v>
      </c>
      <c r="I16" s="133">
        <v>3</v>
      </c>
      <c r="J16" s="133">
        <v>67784.757154981096</v>
      </c>
      <c r="K16" s="133">
        <v>22594.919051660367</v>
      </c>
      <c r="L16" s="133"/>
      <c r="M16" s="133"/>
      <c r="N16" s="133" t="s">
        <v>74</v>
      </c>
      <c r="O16" s="134">
        <v>5438.0949880805365</v>
      </c>
      <c r="P16" s="134">
        <v>38.714774543288634</v>
      </c>
      <c r="Q16" s="134"/>
      <c r="R16" s="134">
        <v>140.46562461573868</v>
      </c>
      <c r="S16" s="134">
        <v>7.9557540227465973E-7</v>
      </c>
      <c r="T16" s="134">
        <v>5314.8872968753558</v>
      </c>
      <c r="U16" s="134">
        <v>5561.3026792857172</v>
      </c>
      <c r="V16" s="134">
        <v>5314.8872968753558</v>
      </c>
      <c r="W16" s="134">
        <v>5561.3026792857172</v>
      </c>
    </row>
    <row r="17" spans="1:31" x14ac:dyDescent="0.2">
      <c r="A17" s="109">
        <v>43838</v>
      </c>
      <c r="B17" s="110">
        <v>3</v>
      </c>
      <c r="C17" s="135">
        <v>1.25</v>
      </c>
      <c r="D17" s="232">
        <v>7016.2227365214103</v>
      </c>
      <c r="E17" s="116">
        <f t="shared" si="2"/>
        <v>6988.4727093176334</v>
      </c>
      <c r="F17" s="133" t="s">
        <v>54</v>
      </c>
      <c r="G17" s="133">
        <v>0.99979729995121636</v>
      </c>
      <c r="H17" s="133" t="s">
        <v>60</v>
      </c>
      <c r="I17" s="133">
        <v>4</v>
      </c>
      <c r="J17" s="133">
        <v>445878907.03040874</v>
      </c>
      <c r="K17" s="133"/>
      <c r="L17" s="133"/>
      <c r="M17" s="133"/>
      <c r="N17" s="137"/>
      <c r="O17" s="138"/>
      <c r="P17" s="138"/>
      <c r="Q17" s="138"/>
      <c r="R17" s="138"/>
      <c r="S17" s="138"/>
      <c r="T17" s="138"/>
      <c r="U17" s="138"/>
      <c r="V17" s="138"/>
      <c r="W17" s="138"/>
      <c r="Y17" s="137"/>
      <c r="Z17" s="137"/>
      <c r="AA17" s="137"/>
      <c r="AB17" s="137"/>
      <c r="AC17" s="137"/>
      <c r="AD17" s="137"/>
      <c r="AE17" s="137"/>
    </row>
    <row r="18" spans="1:31" x14ac:dyDescent="0.2">
      <c r="A18" s="109">
        <v>43838</v>
      </c>
      <c r="B18" s="110">
        <v>3</v>
      </c>
      <c r="C18" s="135">
        <v>2.5</v>
      </c>
      <c r="D18" s="232">
        <v>13455.584423987801</v>
      </c>
      <c r="E18" s="116">
        <f t="shared" si="2"/>
        <v>13427.834396784023</v>
      </c>
      <c r="F18" s="133" t="s">
        <v>55</v>
      </c>
      <c r="G18" s="133">
        <v>150.31606385100818</v>
      </c>
      <c r="H18" s="137"/>
      <c r="I18" s="137"/>
      <c r="J18" s="144"/>
      <c r="K18" s="220"/>
      <c r="L18" s="144"/>
      <c r="O18" s="139"/>
      <c r="P18" s="139"/>
      <c r="Q18" s="139"/>
      <c r="R18" s="139"/>
      <c r="S18" s="139"/>
      <c r="T18" s="139"/>
      <c r="U18" s="139"/>
      <c r="V18" s="139"/>
      <c r="W18" s="139"/>
      <c r="Y18" s="137"/>
      <c r="Z18" s="137"/>
      <c r="AA18" s="137"/>
      <c r="AB18" s="144"/>
      <c r="AC18" s="220"/>
      <c r="AD18" s="144"/>
      <c r="AE18" s="137"/>
    </row>
    <row r="19" spans="1:31" x14ac:dyDescent="0.2">
      <c r="A19" s="123">
        <v>43838</v>
      </c>
      <c r="B19" s="124">
        <v>3</v>
      </c>
      <c r="C19" s="141">
        <v>5</v>
      </c>
      <c r="D19" s="235">
        <v>27285.0340898334</v>
      </c>
      <c r="E19" s="126">
        <f t="shared" si="2"/>
        <v>27257.284062629624</v>
      </c>
      <c r="F19" s="148" t="s">
        <v>56</v>
      </c>
      <c r="G19" s="148">
        <v>5</v>
      </c>
      <c r="H19" s="141"/>
      <c r="I19" s="141"/>
      <c r="J19" s="143"/>
      <c r="K19" s="280"/>
      <c r="L19" s="143"/>
      <c r="M19" s="141"/>
      <c r="N19" s="141"/>
      <c r="O19" s="142"/>
      <c r="P19" s="142"/>
      <c r="Q19" s="142"/>
      <c r="R19" s="142"/>
      <c r="S19" s="142"/>
      <c r="T19" s="142"/>
      <c r="U19" s="142"/>
      <c r="V19" s="142"/>
      <c r="W19" s="142"/>
      <c r="X19" s="141"/>
      <c r="Y19" s="141"/>
      <c r="Z19" s="137"/>
      <c r="AA19" s="137"/>
      <c r="AB19" s="144"/>
      <c r="AC19" s="220"/>
      <c r="AD19" s="144"/>
      <c r="AE19" s="137"/>
    </row>
    <row r="20" spans="1:31" x14ac:dyDescent="0.2">
      <c r="A20" s="290">
        <v>43789</v>
      </c>
      <c r="B20" s="291">
        <v>1</v>
      </c>
      <c r="C20" s="135">
        <v>0</v>
      </c>
      <c r="D20" s="224">
        <v>8.2500024062507098</v>
      </c>
      <c r="E20" s="116">
        <f>D20-$D$20</f>
        <v>0</v>
      </c>
      <c r="F20" s="213" t="s">
        <v>51</v>
      </c>
      <c r="G20" s="213"/>
      <c r="H20" s="146"/>
      <c r="I20" s="146" t="s">
        <v>62</v>
      </c>
      <c r="J20" s="146" t="s">
        <v>63</v>
      </c>
      <c r="K20" s="146" t="s">
        <v>64</v>
      </c>
      <c r="L20" s="146" t="s">
        <v>65</v>
      </c>
      <c r="M20" s="146" t="s">
        <v>66</v>
      </c>
      <c r="N20" s="146"/>
      <c r="O20" s="215" t="s">
        <v>67</v>
      </c>
      <c r="P20" s="215" t="s">
        <v>270</v>
      </c>
      <c r="Q20" s="215" t="s">
        <v>271</v>
      </c>
      <c r="R20" s="215" t="s">
        <v>68</v>
      </c>
      <c r="S20" s="215" t="s">
        <v>69</v>
      </c>
      <c r="T20" s="215" t="s">
        <v>70</v>
      </c>
      <c r="U20" s="215" t="s">
        <v>71</v>
      </c>
      <c r="V20" s="215" t="s">
        <v>72</v>
      </c>
      <c r="W20" s="215" t="s">
        <v>73</v>
      </c>
      <c r="Y20" s="137"/>
      <c r="Z20" s="137"/>
      <c r="AA20" s="137"/>
      <c r="AB20" s="137"/>
      <c r="AC20" s="137"/>
      <c r="AD20" s="137"/>
      <c r="AE20" s="137"/>
    </row>
    <row r="21" spans="1:31" x14ac:dyDescent="0.2">
      <c r="A21" s="290">
        <v>43789</v>
      </c>
      <c r="B21" s="291">
        <v>1</v>
      </c>
      <c r="C21" s="135">
        <v>0.25</v>
      </c>
      <c r="D21" s="224">
        <v>1344.06327669896</v>
      </c>
      <c r="E21" s="116">
        <f t="shared" ref="E21:E25" si="3">D21-$D$20</f>
        <v>1335.8132742927091</v>
      </c>
      <c r="F21" s="133" t="s">
        <v>52</v>
      </c>
      <c r="G21" s="133">
        <v>0.99991415881906132</v>
      </c>
      <c r="H21" s="133" t="s">
        <v>58</v>
      </c>
      <c r="I21" s="133">
        <v>1</v>
      </c>
      <c r="J21" s="133">
        <v>423513033.82448173</v>
      </c>
      <c r="K21" s="133">
        <v>423513033.82448173</v>
      </c>
      <c r="L21" s="133">
        <v>17471.880555543023</v>
      </c>
      <c r="M21" s="133">
        <v>9.5471070184669954E-7</v>
      </c>
      <c r="N21" s="133" t="s">
        <v>61</v>
      </c>
      <c r="O21" s="134">
        <v>-37.028512347809738</v>
      </c>
      <c r="P21" s="134">
        <v>103.211441850965</v>
      </c>
      <c r="Q21" s="134">
        <f>P21*SQRT(G25)</f>
        <v>230.78780003452448</v>
      </c>
      <c r="R21" s="134">
        <v>-0.35876363786563525</v>
      </c>
      <c r="S21" s="134">
        <v>0.74353445345926206</v>
      </c>
      <c r="T21" s="134">
        <v>-365.49338412941825</v>
      </c>
      <c r="U21" s="134">
        <v>291.43635943379877</v>
      </c>
      <c r="V21" s="134">
        <v>-365.49338412941825</v>
      </c>
      <c r="W21" s="134">
        <v>291.43635943379877</v>
      </c>
      <c r="X21" s="162">
        <f>3.3*Q21/O22</f>
        <v>0.1436885152982508</v>
      </c>
      <c r="Y21" s="162">
        <f>10*Q21/O22</f>
        <v>0.43541974332803279</v>
      </c>
      <c r="Z21" s="145"/>
      <c r="AA21" s="145"/>
      <c r="AB21" s="137"/>
      <c r="AC21" s="137"/>
      <c r="AD21" s="137"/>
      <c r="AE21" s="137"/>
    </row>
    <row r="22" spans="1:31" x14ac:dyDescent="0.2">
      <c r="A22" s="290">
        <v>43789</v>
      </c>
      <c r="B22" s="291">
        <v>1</v>
      </c>
      <c r="C22" s="135">
        <v>0.5</v>
      </c>
      <c r="D22" s="224">
        <v>2641.74427063238</v>
      </c>
      <c r="E22" s="116">
        <f t="shared" si="3"/>
        <v>2633.4942682261294</v>
      </c>
      <c r="F22" s="133" t="s">
        <v>53</v>
      </c>
      <c r="G22" s="133">
        <v>0.99982832500683105</v>
      </c>
      <c r="H22" s="133" t="s">
        <v>59</v>
      </c>
      <c r="I22" s="133">
        <v>3</v>
      </c>
      <c r="J22" s="133">
        <v>72719.081236527898</v>
      </c>
      <c r="K22" s="133">
        <v>24239.693745509299</v>
      </c>
      <c r="L22" s="133"/>
      <c r="M22" s="133"/>
      <c r="N22" s="133" t="s">
        <v>74</v>
      </c>
      <c r="O22" s="134">
        <v>5300.3522134882969</v>
      </c>
      <c r="P22" s="134">
        <v>40.099125721340542</v>
      </c>
      <c r="Q22" s="134"/>
      <c r="R22" s="134">
        <v>132.18124131488179</v>
      </c>
      <c r="S22" s="134">
        <v>9.5471070184670293E-7</v>
      </c>
      <c r="T22" s="134">
        <v>5172.7388989913097</v>
      </c>
      <c r="U22" s="134">
        <v>5427.9655279852841</v>
      </c>
      <c r="V22" s="134">
        <v>5172.7388989913097</v>
      </c>
      <c r="W22" s="134">
        <v>5427.9655279852841</v>
      </c>
      <c r="Y22" s="133"/>
      <c r="Z22" s="133"/>
      <c r="AA22" s="133"/>
      <c r="AB22" s="137"/>
      <c r="AC22" s="137"/>
      <c r="AD22" s="137"/>
      <c r="AE22" s="137"/>
    </row>
    <row r="23" spans="1:31" x14ac:dyDescent="0.2">
      <c r="A23" s="290">
        <v>43789</v>
      </c>
      <c r="B23" s="291">
        <v>1</v>
      </c>
      <c r="C23" s="135">
        <v>1.25</v>
      </c>
      <c r="D23" s="224">
        <v>6669.0573698470898</v>
      </c>
      <c r="E23" s="116">
        <f t="shared" si="3"/>
        <v>6660.8073674408388</v>
      </c>
      <c r="F23" s="133" t="s">
        <v>54</v>
      </c>
      <c r="G23" s="133">
        <v>0.99977110000910807</v>
      </c>
      <c r="H23" s="133" t="s">
        <v>60</v>
      </c>
      <c r="I23" s="133">
        <v>4</v>
      </c>
      <c r="J23" s="133">
        <v>423585752.90571827</v>
      </c>
      <c r="K23" s="133"/>
      <c r="L23" s="133"/>
      <c r="M23" s="133"/>
      <c r="N23" s="137"/>
      <c r="O23" s="138"/>
      <c r="P23" s="138"/>
      <c r="Q23" s="138"/>
      <c r="R23" s="138"/>
      <c r="S23" s="138"/>
      <c r="T23" s="138"/>
      <c r="U23" s="138"/>
      <c r="V23" s="138"/>
      <c r="W23" s="138"/>
      <c r="Y23" s="133"/>
      <c r="Z23" s="133"/>
      <c r="AA23" s="133"/>
      <c r="AB23" s="137"/>
      <c r="AC23" s="137"/>
      <c r="AD23" s="137"/>
      <c r="AE23" s="137"/>
    </row>
    <row r="24" spans="1:31" x14ac:dyDescent="0.2">
      <c r="A24" s="290">
        <v>43789</v>
      </c>
      <c r="B24" s="291">
        <v>1</v>
      </c>
      <c r="C24" s="135">
        <v>2.5</v>
      </c>
      <c r="D24" s="224">
        <v>12986.1524982831</v>
      </c>
      <c r="E24" s="116">
        <f t="shared" si="3"/>
        <v>12977.90249587685</v>
      </c>
      <c r="F24" s="133" t="s">
        <v>55</v>
      </c>
      <c r="G24" s="133">
        <v>155.69102011840405</v>
      </c>
      <c r="H24" s="133"/>
      <c r="I24" s="133"/>
      <c r="J24" s="137"/>
      <c r="K24" s="137"/>
      <c r="L24" s="137"/>
      <c r="O24" s="139"/>
      <c r="P24" s="139"/>
      <c r="Q24" s="139"/>
      <c r="R24" s="139"/>
      <c r="S24" s="139"/>
      <c r="T24" s="139"/>
      <c r="U24" s="139"/>
      <c r="V24" s="139"/>
      <c r="W24" s="139"/>
      <c r="Y24" s="133"/>
      <c r="Z24" s="133"/>
      <c r="AA24" s="133"/>
      <c r="AB24" s="137"/>
      <c r="AC24" s="137"/>
      <c r="AD24" s="137"/>
      <c r="AE24" s="137"/>
    </row>
    <row r="25" spans="1:31" x14ac:dyDescent="0.2">
      <c r="A25" s="292">
        <v>43789</v>
      </c>
      <c r="B25" s="293">
        <v>1</v>
      </c>
      <c r="C25" s="141">
        <v>5</v>
      </c>
      <c r="D25" s="225">
        <v>26568.4360629695</v>
      </c>
      <c r="E25" s="126">
        <f t="shared" si="3"/>
        <v>26560.18606056325</v>
      </c>
      <c r="F25" s="148" t="s">
        <v>56</v>
      </c>
      <c r="G25" s="148">
        <v>5</v>
      </c>
      <c r="H25" s="148"/>
      <c r="I25" s="148"/>
      <c r="J25" s="141"/>
      <c r="K25" s="141"/>
      <c r="L25" s="141"/>
      <c r="M25" s="141"/>
      <c r="N25" s="141"/>
      <c r="O25" s="142"/>
      <c r="P25" s="142"/>
      <c r="Q25" s="142"/>
      <c r="R25" s="142"/>
      <c r="S25" s="142"/>
      <c r="T25" s="142"/>
      <c r="U25" s="142"/>
      <c r="V25" s="142"/>
      <c r="W25" s="142"/>
      <c r="X25" s="141"/>
      <c r="Y25" s="148"/>
      <c r="Z25" s="133"/>
      <c r="AA25" s="133"/>
      <c r="AB25" s="137"/>
      <c r="AC25" s="137"/>
      <c r="AD25" s="137"/>
      <c r="AE25" s="137"/>
    </row>
    <row r="26" spans="1:31" x14ac:dyDescent="0.2">
      <c r="A26" s="109">
        <v>43888</v>
      </c>
      <c r="B26" s="110">
        <v>1</v>
      </c>
      <c r="C26" s="115">
        <v>0</v>
      </c>
      <c r="D26" s="176">
        <v>11.5000046550019</v>
      </c>
      <c r="E26" s="116">
        <f>D26-$D$26</f>
        <v>0</v>
      </c>
      <c r="F26" s="213" t="s">
        <v>51</v>
      </c>
      <c r="G26" s="213"/>
      <c r="H26" s="146"/>
      <c r="I26" s="146" t="s">
        <v>62</v>
      </c>
      <c r="J26" s="146" t="s">
        <v>63</v>
      </c>
      <c r="K26" s="146" t="s">
        <v>64</v>
      </c>
      <c r="L26" s="146" t="s">
        <v>65</v>
      </c>
      <c r="M26" s="146" t="s">
        <v>66</v>
      </c>
      <c r="N26" s="146"/>
      <c r="O26" s="215" t="s">
        <v>67</v>
      </c>
      <c r="P26" s="215" t="s">
        <v>270</v>
      </c>
      <c r="Q26" s="215" t="s">
        <v>271</v>
      </c>
      <c r="R26" s="215" t="s">
        <v>68</v>
      </c>
      <c r="S26" s="215" t="s">
        <v>69</v>
      </c>
      <c r="T26" s="215" t="s">
        <v>70</v>
      </c>
      <c r="U26" s="215" t="s">
        <v>71</v>
      </c>
      <c r="V26" s="215" t="s">
        <v>72</v>
      </c>
      <c r="W26" s="215" t="s">
        <v>73</v>
      </c>
    </row>
    <row r="27" spans="1:31" x14ac:dyDescent="0.2">
      <c r="A27" s="109">
        <v>43888</v>
      </c>
      <c r="B27" s="110">
        <v>1</v>
      </c>
      <c r="C27" s="115">
        <v>0.25</v>
      </c>
      <c r="D27" s="176">
        <v>2591.2350773621401</v>
      </c>
      <c r="E27" s="116">
        <f t="shared" ref="E27:E31" si="4">D27-$D$26</f>
        <v>2579.7350727071384</v>
      </c>
      <c r="F27" s="133" t="s">
        <v>52</v>
      </c>
      <c r="G27" s="133">
        <v>0.99989653214549057</v>
      </c>
      <c r="H27" s="133" t="s">
        <v>58</v>
      </c>
      <c r="I27" s="133">
        <v>1</v>
      </c>
      <c r="J27" s="133">
        <v>1779579086.5201423</v>
      </c>
      <c r="K27" s="133">
        <v>1779579086.5201423</v>
      </c>
      <c r="L27" s="133">
        <v>14495.006284341549</v>
      </c>
      <c r="M27" s="133">
        <v>1.2633837383242452E-6</v>
      </c>
      <c r="N27" s="133" t="s">
        <v>61</v>
      </c>
      <c r="O27" s="134">
        <v>-306.05139400719781</v>
      </c>
      <c r="P27" s="134">
        <v>232.28101952370642</v>
      </c>
      <c r="Q27" s="134">
        <f>P27*SQRT(G31)</f>
        <v>519.39614953796342</v>
      </c>
      <c r="R27" s="134">
        <v>-1.3175910568791112</v>
      </c>
      <c r="S27" s="134">
        <v>0.27922782991180661</v>
      </c>
      <c r="T27" s="134">
        <v>-1045.2732663779504</v>
      </c>
      <c r="U27" s="134">
        <v>433.17047836355482</v>
      </c>
      <c r="V27" s="134">
        <v>-1045.2732663779504</v>
      </c>
      <c r="W27" s="134">
        <v>433.17047836355482</v>
      </c>
      <c r="X27" s="162">
        <f>3.3*Q27/O28</f>
        <v>0.15775483522714182</v>
      </c>
      <c r="Y27" s="162">
        <f>10*Q27/O28</f>
        <v>0.47804495523376311</v>
      </c>
    </row>
    <row r="28" spans="1:31" x14ac:dyDescent="0.2">
      <c r="A28" s="109">
        <v>43888</v>
      </c>
      <c r="B28" s="110">
        <v>1</v>
      </c>
      <c r="C28" s="115">
        <v>0.5</v>
      </c>
      <c r="D28" s="176">
        <v>5132.4220448667402</v>
      </c>
      <c r="E28" s="116">
        <f t="shared" si="4"/>
        <v>5120.922040211738</v>
      </c>
      <c r="F28" s="133" t="s">
        <v>53</v>
      </c>
      <c r="G28" s="133">
        <v>0.99979307499657799</v>
      </c>
      <c r="H28" s="133" t="s">
        <v>59</v>
      </c>
      <c r="I28" s="133">
        <v>3</v>
      </c>
      <c r="J28" s="133">
        <v>368315.62227935554</v>
      </c>
      <c r="K28" s="133">
        <v>122771.87409311852</v>
      </c>
      <c r="L28" s="133"/>
      <c r="M28" s="133"/>
      <c r="N28" s="133" t="s">
        <v>74</v>
      </c>
      <c r="O28" s="134">
        <v>10865.00639430406</v>
      </c>
      <c r="P28" s="134">
        <v>90.244508142923095</v>
      </c>
      <c r="Q28" s="134"/>
      <c r="R28" s="134">
        <v>120.3952087266829</v>
      </c>
      <c r="S28" s="134">
        <v>1.2633837383242452E-6</v>
      </c>
      <c r="T28" s="134">
        <v>10577.808092792469</v>
      </c>
      <c r="U28" s="134">
        <v>11152.204695815652</v>
      </c>
      <c r="V28" s="134">
        <v>10577.808092792469</v>
      </c>
      <c r="W28" s="134">
        <v>11152.204695815652</v>
      </c>
    </row>
    <row r="29" spans="1:31" x14ac:dyDescent="0.2">
      <c r="A29" s="109">
        <v>43888</v>
      </c>
      <c r="B29" s="110">
        <v>1</v>
      </c>
      <c r="C29" s="115">
        <v>1.25</v>
      </c>
      <c r="D29" s="176">
        <v>13426.559513193401</v>
      </c>
      <c r="E29" s="116">
        <f t="shared" si="4"/>
        <v>13415.059508538399</v>
      </c>
      <c r="F29" s="133" t="s">
        <v>54</v>
      </c>
      <c r="G29" s="133">
        <v>0.99972409999543732</v>
      </c>
      <c r="H29" s="133" t="s">
        <v>60</v>
      </c>
      <c r="I29" s="133">
        <v>4</v>
      </c>
      <c r="J29" s="133">
        <v>1779947402.1424217</v>
      </c>
      <c r="K29" s="133"/>
      <c r="L29" s="133"/>
      <c r="M29" s="133"/>
      <c r="N29" s="137"/>
      <c r="O29" s="138"/>
      <c r="P29" s="138"/>
      <c r="Q29" s="138"/>
      <c r="R29" s="138"/>
      <c r="S29" s="138"/>
      <c r="T29" s="138"/>
      <c r="U29" s="138"/>
      <c r="V29" s="138"/>
      <c r="W29" s="138"/>
    </row>
    <row r="30" spans="1:31" x14ac:dyDescent="0.2">
      <c r="A30" s="109">
        <v>43888</v>
      </c>
      <c r="B30" s="110">
        <v>1</v>
      </c>
      <c r="C30" s="115">
        <v>2.5</v>
      </c>
      <c r="D30" s="176">
        <v>26346.022555726398</v>
      </c>
      <c r="E30" s="116">
        <f t="shared" si="4"/>
        <v>26334.522551071397</v>
      </c>
      <c r="F30" s="133" t="s">
        <v>55</v>
      </c>
      <c r="G30" s="133">
        <v>350.38817630325161</v>
      </c>
      <c r="H30" s="137"/>
      <c r="I30" s="137"/>
      <c r="J30" s="137"/>
      <c r="K30" s="137"/>
      <c r="L30" s="137"/>
      <c r="M30" s="137"/>
      <c r="N30" s="137"/>
      <c r="O30" s="138"/>
      <c r="P30" s="138"/>
      <c r="Q30" s="138"/>
      <c r="R30" s="138"/>
      <c r="S30" s="138"/>
      <c r="T30" s="138"/>
      <c r="U30" s="138"/>
      <c r="V30" s="138"/>
      <c r="W30" s="138"/>
    </row>
    <row r="31" spans="1:31" x14ac:dyDescent="0.2">
      <c r="A31" s="123">
        <v>43888</v>
      </c>
      <c r="B31" s="124">
        <v>1</v>
      </c>
      <c r="C31" s="156">
        <v>5</v>
      </c>
      <c r="D31" s="181">
        <v>54248.5646079789</v>
      </c>
      <c r="E31" s="126">
        <f t="shared" si="4"/>
        <v>54237.064603323895</v>
      </c>
      <c r="F31" s="148" t="s">
        <v>56</v>
      </c>
      <c r="G31" s="148">
        <v>5</v>
      </c>
      <c r="H31" s="141"/>
      <c r="I31" s="141"/>
      <c r="J31" s="141"/>
      <c r="K31" s="141"/>
      <c r="L31" s="141"/>
      <c r="M31" s="141"/>
      <c r="N31" s="141"/>
      <c r="O31" s="142"/>
      <c r="P31" s="142"/>
      <c r="Q31" s="142"/>
      <c r="R31" s="142"/>
      <c r="S31" s="142"/>
      <c r="T31" s="142"/>
      <c r="U31" s="142"/>
      <c r="V31" s="142"/>
      <c r="W31" s="142"/>
      <c r="X31" s="141"/>
      <c r="Y31" s="141"/>
    </row>
    <row r="32" spans="1:31" x14ac:dyDescent="0.2">
      <c r="A32" s="109">
        <v>43888</v>
      </c>
      <c r="B32" s="110">
        <v>2</v>
      </c>
      <c r="C32" s="135">
        <v>0</v>
      </c>
      <c r="D32" s="224">
        <v>12.5000058275029</v>
      </c>
      <c r="E32" s="116">
        <f>D32-$D$32</f>
        <v>0</v>
      </c>
      <c r="F32" s="213" t="s">
        <v>51</v>
      </c>
      <c r="G32" s="213"/>
      <c r="H32" s="146"/>
      <c r="I32" s="146" t="s">
        <v>62</v>
      </c>
      <c r="J32" s="146" t="s">
        <v>63</v>
      </c>
      <c r="K32" s="146" t="s">
        <v>64</v>
      </c>
      <c r="L32" s="146" t="s">
        <v>65</v>
      </c>
      <c r="M32" s="146" t="s">
        <v>66</v>
      </c>
      <c r="N32" s="146"/>
      <c r="O32" s="215" t="s">
        <v>67</v>
      </c>
      <c r="P32" s="215" t="s">
        <v>270</v>
      </c>
      <c r="Q32" s="215" t="s">
        <v>271</v>
      </c>
      <c r="R32" s="215" t="s">
        <v>68</v>
      </c>
      <c r="S32" s="215" t="s">
        <v>69</v>
      </c>
      <c r="T32" s="215" t="s">
        <v>70</v>
      </c>
      <c r="U32" s="215" t="s">
        <v>71</v>
      </c>
      <c r="V32" s="215" t="s">
        <v>72</v>
      </c>
      <c r="W32" s="215" t="s">
        <v>73</v>
      </c>
    </row>
    <row r="33" spans="1:30" x14ac:dyDescent="0.2">
      <c r="A33" s="109">
        <v>43888</v>
      </c>
      <c r="B33" s="110">
        <v>2</v>
      </c>
      <c r="C33" s="135">
        <v>0.25</v>
      </c>
      <c r="D33" s="224">
        <v>2402.2020177444901</v>
      </c>
      <c r="E33" s="116">
        <f t="shared" ref="E33:E37" si="5">D33-$D$32</f>
        <v>2389.7020119169874</v>
      </c>
      <c r="F33" s="133" t="s">
        <v>52</v>
      </c>
      <c r="G33" s="133">
        <v>0.99997715873408854</v>
      </c>
      <c r="H33" s="133" t="s">
        <v>58</v>
      </c>
      <c r="I33" s="133">
        <v>1</v>
      </c>
      <c r="J33" s="133">
        <v>1455374571.4286201</v>
      </c>
      <c r="K33" s="133">
        <v>1455374571.4286201</v>
      </c>
      <c r="L33" s="133">
        <v>65668.365893530528</v>
      </c>
      <c r="M33" s="133">
        <v>1.3104263705029509E-7</v>
      </c>
      <c r="N33" s="133" t="s">
        <v>61</v>
      </c>
      <c r="O33" s="134">
        <v>9.4574813693798205</v>
      </c>
      <c r="P33" s="134">
        <v>98.690095111017698</v>
      </c>
      <c r="Q33" s="134">
        <f>P33*SQRT(G37)</f>
        <v>220.67776137415524</v>
      </c>
      <c r="R33" s="134">
        <v>9.5830096817122165E-2</v>
      </c>
      <c r="S33" s="134">
        <v>0.92969816473704125</v>
      </c>
      <c r="T33" s="134">
        <v>-304.6184471847763</v>
      </c>
      <c r="U33" s="134">
        <v>323.53340992353594</v>
      </c>
      <c r="V33" s="134">
        <v>-304.6184471847763</v>
      </c>
      <c r="W33" s="134">
        <v>323.53340992353594</v>
      </c>
      <c r="X33" s="162">
        <f>3.3*Q33/O34</f>
        <v>7.4116308215982571E-2</v>
      </c>
      <c r="Y33" s="162">
        <f>10*Q33/O34</f>
        <v>0.22459487338176537</v>
      </c>
    </row>
    <row r="34" spans="1:30" x14ac:dyDescent="0.2">
      <c r="A34" s="109">
        <v>43888</v>
      </c>
      <c r="B34" s="110">
        <v>2</v>
      </c>
      <c r="C34" s="135">
        <v>0.5</v>
      </c>
      <c r="D34" s="224">
        <v>4843.0709154962296</v>
      </c>
      <c r="E34" s="116">
        <f t="shared" si="5"/>
        <v>4830.5709096687269</v>
      </c>
      <c r="F34" s="133" t="s">
        <v>53</v>
      </c>
      <c r="G34" s="133">
        <v>0.99995431798990042</v>
      </c>
      <c r="H34" s="133" t="s">
        <v>59</v>
      </c>
      <c r="I34" s="133">
        <v>3</v>
      </c>
      <c r="J34" s="133">
        <v>66487.473152061473</v>
      </c>
      <c r="K34" s="133">
        <v>22162.491050687157</v>
      </c>
      <c r="L34" s="133"/>
      <c r="M34" s="133"/>
      <c r="N34" s="133" t="s">
        <v>74</v>
      </c>
      <c r="O34" s="134">
        <v>9825.5921006285898</v>
      </c>
      <c r="P34" s="134">
        <v>38.342517654410102</v>
      </c>
      <c r="Q34" s="134"/>
      <c r="R34" s="134">
        <v>256.25839672785452</v>
      </c>
      <c r="S34" s="134">
        <v>1.3104263705029557E-7</v>
      </c>
      <c r="T34" s="134">
        <v>9703.5690969840362</v>
      </c>
      <c r="U34" s="134">
        <v>9947.6151042731435</v>
      </c>
      <c r="V34" s="134">
        <v>9703.5690969840362</v>
      </c>
      <c r="W34" s="134">
        <v>9947.6151042731435</v>
      </c>
    </row>
    <row r="35" spans="1:30" x14ac:dyDescent="0.2">
      <c r="A35" s="109">
        <v>43888</v>
      </c>
      <c r="B35" s="110">
        <v>2</v>
      </c>
      <c r="C35" s="135">
        <v>1.25</v>
      </c>
      <c r="D35" s="224">
        <v>12528.991796010199</v>
      </c>
      <c r="E35" s="116">
        <f t="shared" si="5"/>
        <v>12516.491790182696</v>
      </c>
      <c r="F35" s="133" t="s">
        <v>54</v>
      </c>
      <c r="G35" s="133">
        <v>0.99993909065320052</v>
      </c>
      <c r="H35" s="133" t="s">
        <v>60</v>
      </c>
      <c r="I35" s="133">
        <v>4</v>
      </c>
      <c r="J35" s="133">
        <v>1455441058.9017723</v>
      </c>
      <c r="K35" s="133"/>
      <c r="L35" s="133"/>
      <c r="M35" s="133"/>
      <c r="N35" s="137"/>
      <c r="O35" s="138"/>
      <c r="P35" s="138"/>
      <c r="Q35" s="138"/>
      <c r="R35" s="138"/>
      <c r="S35" s="138"/>
      <c r="T35" s="138"/>
      <c r="U35" s="138"/>
      <c r="V35" s="138"/>
      <c r="W35" s="138"/>
    </row>
    <row r="36" spans="1:30" x14ac:dyDescent="0.2">
      <c r="A36" s="109">
        <v>43888</v>
      </c>
      <c r="B36" s="110">
        <v>2</v>
      </c>
      <c r="C36" s="135">
        <v>2.5</v>
      </c>
      <c r="D36" s="224">
        <v>24558.091823612001</v>
      </c>
      <c r="E36" s="116">
        <f t="shared" si="5"/>
        <v>24545.591817784498</v>
      </c>
      <c r="F36" s="133" t="s">
        <v>55</v>
      </c>
      <c r="G36" s="133">
        <v>148.87071925226653</v>
      </c>
    </row>
    <row r="37" spans="1:30" x14ac:dyDescent="0.2">
      <c r="A37" s="123">
        <v>43888</v>
      </c>
      <c r="B37" s="124">
        <v>2</v>
      </c>
      <c r="C37" s="141">
        <v>5</v>
      </c>
      <c r="D37" s="225">
        <v>49120.555839093096</v>
      </c>
      <c r="E37" s="126">
        <f t="shared" si="5"/>
        <v>49108.055833265593</v>
      </c>
      <c r="F37" s="148" t="s">
        <v>56</v>
      </c>
      <c r="G37" s="148">
        <v>5</v>
      </c>
      <c r="H37" s="141"/>
      <c r="I37" s="141"/>
      <c r="J37" s="141"/>
      <c r="K37" s="141"/>
      <c r="L37" s="141"/>
      <c r="M37" s="141"/>
      <c r="N37" s="141"/>
      <c r="O37" s="141"/>
      <c r="P37" s="141"/>
      <c r="Q37" s="141"/>
      <c r="R37" s="141"/>
      <c r="S37" s="141"/>
      <c r="T37" s="141"/>
      <c r="U37" s="141"/>
      <c r="V37" s="141"/>
      <c r="W37" s="141"/>
      <c r="X37" s="141"/>
      <c r="Y37" s="141"/>
    </row>
    <row r="45" spans="1:30" x14ac:dyDescent="0.2">
      <c r="G45" s="137"/>
      <c r="H45" s="137"/>
      <c r="I45" s="137"/>
      <c r="J45" s="137"/>
      <c r="K45" s="137"/>
      <c r="L45" s="137"/>
      <c r="M45" s="137"/>
    </row>
    <row r="46" spans="1:30" x14ac:dyDescent="0.2">
      <c r="G46" s="137"/>
      <c r="H46" s="137"/>
      <c r="I46" s="137"/>
      <c r="J46" s="144"/>
      <c r="K46" s="220"/>
      <c r="L46" s="144"/>
      <c r="M46" s="137"/>
      <c r="Y46" s="137"/>
      <c r="Z46" s="137"/>
      <c r="AA46" s="137"/>
      <c r="AB46" s="144"/>
      <c r="AC46" s="220"/>
      <c r="AD46" s="144"/>
    </row>
    <row r="47" spans="1:30" x14ac:dyDescent="0.2">
      <c r="G47" s="137"/>
      <c r="H47" s="137"/>
      <c r="I47" s="137"/>
      <c r="J47" s="144"/>
      <c r="K47" s="220"/>
      <c r="L47" s="144"/>
      <c r="M47" s="137"/>
      <c r="Y47" s="137"/>
      <c r="Z47" s="137"/>
      <c r="AA47" s="137"/>
      <c r="AB47" s="144"/>
      <c r="AC47" s="220"/>
      <c r="AD47" s="144"/>
    </row>
    <row r="48" spans="1:30" x14ac:dyDescent="0.2">
      <c r="G48" s="137"/>
      <c r="H48" s="137"/>
      <c r="I48" s="137"/>
      <c r="J48" s="137"/>
      <c r="K48" s="137"/>
      <c r="L48" s="137"/>
      <c r="M48" s="137"/>
      <c r="Y48" s="137"/>
      <c r="Z48" s="137"/>
      <c r="AA48" s="137"/>
      <c r="AB48" s="137"/>
      <c r="AC48" s="137"/>
      <c r="AD48" s="137"/>
    </row>
    <row r="49" spans="7:30" x14ac:dyDescent="0.2">
      <c r="G49" s="137"/>
      <c r="H49" s="137"/>
      <c r="I49" s="137"/>
      <c r="J49" s="137"/>
      <c r="K49" s="137"/>
      <c r="L49" s="137"/>
      <c r="M49" s="137"/>
      <c r="Y49" s="137"/>
      <c r="Z49" s="137"/>
      <c r="AA49" s="137"/>
      <c r="AB49" s="137"/>
      <c r="AC49" s="137"/>
      <c r="AD49" s="137"/>
    </row>
    <row r="50" spans="7:30" x14ac:dyDescent="0.2">
      <c r="G50" s="145"/>
      <c r="H50" s="145"/>
      <c r="I50" s="145"/>
      <c r="J50" s="137"/>
      <c r="K50" s="137"/>
      <c r="L50" s="137"/>
      <c r="M50" s="137"/>
      <c r="Y50" s="145"/>
      <c r="Z50" s="145"/>
      <c r="AA50" s="145"/>
      <c r="AB50" s="137"/>
      <c r="AC50" s="137"/>
      <c r="AD50" s="137"/>
    </row>
    <row r="51" spans="7:30" x14ac:dyDescent="0.2">
      <c r="G51" s="133"/>
      <c r="H51" s="133"/>
      <c r="I51" s="133"/>
      <c r="J51" s="137"/>
      <c r="K51" s="137"/>
      <c r="L51" s="137"/>
      <c r="M51" s="137"/>
      <c r="Y51" s="133"/>
      <c r="Z51" s="133"/>
      <c r="AA51" s="133"/>
      <c r="AB51" s="137"/>
      <c r="AC51" s="137"/>
      <c r="AD51" s="137"/>
    </row>
    <row r="52" spans="7:30" x14ac:dyDescent="0.2">
      <c r="G52" s="133"/>
      <c r="H52" s="133"/>
      <c r="I52" s="133"/>
      <c r="J52" s="137"/>
      <c r="K52" s="137"/>
      <c r="L52" s="137"/>
      <c r="M52" s="137"/>
      <c r="Y52" s="133"/>
      <c r="Z52" s="133"/>
      <c r="AA52" s="133"/>
      <c r="AB52" s="137"/>
      <c r="AC52" s="137"/>
      <c r="AD52" s="137"/>
    </row>
    <row r="53" spans="7:30" x14ac:dyDescent="0.2">
      <c r="G53" s="133"/>
      <c r="H53" s="133"/>
      <c r="I53" s="133"/>
      <c r="J53" s="137"/>
      <c r="K53" s="137"/>
      <c r="L53" s="137"/>
      <c r="M53" s="137"/>
      <c r="Y53" s="133"/>
      <c r="Z53" s="133"/>
      <c r="AA53" s="133"/>
      <c r="AB53" s="137"/>
      <c r="AC53" s="137"/>
      <c r="AD53" s="137"/>
    </row>
    <row r="54" spans="7:30" x14ac:dyDescent="0.2">
      <c r="G54" s="133"/>
      <c r="H54" s="133"/>
      <c r="I54" s="133"/>
      <c r="J54" s="137"/>
      <c r="K54" s="137"/>
      <c r="L54" s="137"/>
      <c r="M54" s="137"/>
      <c r="Y54" s="133"/>
      <c r="Z54" s="133"/>
      <c r="AA54" s="133"/>
      <c r="AB54" s="137"/>
      <c r="AC54" s="137"/>
      <c r="AD54" s="137"/>
    </row>
    <row r="55" spans="7:30" x14ac:dyDescent="0.2">
      <c r="G55" s="133"/>
      <c r="H55" s="133"/>
      <c r="I55" s="133"/>
      <c r="J55" s="137"/>
      <c r="K55" s="137"/>
      <c r="L55" s="137"/>
      <c r="M55" s="137"/>
      <c r="Y55" s="133"/>
      <c r="Z55" s="133"/>
      <c r="AA55" s="133"/>
      <c r="AB55" s="137"/>
      <c r="AC55" s="137"/>
      <c r="AD55" s="137"/>
    </row>
    <row r="56" spans="7:30" x14ac:dyDescent="0.2">
      <c r="G56" s="137"/>
      <c r="H56" s="137"/>
      <c r="I56" s="137"/>
      <c r="J56" s="137"/>
      <c r="K56" s="137"/>
      <c r="L56" s="137"/>
      <c r="M56" s="137"/>
    </row>
    <row r="77" spans="7:31" x14ac:dyDescent="0.2">
      <c r="G77" s="137"/>
      <c r="H77" s="137"/>
      <c r="I77" s="137"/>
      <c r="J77" s="144"/>
      <c r="K77" s="220"/>
      <c r="L77" s="144"/>
      <c r="M77" s="137"/>
      <c r="N77" s="137"/>
      <c r="Y77" s="137"/>
      <c r="Z77" s="137"/>
      <c r="AA77" s="137"/>
      <c r="AB77" s="144"/>
      <c r="AC77" s="220"/>
      <c r="AD77" s="144"/>
      <c r="AE77" s="137"/>
    </row>
    <row r="78" spans="7:31" x14ac:dyDescent="0.2">
      <c r="G78" s="137"/>
      <c r="H78" s="137"/>
      <c r="I78" s="137"/>
      <c r="J78" s="144"/>
      <c r="K78" s="220"/>
      <c r="L78" s="144"/>
      <c r="M78" s="137"/>
      <c r="N78" s="137"/>
      <c r="Y78" s="137"/>
      <c r="Z78" s="137"/>
      <c r="AA78" s="137"/>
      <c r="AB78" s="144"/>
      <c r="AC78" s="220"/>
      <c r="AD78" s="144"/>
      <c r="AE78" s="137"/>
    </row>
    <row r="79" spans="7:31" x14ac:dyDescent="0.2">
      <c r="G79" s="137"/>
      <c r="H79" s="137"/>
      <c r="I79" s="137"/>
      <c r="J79" s="137"/>
      <c r="K79" s="137"/>
      <c r="L79" s="137"/>
      <c r="M79" s="137"/>
      <c r="N79" s="137"/>
      <c r="Y79" s="137"/>
      <c r="Z79" s="137"/>
      <c r="AA79" s="137"/>
      <c r="AB79" s="137"/>
      <c r="AC79" s="137"/>
      <c r="AD79" s="137"/>
      <c r="AE79" s="137"/>
    </row>
    <row r="80" spans="7:31" x14ac:dyDescent="0.2">
      <c r="G80" s="137"/>
      <c r="H80" s="137"/>
      <c r="I80" s="137"/>
      <c r="J80" s="137"/>
      <c r="K80" s="137"/>
      <c r="L80" s="137"/>
      <c r="M80" s="137"/>
      <c r="N80" s="137"/>
      <c r="Y80" s="137"/>
      <c r="Z80" s="137"/>
      <c r="AA80" s="137"/>
      <c r="AB80" s="137"/>
      <c r="AC80" s="137"/>
      <c r="AD80" s="137"/>
      <c r="AE80" s="137"/>
    </row>
    <row r="81" spans="7:31" x14ac:dyDescent="0.2">
      <c r="G81" s="145"/>
      <c r="H81" s="145"/>
      <c r="I81" s="145"/>
      <c r="J81" s="137"/>
      <c r="K81" s="137"/>
      <c r="L81" s="137"/>
      <c r="M81" s="137"/>
      <c r="N81" s="137"/>
      <c r="Y81" s="145"/>
      <c r="Z81" s="145"/>
      <c r="AA81" s="145"/>
      <c r="AB81" s="137"/>
      <c r="AC81" s="137"/>
      <c r="AD81" s="137"/>
      <c r="AE81" s="137"/>
    </row>
    <row r="82" spans="7:31" x14ac:dyDescent="0.2">
      <c r="G82" s="133"/>
      <c r="H82" s="133"/>
      <c r="I82" s="133"/>
      <c r="J82" s="137"/>
      <c r="K82" s="137"/>
      <c r="L82" s="137"/>
      <c r="M82" s="137"/>
      <c r="N82" s="137"/>
      <c r="Y82" s="133"/>
      <c r="Z82" s="133"/>
      <c r="AA82" s="133"/>
      <c r="AB82" s="137"/>
      <c r="AC82" s="137"/>
      <c r="AD82" s="137"/>
      <c r="AE82" s="137"/>
    </row>
    <row r="83" spans="7:31" x14ac:dyDescent="0.2">
      <c r="G83" s="133"/>
      <c r="H83" s="133"/>
      <c r="I83" s="133"/>
      <c r="J83" s="137"/>
      <c r="K83" s="137"/>
      <c r="L83" s="137"/>
      <c r="M83" s="137"/>
      <c r="N83" s="137"/>
      <c r="Y83" s="133"/>
      <c r="Z83" s="133"/>
      <c r="AA83" s="133"/>
      <c r="AB83" s="137"/>
      <c r="AC83" s="137"/>
      <c r="AD83" s="137"/>
      <c r="AE83" s="137"/>
    </row>
    <row r="84" spans="7:31" x14ac:dyDescent="0.2">
      <c r="G84" s="133"/>
      <c r="H84" s="133"/>
      <c r="I84" s="133"/>
      <c r="J84" s="137"/>
      <c r="K84" s="137"/>
      <c r="L84" s="137"/>
      <c r="M84" s="137"/>
      <c r="N84" s="137"/>
      <c r="Y84" s="133"/>
      <c r="Z84" s="133"/>
      <c r="AA84" s="133"/>
      <c r="AB84" s="137"/>
      <c r="AC84" s="137"/>
      <c r="AD84" s="137"/>
      <c r="AE84" s="137"/>
    </row>
    <row r="85" spans="7:31" x14ac:dyDescent="0.2">
      <c r="G85" s="133"/>
      <c r="H85" s="133"/>
      <c r="I85" s="133"/>
      <c r="J85" s="137"/>
      <c r="K85" s="137"/>
      <c r="L85" s="137"/>
      <c r="M85" s="137"/>
      <c r="N85" s="137"/>
      <c r="Y85" s="133"/>
      <c r="Z85" s="133"/>
      <c r="AA85" s="133"/>
      <c r="AB85" s="137"/>
      <c r="AC85" s="137"/>
      <c r="AD85" s="137"/>
      <c r="AE85" s="137"/>
    </row>
    <row r="86" spans="7:31" x14ac:dyDescent="0.2">
      <c r="G86" s="133"/>
      <c r="H86" s="133"/>
      <c r="I86" s="133"/>
      <c r="J86" s="137"/>
      <c r="K86" s="137"/>
      <c r="L86" s="137"/>
      <c r="M86" s="137"/>
      <c r="N86" s="137"/>
      <c r="Y86" s="133"/>
      <c r="Z86" s="133"/>
      <c r="AA86" s="133"/>
      <c r="AB86" s="137"/>
      <c r="AC86" s="137"/>
      <c r="AD86" s="137"/>
      <c r="AE86" s="137"/>
    </row>
    <row r="87" spans="7:31" x14ac:dyDescent="0.2">
      <c r="G87" s="137"/>
      <c r="H87" s="137"/>
      <c r="I87" s="137"/>
      <c r="J87" s="137"/>
      <c r="K87" s="137"/>
      <c r="L87" s="137"/>
      <c r="M87" s="137"/>
      <c r="N87" s="137"/>
    </row>
    <row r="88" spans="7:31" x14ac:dyDescent="0.2">
      <c r="G88" s="137"/>
      <c r="H88" s="137"/>
      <c r="I88" s="137"/>
      <c r="J88" s="137"/>
      <c r="K88" s="137"/>
      <c r="L88" s="137"/>
      <c r="M88" s="137"/>
      <c r="N88" s="137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7BA74-1087-F449-8B05-2EA993AECD89}">
  <dimension ref="A1:AF92"/>
  <sheetViews>
    <sheetView tabSelected="1" workbookViewId="0">
      <selection activeCell="D1" sqref="D1"/>
    </sheetView>
  </sheetViews>
  <sheetFormatPr baseColWidth="10" defaultRowHeight="16" x14ac:dyDescent="0.2"/>
  <cols>
    <col min="9" max="9" width="6.6640625" customWidth="1"/>
  </cols>
  <sheetData>
    <row r="1" spans="1:25" ht="34" x14ac:dyDescent="0.2">
      <c r="A1" s="319" t="s">
        <v>2</v>
      </c>
      <c r="B1" s="320" t="s">
        <v>3</v>
      </c>
      <c r="C1" s="320" t="s">
        <v>4</v>
      </c>
      <c r="D1" s="321" t="s">
        <v>257</v>
      </c>
      <c r="E1" s="320" t="s">
        <v>258</v>
      </c>
      <c r="F1" s="128" t="s">
        <v>50</v>
      </c>
      <c r="G1" s="128"/>
      <c r="H1" s="128" t="s">
        <v>57</v>
      </c>
      <c r="I1" s="128"/>
      <c r="J1" s="128"/>
      <c r="K1" s="128"/>
      <c r="L1" s="128"/>
      <c r="M1" s="128"/>
      <c r="N1" s="128"/>
      <c r="O1" s="128"/>
      <c r="P1" s="128"/>
      <c r="Q1" s="128"/>
      <c r="R1" s="128"/>
      <c r="S1" s="128"/>
      <c r="T1" s="128"/>
      <c r="U1" s="128"/>
      <c r="V1" s="128"/>
      <c r="W1" s="128"/>
      <c r="X1" s="128"/>
      <c r="Y1" s="128"/>
    </row>
    <row r="2" spans="1:25" x14ac:dyDescent="0.2">
      <c r="A2" s="8">
        <v>43838</v>
      </c>
      <c r="B2" s="7">
        <v>1</v>
      </c>
      <c r="C2" s="340">
        <v>0</v>
      </c>
      <c r="D2" s="340">
        <v>28</v>
      </c>
      <c r="E2">
        <f>D2-$D$2</f>
        <v>0</v>
      </c>
      <c r="F2" s="247" t="s">
        <v>51</v>
      </c>
      <c r="G2" s="247"/>
      <c r="H2" s="127"/>
      <c r="I2" s="127" t="s">
        <v>62</v>
      </c>
      <c r="J2" s="127" t="s">
        <v>63</v>
      </c>
      <c r="K2" s="127" t="s">
        <v>64</v>
      </c>
      <c r="L2" s="127" t="s">
        <v>65</v>
      </c>
      <c r="M2" s="127" t="s">
        <v>66</v>
      </c>
      <c r="N2" s="127"/>
      <c r="O2" s="127" t="s">
        <v>67</v>
      </c>
      <c r="P2" s="127" t="s">
        <v>270</v>
      </c>
      <c r="Q2" s="127" t="s">
        <v>271</v>
      </c>
      <c r="R2" s="127" t="s">
        <v>68</v>
      </c>
      <c r="S2" s="127" t="s">
        <v>69</v>
      </c>
      <c r="T2" s="127" t="s">
        <v>70</v>
      </c>
      <c r="U2" s="127" t="s">
        <v>71</v>
      </c>
      <c r="V2" s="127" t="s">
        <v>72</v>
      </c>
      <c r="W2" s="127" t="s">
        <v>73</v>
      </c>
      <c r="X2" s="178" t="s">
        <v>272</v>
      </c>
      <c r="Y2" s="178" t="s">
        <v>273</v>
      </c>
    </row>
    <row r="3" spans="1:25" x14ac:dyDescent="0.2">
      <c r="A3" s="8">
        <v>43838</v>
      </c>
      <c r="B3" s="7">
        <v>1</v>
      </c>
      <c r="C3" s="340">
        <v>0.01</v>
      </c>
      <c r="D3" s="340">
        <v>172</v>
      </c>
      <c r="E3">
        <f t="shared" ref="E3:E7" si="0">D3-$D$2</f>
        <v>144</v>
      </c>
      <c r="F3" s="31" t="s">
        <v>52</v>
      </c>
      <c r="G3" s="31">
        <v>0.99986397732079491</v>
      </c>
      <c r="H3" s="31" t="s">
        <v>58</v>
      </c>
      <c r="I3" s="31">
        <v>1</v>
      </c>
      <c r="J3" s="31">
        <v>4915953.1648424538</v>
      </c>
      <c r="K3" s="31">
        <v>4915953.1648424538</v>
      </c>
      <c r="L3" s="31">
        <v>11025.322870241986</v>
      </c>
      <c r="M3" s="31">
        <v>1.9043290096801467E-6</v>
      </c>
      <c r="N3" s="31" t="s">
        <v>61</v>
      </c>
      <c r="O3" s="31">
        <v>-13.797678275289854</v>
      </c>
      <c r="P3" s="31">
        <v>13.998209566267089</v>
      </c>
      <c r="Q3" s="31">
        <f>P3*SQRT(G7)</f>
        <v>31.300948153461061</v>
      </c>
      <c r="R3" s="31">
        <v>-0.98567450429800141</v>
      </c>
      <c r="S3" s="31">
        <v>0.39696829280629664</v>
      </c>
      <c r="T3" s="31">
        <v>-58.346228590043623</v>
      </c>
      <c r="U3" s="31">
        <v>30.750872039463914</v>
      </c>
      <c r="V3" s="31">
        <v>-58.346228590043623</v>
      </c>
      <c r="W3" s="31">
        <v>30.750872039463914</v>
      </c>
      <c r="X3" s="162">
        <f>3.3*Q3/O4</f>
        <v>7.2352945578342803E-3</v>
      </c>
      <c r="Y3" s="162">
        <f>10*Q3/O4</f>
        <v>2.1925135023740241E-2</v>
      </c>
    </row>
    <row r="4" spans="1:25" x14ac:dyDescent="0.2">
      <c r="A4" s="8">
        <v>43838</v>
      </c>
      <c r="B4" s="7">
        <v>1</v>
      </c>
      <c r="C4" s="340">
        <v>0.02</v>
      </c>
      <c r="D4" s="340">
        <v>311</v>
      </c>
      <c r="E4">
        <f t="shared" si="0"/>
        <v>283</v>
      </c>
      <c r="F4" s="31" t="s">
        <v>53</v>
      </c>
      <c r="G4" s="31">
        <v>0.99972797314375916</v>
      </c>
      <c r="H4" s="31" t="s">
        <v>59</v>
      </c>
      <c r="I4" s="31">
        <v>3</v>
      </c>
      <c r="J4" s="31">
        <v>1337.6351575456106</v>
      </c>
      <c r="K4" s="31">
        <v>445.87838584853688</v>
      </c>
      <c r="L4" s="31"/>
      <c r="M4" s="31"/>
      <c r="N4" s="31" t="s">
        <v>74</v>
      </c>
      <c r="O4" s="31">
        <v>14276.28524046434</v>
      </c>
      <c r="P4" s="31">
        <v>135.96263050029432</v>
      </c>
      <c r="Q4" s="31"/>
      <c r="R4" s="31">
        <v>105.00153746608657</v>
      </c>
      <c r="S4" s="31">
        <v>1.9043290096801467E-6</v>
      </c>
      <c r="T4" s="31">
        <v>13843.591469372024</v>
      </c>
      <c r="U4" s="31">
        <v>14708.979011556656</v>
      </c>
      <c r="V4" s="31">
        <v>13843.591469372024</v>
      </c>
      <c r="W4" s="31">
        <v>14708.979011556656</v>
      </c>
      <c r="X4" s="13"/>
    </row>
    <row r="5" spans="1:25" x14ac:dyDescent="0.2">
      <c r="A5" s="8">
        <v>43838</v>
      </c>
      <c r="B5" s="7">
        <v>1</v>
      </c>
      <c r="C5" s="340">
        <v>0.05</v>
      </c>
      <c r="D5" s="340">
        <v>710</v>
      </c>
      <c r="E5">
        <f t="shared" si="0"/>
        <v>682</v>
      </c>
      <c r="F5" s="31" t="s">
        <v>54</v>
      </c>
      <c r="G5" s="31">
        <v>0.99963729752501218</v>
      </c>
      <c r="H5" s="31" t="s">
        <v>60</v>
      </c>
      <c r="I5" s="31">
        <v>4</v>
      </c>
      <c r="J5" s="31">
        <v>4917290.8</v>
      </c>
      <c r="K5" s="31"/>
      <c r="L5" s="31"/>
      <c r="M5" s="31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</row>
    <row r="6" spans="1:25" x14ac:dyDescent="0.2">
      <c r="A6" s="8">
        <v>43838</v>
      </c>
      <c r="B6" s="7">
        <v>1</v>
      </c>
      <c r="C6" s="340">
        <v>0.1</v>
      </c>
      <c r="D6" s="340">
        <v>1420</v>
      </c>
      <c r="E6">
        <f t="shared" si="0"/>
        <v>1392</v>
      </c>
      <c r="F6" s="31" t="s">
        <v>55</v>
      </c>
      <c r="G6" s="31">
        <v>21.115832587149786</v>
      </c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</row>
    <row r="7" spans="1:25" x14ac:dyDescent="0.2">
      <c r="A7" s="244">
        <v>43838</v>
      </c>
      <c r="B7" s="245">
        <v>1</v>
      </c>
      <c r="C7" s="341">
        <v>0.2</v>
      </c>
      <c r="D7" s="341">
        <v>2883</v>
      </c>
      <c r="E7" s="128">
        <f t="shared" si="0"/>
        <v>2855</v>
      </c>
      <c r="F7" s="67" t="s">
        <v>56</v>
      </c>
      <c r="G7" s="67">
        <v>5</v>
      </c>
      <c r="H7" s="128"/>
      <c r="I7" s="128"/>
      <c r="J7" s="128"/>
      <c r="K7" s="128"/>
      <c r="L7" s="128"/>
      <c r="M7" s="128"/>
      <c r="N7" s="128"/>
      <c r="O7" s="128"/>
      <c r="P7" s="128"/>
      <c r="Q7" s="128"/>
      <c r="R7" s="128"/>
      <c r="S7" s="128"/>
      <c r="T7" s="128"/>
      <c r="U7" s="128"/>
      <c r="V7" s="128"/>
      <c r="W7" s="128"/>
      <c r="X7" s="128"/>
      <c r="Y7" s="128"/>
    </row>
    <row r="8" spans="1:25" x14ac:dyDescent="0.2">
      <c r="A8" s="8">
        <v>43838</v>
      </c>
      <c r="B8" s="7">
        <v>2</v>
      </c>
      <c r="C8" s="340">
        <v>0</v>
      </c>
      <c r="D8" s="340">
        <v>24</v>
      </c>
      <c r="E8">
        <f>D8-$D$8</f>
        <v>0</v>
      </c>
      <c r="F8" s="247" t="s">
        <v>51</v>
      </c>
      <c r="G8" s="247"/>
      <c r="H8" s="127"/>
      <c r="I8" s="127" t="s">
        <v>62</v>
      </c>
      <c r="J8" s="127" t="s">
        <v>63</v>
      </c>
      <c r="K8" s="127" t="s">
        <v>64</v>
      </c>
      <c r="L8" s="127" t="s">
        <v>65</v>
      </c>
      <c r="M8" s="127" t="s">
        <v>66</v>
      </c>
      <c r="N8" s="127"/>
      <c r="O8" s="127" t="s">
        <v>67</v>
      </c>
      <c r="P8" s="127" t="s">
        <v>270</v>
      </c>
      <c r="Q8" s="127" t="s">
        <v>271</v>
      </c>
      <c r="R8" s="127" t="s">
        <v>68</v>
      </c>
      <c r="S8" s="127" t="s">
        <v>69</v>
      </c>
      <c r="T8" s="127" t="s">
        <v>70</v>
      </c>
      <c r="U8" s="127" t="s">
        <v>71</v>
      </c>
      <c r="V8" s="127" t="s">
        <v>72</v>
      </c>
      <c r="W8" s="127" t="s">
        <v>73</v>
      </c>
    </row>
    <row r="9" spans="1:25" x14ac:dyDescent="0.2">
      <c r="A9" s="8">
        <v>43838</v>
      </c>
      <c r="B9" s="7">
        <v>2</v>
      </c>
      <c r="C9" s="340">
        <v>0.01</v>
      </c>
      <c r="D9" s="340">
        <v>140</v>
      </c>
      <c r="E9">
        <f t="shared" ref="E9:E13" si="1">D9-$D$8</f>
        <v>116</v>
      </c>
      <c r="F9" s="31" t="s">
        <v>52</v>
      </c>
      <c r="G9" s="31">
        <v>0.99998713634443936</v>
      </c>
      <c r="H9" s="31" t="s">
        <v>58</v>
      </c>
      <c r="I9" s="31">
        <v>1</v>
      </c>
      <c r="J9" s="31">
        <v>3445304.5598673308</v>
      </c>
      <c r="K9" s="31">
        <v>3445304.5598673308</v>
      </c>
      <c r="L9" s="31">
        <v>116605.3498372318</v>
      </c>
      <c r="M9" s="31">
        <v>5.5383401272438366E-8</v>
      </c>
      <c r="N9" s="31" t="s">
        <v>61</v>
      </c>
      <c r="O9" s="31">
        <v>-2.7197346600329411</v>
      </c>
      <c r="P9" s="31">
        <v>3.6034529197732508</v>
      </c>
      <c r="Q9" s="31">
        <f>P9*SQRT(G13)</f>
        <v>8.0575656823330846</v>
      </c>
      <c r="R9" s="31">
        <v>-0.75475792818297227</v>
      </c>
      <c r="S9" s="31">
        <v>0.50523927206209396</v>
      </c>
      <c r="T9" s="31">
        <v>-14.187530090829117</v>
      </c>
      <c r="U9" s="31">
        <v>8.7480607707632352</v>
      </c>
      <c r="V9" s="31">
        <v>-14.187530090829117</v>
      </c>
      <c r="W9" s="31">
        <v>8.7480607707632352</v>
      </c>
      <c r="X9" s="339">
        <f>3.3*Q9/O10</f>
        <v>2.2248085074200209E-3</v>
      </c>
      <c r="Y9" s="339">
        <f>10*Q9/O10</f>
        <v>6.7418439618788517E-3</v>
      </c>
    </row>
    <row r="10" spans="1:25" ht="17" thickBot="1" x14ac:dyDescent="0.25">
      <c r="A10" s="8">
        <v>43838</v>
      </c>
      <c r="B10" s="7">
        <v>2</v>
      </c>
      <c r="C10" s="340">
        <v>0.02</v>
      </c>
      <c r="D10" s="340">
        <v>261</v>
      </c>
      <c r="E10">
        <f t="shared" si="1"/>
        <v>237</v>
      </c>
      <c r="F10" s="31" t="s">
        <v>53</v>
      </c>
      <c r="G10" s="31">
        <v>0.99997427285435236</v>
      </c>
      <c r="H10" s="31" t="s">
        <v>59</v>
      </c>
      <c r="I10" s="31">
        <v>3</v>
      </c>
      <c r="J10" s="31">
        <v>88.640132669982876</v>
      </c>
      <c r="K10" s="31">
        <v>29.546710889994291</v>
      </c>
      <c r="L10" s="31"/>
      <c r="M10" s="31"/>
      <c r="N10" s="31" t="s">
        <v>74</v>
      </c>
      <c r="O10" s="31">
        <v>11951.575456053066</v>
      </c>
      <c r="P10" s="31">
        <v>34.999828766457632</v>
      </c>
      <c r="Q10" s="31"/>
      <c r="R10" s="31">
        <v>341.47525508773214</v>
      </c>
      <c r="S10" s="31">
        <v>5.5383401272438366E-8</v>
      </c>
      <c r="T10" s="31">
        <v>11840.19038030969</v>
      </c>
      <c r="U10" s="31">
        <v>12062.960531796442</v>
      </c>
      <c r="V10" s="31">
        <v>11840.19038030969</v>
      </c>
      <c r="W10" s="32">
        <v>12062.960531796442</v>
      </c>
      <c r="X10" s="289"/>
      <c r="Y10" s="289"/>
    </row>
    <row r="11" spans="1:25" x14ac:dyDescent="0.2">
      <c r="A11" s="8">
        <v>43838</v>
      </c>
      <c r="B11" s="7">
        <v>2</v>
      </c>
      <c r="C11" s="340">
        <v>0.05</v>
      </c>
      <c r="D11" s="340">
        <v>624</v>
      </c>
      <c r="E11">
        <f t="shared" si="1"/>
        <v>600</v>
      </c>
      <c r="F11" s="31" t="s">
        <v>54</v>
      </c>
      <c r="G11" s="31">
        <v>0.99996569713913652</v>
      </c>
      <c r="H11" s="31" t="s">
        <v>60</v>
      </c>
      <c r="I11" s="31">
        <v>4</v>
      </c>
      <c r="J11" s="31">
        <v>3445393.2000000007</v>
      </c>
      <c r="K11" s="31"/>
      <c r="L11" s="31"/>
      <c r="M11" s="31"/>
      <c r="N11" s="13"/>
      <c r="O11" s="13"/>
      <c r="P11" s="13"/>
      <c r="Q11" s="13"/>
      <c r="R11" s="13"/>
      <c r="S11" s="13"/>
      <c r="T11" s="13"/>
      <c r="U11" s="13"/>
      <c r="V11" s="13"/>
      <c r="X11" s="289"/>
      <c r="Y11" s="289"/>
    </row>
    <row r="12" spans="1:25" x14ac:dyDescent="0.2">
      <c r="A12" s="8">
        <v>43838</v>
      </c>
      <c r="B12" s="7">
        <v>2</v>
      </c>
      <c r="C12" s="340">
        <v>0.1</v>
      </c>
      <c r="D12" s="340">
        <v>1209</v>
      </c>
      <c r="E12">
        <f t="shared" si="1"/>
        <v>1185</v>
      </c>
      <c r="F12" s="31" t="s">
        <v>55</v>
      </c>
      <c r="G12" s="31">
        <v>5.4356886307067196</v>
      </c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X12" s="289"/>
      <c r="Y12" s="289"/>
    </row>
    <row r="13" spans="1:25" x14ac:dyDescent="0.2">
      <c r="A13" s="244">
        <v>43838</v>
      </c>
      <c r="B13" s="245">
        <v>2</v>
      </c>
      <c r="C13" s="341">
        <v>0.2</v>
      </c>
      <c r="D13" s="341">
        <v>2414</v>
      </c>
      <c r="E13" s="128">
        <f t="shared" si="1"/>
        <v>2390</v>
      </c>
      <c r="F13" s="67" t="s">
        <v>56</v>
      </c>
      <c r="G13" s="67">
        <v>5</v>
      </c>
      <c r="H13" s="128"/>
      <c r="I13" s="128"/>
      <c r="J13" s="128"/>
      <c r="K13" s="128"/>
      <c r="L13" s="128"/>
      <c r="M13" s="128"/>
      <c r="N13" s="128"/>
      <c r="O13" s="128"/>
      <c r="P13" s="128"/>
      <c r="Q13" s="128"/>
      <c r="R13" s="128"/>
      <c r="S13" s="128"/>
      <c r="T13" s="128"/>
      <c r="U13" s="128"/>
      <c r="V13" s="128"/>
      <c r="W13" s="128"/>
      <c r="X13" s="277"/>
      <c r="Y13" s="277"/>
    </row>
    <row r="14" spans="1:25" x14ac:dyDescent="0.2">
      <c r="A14" s="8">
        <v>43838</v>
      </c>
      <c r="B14" s="7">
        <v>3</v>
      </c>
      <c r="C14" s="340">
        <v>0</v>
      </c>
      <c r="D14" s="340">
        <v>23</v>
      </c>
      <c r="E14">
        <f>D14-$D$14</f>
        <v>0</v>
      </c>
      <c r="F14" s="247" t="s">
        <v>51</v>
      </c>
      <c r="G14" s="247"/>
      <c r="H14" s="127"/>
      <c r="I14" s="127" t="s">
        <v>62</v>
      </c>
      <c r="J14" s="127" t="s">
        <v>63</v>
      </c>
      <c r="K14" s="127" t="s">
        <v>64</v>
      </c>
      <c r="L14" s="127" t="s">
        <v>65</v>
      </c>
      <c r="M14" s="127" t="s">
        <v>66</v>
      </c>
      <c r="N14" s="127"/>
      <c r="O14" s="127" t="s">
        <v>67</v>
      </c>
      <c r="P14" s="127" t="s">
        <v>270</v>
      </c>
      <c r="Q14" s="127" t="s">
        <v>271</v>
      </c>
      <c r="R14" s="127" t="s">
        <v>68</v>
      </c>
      <c r="S14" s="127" t="s">
        <v>69</v>
      </c>
      <c r="T14" s="127" t="s">
        <v>70</v>
      </c>
      <c r="U14" s="127" t="s">
        <v>71</v>
      </c>
      <c r="V14" s="127" t="s">
        <v>72</v>
      </c>
      <c r="W14" s="127" t="s">
        <v>73</v>
      </c>
      <c r="X14" s="289"/>
      <c r="Y14" s="289"/>
    </row>
    <row r="15" spans="1:25" x14ac:dyDescent="0.2">
      <c r="A15" s="8">
        <v>43838</v>
      </c>
      <c r="B15" s="7">
        <v>3</v>
      </c>
      <c r="C15" s="340">
        <v>0.01</v>
      </c>
      <c r="D15" s="340">
        <v>118</v>
      </c>
      <c r="E15">
        <f t="shared" ref="E15:E19" si="2">D15-$D$14</f>
        <v>95</v>
      </c>
      <c r="F15" s="31" t="s">
        <v>52</v>
      </c>
      <c r="G15" s="31">
        <v>0.99994658744707132</v>
      </c>
      <c r="H15" s="31" t="s">
        <v>58</v>
      </c>
      <c r="I15" s="31">
        <v>1</v>
      </c>
      <c r="J15" s="31">
        <v>2722603.1343283583</v>
      </c>
      <c r="K15" s="31">
        <v>2722603.1343283583</v>
      </c>
      <c r="L15" s="31">
        <v>28081.036022167809</v>
      </c>
      <c r="M15" s="31">
        <v>4.6859255273158959E-7</v>
      </c>
      <c r="N15" s="31" t="s">
        <v>61</v>
      </c>
      <c r="O15" s="31">
        <v>-2.4527363184078013</v>
      </c>
      <c r="P15" s="31">
        <v>6.52754519828739</v>
      </c>
      <c r="Q15" s="31">
        <f>P15*SQRT(G19)</f>
        <v>14.596034789572949</v>
      </c>
      <c r="R15" s="31">
        <v>-0.37575171736096402</v>
      </c>
      <c r="S15" s="31">
        <v>0.7320980360491417</v>
      </c>
      <c r="T15" s="31">
        <v>-23.226298417269923</v>
      </c>
      <c r="U15" s="31">
        <v>18.320825780454321</v>
      </c>
      <c r="V15" s="31">
        <v>-23.226298417269923</v>
      </c>
      <c r="W15" s="31">
        <v>18.320825780454321</v>
      </c>
      <c r="X15" s="339">
        <f>3.3*Q15/O16</f>
        <v>4.5336220444503568E-3</v>
      </c>
      <c r="Y15" s="339">
        <f>10*Q15/O16</f>
        <v>1.3738248619546537E-2</v>
      </c>
    </row>
    <row r="16" spans="1:25" x14ac:dyDescent="0.2">
      <c r="A16" s="8">
        <v>43838</v>
      </c>
      <c r="B16" s="7">
        <v>3</v>
      </c>
      <c r="C16" s="340">
        <v>0.02</v>
      </c>
      <c r="D16" s="340">
        <v>231</v>
      </c>
      <c r="E16">
        <f t="shared" si="2"/>
        <v>208</v>
      </c>
      <c r="F16" s="31" t="s">
        <v>53</v>
      </c>
      <c r="G16" s="31">
        <v>0.99989317774704356</v>
      </c>
      <c r="H16" s="31" t="s">
        <v>59</v>
      </c>
      <c r="I16" s="31">
        <v>3</v>
      </c>
      <c r="J16" s="31">
        <v>290.86567164178774</v>
      </c>
      <c r="K16" s="31">
        <v>96.955223880595909</v>
      </c>
      <c r="L16" s="31"/>
      <c r="M16" s="31"/>
      <c r="N16" s="31" t="s">
        <v>74</v>
      </c>
      <c r="O16" s="31">
        <v>10624.378109452735</v>
      </c>
      <c r="P16" s="31">
        <v>63.401123669945868</v>
      </c>
      <c r="Q16" s="31"/>
      <c r="R16" s="31">
        <v>167.57397179206501</v>
      </c>
      <c r="S16" s="31">
        <v>4.6859255273158959E-7</v>
      </c>
      <c r="T16" s="31">
        <v>10422.60743767848</v>
      </c>
      <c r="U16" s="31">
        <v>10826.14878122699</v>
      </c>
      <c r="V16" s="31">
        <v>10422.60743767848</v>
      </c>
      <c r="W16" s="31">
        <v>10826.14878122699</v>
      </c>
      <c r="X16" s="289"/>
      <c r="Y16" s="289"/>
    </row>
    <row r="17" spans="1:32" x14ac:dyDescent="0.2">
      <c r="A17" s="8">
        <v>43838</v>
      </c>
      <c r="B17" s="7">
        <v>3</v>
      </c>
      <c r="C17" s="340">
        <v>0.05</v>
      </c>
      <c r="D17" s="340">
        <v>566</v>
      </c>
      <c r="E17">
        <f t="shared" si="2"/>
        <v>543</v>
      </c>
      <c r="F17" s="31" t="s">
        <v>54</v>
      </c>
      <c r="G17" s="31">
        <v>0.99985757032939138</v>
      </c>
      <c r="H17" s="31" t="s">
        <v>60</v>
      </c>
      <c r="I17" s="31">
        <v>4</v>
      </c>
      <c r="J17" s="31">
        <v>2722894</v>
      </c>
      <c r="K17" s="31"/>
      <c r="L17" s="31"/>
      <c r="M17" s="31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289"/>
      <c r="Y17" s="289"/>
    </row>
    <row r="18" spans="1:32" x14ac:dyDescent="0.2">
      <c r="A18" s="8">
        <v>43838</v>
      </c>
      <c r="B18" s="7">
        <v>3</v>
      </c>
      <c r="C18" s="340">
        <v>0.1</v>
      </c>
      <c r="D18" s="340">
        <v>1082</v>
      </c>
      <c r="E18">
        <f t="shared" si="2"/>
        <v>1059</v>
      </c>
      <c r="F18" s="31" t="s">
        <v>55</v>
      </c>
      <c r="G18" s="31">
        <v>9.8465843763508119</v>
      </c>
      <c r="H18" s="13"/>
      <c r="I18" s="13"/>
      <c r="J18" s="122"/>
      <c r="K18" s="209"/>
      <c r="L18" s="122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289"/>
      <c r="Y18" s="276"/>
      <c r="Z18" s="13"/>
      <c r="AA18" s="13"/>
      <c r="AB18" s="122"/>
      <c r="AC18" s="209"/>
      <c r="AD18" s="122"/>
      <c r="AE18" s="13"/>
      <c r="AF18" s="13"/>
    </row>
    <row r="19" spans="1:32" x14ac:dyDescent="0.2">
      <c r="A19" s="244">
        <v>43838</v>
      </c>
      <c r="B19" s="245">
        <v>3</v>
      </c>
      <c r="C19" s="341">
        <v>0.2</v>
      </c>
      <c r="D19" s="341">
        <v>2143</v>
      </c>
      <c r="E19" s="128">
        <f t="shared" si="2"/>
        <v>2120</v>
      </c>
      <c r="F19" s="67" t="s">
        <v>56</v>
      </c>
      <c r="G19" s="67">
        <v>5</v>
      </c>
      <c r="H19" s="128"/>
      <c r="I19" s="128"/>
      <c r="J19" s="248"/>
      <c r="K19" s="249"/>
      <c r="L19" s="248"/>
      <c r="M19" s="128"/>
      <c r="N19" s="128"/>
      <c r="O19" s="128"/>
      <c r="P19" s="128"/>
      <c r="Q19" s="128"/>
      <c r="R19" s="128"/>
      <c r="S19" s="128"/>
      <c r="T19" s="128"/>
      <c r="U19" s="128"/>
      <c r="V19" s="128"/>
      <c r="W19" s="128"/>
      <c r="X19" s="277"/>
      <c r="Y19" s="277"/>
      <c r="Z19" s="13"/>
      <c r="AA19" s="13"/>
      <c r="AB19" s="122"/>
      <c r="AC19" s="209"/>
      <c r="AD19" s="122"/>
      <c r="AE19" s="13"/>
      <c r="AF19" s="13"/>
    </row>
    <row r="20" spans="1:32" x14ac:dyDescent="0.2">
      <c r="A20" s="58">
        <v>43789</v>
      </c>
      <c r="B20" s="59">
        <v>1</v>
      </c>
      <c r="C20" s="340">
        <v>0</v>
      </c>
      <c r="D20" s="331">
        <v>2.50000038500007</v>
      </c>
      <c r="E20" s="56">
        <f>D20-$D$20</f>
        <v>0</v>
      </c>
      <c r="F20" s="247" t="s">
        <v>51</v>
      </c>
      <c r="G20" s="247"/>
      <c r="H20" s="127"/>
      <c r="I20" s="127" t="s">
        <v>62</v>
      </c>
      <c r="J20" s="127" t="s">
        <v>63</v>
      </c>
      <c r="K20" s="127" t="s">
        <v>64</v>
      </c>
      <c r="L20" s="127" t="s">
        <v>65</v>
      </c>
      <c r="M20" s="127" t="s">
        <v>66</v>
      </c>
      <c r="N20" s="127"/>
      <c r="O20" s="127" t="s">
        <v>67</v>
      </c>
      <c r="P20" s="127" t="s">
        <v>270</v>
      </c>
      <c r="Q20" s="127" t="s">
        <v>271</v>
      </c>
      <c r="R20" s="127" t="s">
        <v>68</v>
      </c>
      <c r="S20" s="127" t="s">
        <v>69</v>
      </c>
      <c r="T20" s="127" t="s">
        <v>70</v>
      </c>
      <c r="U20" s="127" t="s">
        <v>71</v>
      </c>
      <c r="V20" s="127" t="s">
        <v>72</v>
      </c>
      <c r="W20" s="127" t="s">
        <v>73</v>
      </c>
      <c r="X20" s="289"/>
      <c r="Y20" s="276"/>
      <c r="Z20" s="13"/>
      <c r="AA20" s="13"/>
      <c r="AB20" s="13"/>
      <c r="AC20" s="13"/>
      <c r="AD20" s="13"/>
      <c r="AE20" s="13"/>
      <c r="AF20" s="13"/>
    </row>
    <row r="21" spans="1:32" x14ac:dyDescent="0.2">
      <c r="A21" s="58">
        <v>43789</v>
      </c>
      <c r="B21" s="59">
        <v>1</v>
      </c>
      <c r="C21" s="340">
        <v>0.01</v>
      </c>
      <c r="D21" s="331">
        <v>85.500259753300995</v>
      </c>
      <c r="E21" s="56">
        <f t="shared" ref="E21:E25" si="3">D21-$D$20</f>
        <v>83.000259368300931</v>
      </c>
      <c r="F21" s="31" t="s">
        <v>52</v>
      </c>
      <c r="G21" s="31">
        <v>0.99986110845636922</v>
      </c>
      <c r="H21" s="31" t="s">
        <v>58</v>
      </c>
      <c r="I21" s="31">
        <v>1</v>
      </c>
      <c r="J21" s="31">
        <v>1364489.9978317686</v>
      </c>
      <c r="K21" s="31">
        <v>1364489.9978317686</v>
      </c>
      <c r="L21" s="31">
        <v>10797.543623301051</v>
      </c>
      <c r="M21" s="31">
        <v>1.9648912389062175E-6</v>
      </c>
      <c r="N21" s="31" t="s">
        <v>61</v>
      </c>
      <c r="O21" s="31">
        <v>15.148173344937504</v>
      </c>
      <c r="P21" s="31">
        <v>7.4522424459954513</v>
      </c>
      <c r="Q21" s="31">
        <f>P21*SQRT(G25)</f>
        <v>16.663720694055137</v>
      </c>
      <c r="R21" s="31">
        <v>2.0327000167684495</v>
      </c>
      <c r="S21" s="31">
        <v>0.13499225238299453</v>
      </c>
      <c r="T21" s="31">
        <v>-8.5681880933991508</v>
      </c>
      <c r="U21" s="31">
        <v>38.864534783274159</v>
      </c>
      <c r="V21" s="31">
        <v>-8.5681880933991508</v>
      </c>
      <c r="W21" s="31">
        <v>38.864534783274159</v>
      </c>
      <c r="X21" s="339">
        <f>3.3*Q21/O22</f>
        <v>7.31121223373506E-3</v>
      </c>
      <c r="Y21" s="339">
        <f>10*Q21/O22</f>
        <v>2.2155188587075943E-2</v>
      </c>
      <c r="Z21" s="64"/>
      <c r="AA21" s="64"/>
      <c r="AB21" s="13"/>
      <c r="AC21" s="13"/>
      <c r="AD21" s="13"/>
      <c r="AE21" s="13"/>
      <c r="AF21" s="13"/>
    </row>
    <row r="22" spans="1:32" x14ac:dyDescent="0.2">
      <c r="A22" s="58">
        <v>43789</v>
      </c>
      <c r="B22" s="59">
        <v>1</v>
      </c>
      <c r="C22" s="340">
        <v>0.02</v>
      </c>
      <c r="D22" s="331">
        <v>164.500951638033</v>
      </c>
      <c r="E22" s="56">
        <f t="shared" si="3"/>
        <v>162.00095125303292</v>
      </c>
      <c r="F22" s="31" t="s">
        <v>53</v>
      </c>
      <c r="G22" s="31">
        <v>0.99972223620359923</v>
      </c>
      <c r="H22" s="31" t="s">
        <v>59</v>
      </c>
      <c r="I22" s="31">
        <v>3</v>
      </c>
      <c r="J22" s="31">
        <v>379.11122532180519</v>
      </c>
      <c r="K22" s="31">
        <v>126.37040844060174</v>
      </c>
      <c r="L22" s="31"/>
      <c r="M22" s="31"/>
      <c r="N22" s="31" t="s">
        <v>74</v>
      </c>
      <c r="O22" s="31">
        <v>7521.36260477412</v>
      </c>
      <c r="P22" s="31">
        <v>72.382577306540995</v>
      </c>
      <c r="Q22" s="31"/>
      <c r="R22" s="31">
        <v>103.9112295341608</v>
      </c>
      <c r="S22" s="31">
        <v>1.9648912389062175E-6</v>
      </c>
      <c r="T22" s="31">
        <v>7291.008939058006</v>
      </c>
      <c r="U22" s="31">
        <v>7751.7162704902339</v>
      </c>
      <c r="V22" s="31">
        <v>7291.008939058006</v>
      </c>
      <c r="W22" s="31">
        <v>7751.7162704902339</v>
      </c>
      <c r="X22" s="276"/>
      <c r="Y22" s="275"/>
      <c r="Z22" s="31"/>
      <c r="AA22" s="31"/>
      <c r="AB22" s="13"/>
      <c r="AC22" s="13"/>
      <c r="AD22" s="13"/>
      <c r="AE22" s="13"/>
      <c r="AF22" s="13"/>
    </row>
    <row r="23" spans="1:32" x14ac:dyDescent="0.2">
      <c r="A23" s="58">
        <v>43789</v>
      </c>
      <c r="B23" s="59">
        <v>1</v>
      </c>
      <c r="C23" s="340">
        <v>0.05</v>
      </c>
      <c r="D23" s="331">
        <v>397.00552092433901</v>
      </c>
      <c r="E23" s="56">
        <f t="shared" si="3"/>
        <v>394.50552053933893</v>
      </c>
      <c r="F23" s="31" t="s">
        <v>54</v>
      </c>
      <c r="G23" s="31">
        <v>0.99962964827146561</v>
      </c>
      <c r="H23" s="31" t="s">
        <v>60</v>
      </c>
      <c r="I23" s="31">
        <v>4</v>
      </c>
      <c r="J23" s="31">
        <v>1364869.1090570905</v>
      </c>
      <c r="K23" s="31"/>
      <c r="L23" s="31"/>
      <c r="M23" s="31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276"/>
      <c r="Y23" s="275"/>
      <c r="Z23" s="31"/>
      <c r="AA23" s="31"/>
      <c r="AB23" s="13"/>
      <c r="AC23" s="13"/>
      <c r="AD23" s="13"/>
      <c r="AE23" s="13"/>
      <c r="AF23" s="13"/>
    </row>
    <row r="24" spans="1:32" x14ac:dyDescent="0.2">
      <c r="A24" s="58">
        <v>43789</v>
      </c>
      <c r="B24" s="59">
        <v>1</v>
      </c>
      <c r="C24" s="340">
        <v>0.1</v>
      </c>
      <c r="D24" s="331">
        <v>785.27158835742</v>
      </c>
      <c r="E24" s="56">
        <f t="shared" si="3"/>
        <v>782.77158797241998</v>
      </c>
      <c r="F24" s="31" t="s">
        <v>55</v>
      </c>
      <c r="G24" s="31">
        <v>11.241459355466342</v>
      </c>
      <c r="H24" s="31"/>
      <c r="I24" s="31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276"/>
      <c r="Y24" s="275"/>
      <c r="Z24" s="31"/>
      <c r="AA24" s="31"/>
      <c r="AB24" s="13"/>
      <c r="AC24" s="13"/>
      <c r="AD24" s="13"/>
      <c r="AE24" s="13"/>
      <c r="AF24" s="13"/>
    </row>
    <row r="25" spans="1:32" x14ac:dyDescent="0.2">
      <c r="A25" s="287">
        <v>43789</v>
      </c>
      <c r="B25" s="288">
        <v>1</v>
      </c>
      <c r="C25" s="341">
        <v>0.2</v>
      </c>
      <c r="D25" s="332">
        <v>1514.08033779076</v>
      </c>
      <c r="E25" s="261">
        <f t="shared" si="3"/>
        <v>1511.58033740576</v>
      </c>
      <c r="F25" s="67" t="s">
        <v>56</v>
      </c>
      <c r="G25" s="67">
        <v>5</v>
      </c>
      <c r="H25" s="67"/>
      <c r="I25" s="67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X25" s="128"/>
      <c r="Y25" s="67"/>
      <c r="Z25" s="31"/>
      <c r="AA25" s="31"/>
      <c r="AB25" s="13"/>
      <c r="AC25" s="13"/>
      <c r="AD25" s="13"/>
      <c r="AE25" s="13"/>
      <c r="AF25" s="13"/>
    </row>
    <row r="26" spans="1:32" x14ac:dyDescent="0.2">
      <c r="C26" s="340"/>
      <c r="D26" s="340"/>
      <c r="G26" s="31"/>
      <c r="H26" s="31"/>
      <c r="I26" s="31"/>
      <c r="J26" s="13"/>
      <c r="K26" s="13"/>
      <c r="L26" s="13"/>
      <c r="M26" s="13"/>
      <c r="N26" s="13"/>
      <c r="O26" s="13"/>
      <c r="Y26" s="31"/>
      <c r="Z26" s="31"/>
      <c r="AA26" s="31"/>
      <c r="AB26" s="13"/>
      <c r="AC26" s="13"/>
      <c r="AD26" s="13"/>
      <c r="AE26" s="13"/>
      <c r="AF26" s="13"/>
    </row>
    <row r="27" spans="1:32" x14ac:dyDescent="0.2">
      <c r="Y27" s="13"/>
      <c r="Z27" s="13"/>
      <c r="AA27" s="13"/>
      <c r="AB27" s="13"/>
      <c r="AC27" s="13"/>
      <c r="AD27" s="13"/>
      <c r="AE27" s="13"/>
      <c r="AF27" s="13"/>
    </row>
    <row r="28" spans="1:32" x14ac:dyDescent="0.2">
      <c r="Y28" s="13"/>
      <c r="Z28" s="13"/>
      <c r="AA28" s="13"/>
      <c r="AB28" s="13"/>
      <c r="AC28" s="13"/>
      <c r="AD28" s="13"/>
      <c r="AE28" s="13"/>
      <c r="AF28" s="13"/>
    </row>
    <row r="48" spans="7:14" x14ac:dyDescent="0.2">
      <c r="G48" s="13"/>
      <c r="H48" s="13"/>
      <c r="I48" s="13"/>
      <c r="J48" s="122"/>
      <c r="K48" s="209"/>
      <c r="L48" s="122"/>
      <c r="M48" s="13"/>
      <c r="N48" s="13"/>
    </row>
    <row r="49" spans="7:14" x14ac:dyDescent="0.2">
      <c r="G49" s="13"/>
      <c r="H49" s="13"/>
      <c r="I49" s="13"/>
      <c r="J49" s="122"/>
      <c r="K49" s="209"/>
      <c r="L49" s="122"/>
      <c r="M49" s="13"/>
      <c r="N49" s="13"/>
    </row>
    <row r="50" spans="7:14" x14ac:dyDescent="0.2">
      <c r="G50" s="13"/>
      <c r="H50" s="13"/>
      <c r="I50" s="13"/>
      <c r="J50" s="13"/>
      <c r="K50" s="13"/>
      <c r="L50" s="13"/>
      <c r="M50" s="13"/>
      <c r="N50" s="13"/>
    </row>
    <row r="51" spans="7:14" x14ac:dyDescent="0.2">
      <c r="G51" s="13"/>
      <c r="H51" s="13"/>
      <c r="I51" s="13"/>
      <c r="J51" s="13"/>
      <c r="K51" s="13"/>
      <c r="L51" s="13"/>
      <c r="M51" s="13"/>
      <c r="N51" s="13"/>
    </row>
    <row r="52" spans="7:14" x14ac:dyDescent="0.2">
      <c r="G52" s="64"/>
      <c r="H52" s="64"/>
      <c r="I52" s="64"/>
      <c r="J52" s="13"/>
      <c r="K52" s="13"/>
      <c r="L52" s="13"/>
      <c r="M52" s="13"/>
      <c r="N52" s="13"/>
    </row>
    <row r="53" spans="7:14" x14ac:dyDescent="0.2">
      <c r="G53" s="31"/>
      <c r="H53" s="31"/>
      <c r="I53" s="31"/>
      <c r="J53" s="13"/>
      <c r="K53" s="13"/>
      <c r="L53" s="13"/>
      <c r="M53" s="13"/>
      <c r="N53" s="13"/>
    </row>
    <row r="54" spans="7:14" x14ac:dyDescent="0.2">
      <c r="G54" s="31"/>
      <c r="H54" s="31"/>
      <c r="I54" s="31"/>
      <c r="J54" s="13"/>
      <c r="K54" s="13"/>
      <c r="L54" s="13"/>
      <c r="M54" s="13"/>
      <c r="N54" s="13"/>
    </row>
    <row r="55" spans="7:14" x14ac:dyDescent="0.2">
      <c r="G55" s="31"/>
      <c r="H55" s="31"/>
      <c r="I55" s="31"/>
      <c r="J55" s="13"/>
      <c r="K55" s="13"/>
      <c r="L55" s="13"/>
      <c r="M55" s="13"/>
      <c r="N55" s="13"/>
    </row>
    <row r="56" spans="7:14" x14ac:dyDescent="0.2">
      <c r="G56" s="31"/>
      <c r="H56" s="31"/>
      <c r="I56" s="31"/>
      <c r="J56" s="13"/>
      <c r="K56" s="13"/>
      <c r="L56" s="13"/>
      <c r="M56" s="13"/>
      <c r="N56" s="13"/>
    </row>
    <row r="57" spans="7:14" x14ac:dyDescent="0.2">
      <c r="G57" s="31"/>
      <c r="H57" s="31"/>
      <c r="I57" s="31"/>
      <c r="J57" s="13"/>
      <c r="K57" s="13"/>
      <c r="L57" s="13"/>
      <c r="M57" s="13"/>
      <c r="N57" s="13"/>
    </row>
    <row r="79" spans="7:14" x14ac:dyDescent="0.2">
      <c r="G79" s="13"/>
      <c r="H79" s="13"/>
      <c r="I79" s="13"/>
      <c r="J79" s="122"/>
      <c r="K79" s="209"/>
      <c r="L79" s="122"/>
      <c r="M79" s="13"/>
      <c r="N79" s="13"/>
    </row>
    <row r="80" spans="7:14" x14ac:dyDescent="0.2">
      <c r="G80" s="13"/>
      <c r="H80" s="13"/>
      <c r="I80" s="13"/>
      <c r="J80" s="122"/>
      <c r="K80" s="209"/>
      <c r="L80" s="122"/>
      <c r="M80" s="13"/>
      <c r="N80" s="13"/>
    </row>
    <row r="81" spans="7:14" x14ac:dyDescent="0.2">
      <c r="G81" s="13"/>
      <c r="H81" s="13"/>
      <c r="I81" s="13"/>
      <c r="J81" s="13"/>
      <c r="K81" s="13"/>
      <c r="L81" s="13"/>
      <c r="M81" s="13"/>
      <c r="N81" s="13"/>
    </row>
    <row r="82" spans="7:14" x14ac:dyDescent="0.2">
      <c r="G82" s="13"/>
      <c r="H82" s="13"/>
      <c r="I82" s="13"/>
      <c r="J82" s="13"/>
      <c r="K82" s="13"/>
      <c r="L82" s="13"/>
      <c r="M82" s="13"/>
      <c r="N82" s="13"/>
    </row>
    <row r="83" spans="7:14" x14ac:dyDescent="0.2">
      <c r="G83" s="64"/>
      <c r="H83" s="64"/>
      <c r="I83" s="64"/>
      <c r="J83" s="13"/>
      <c r="K83" s="13"/>
      <c r="L83" s="13"/>
      <c r="M83" s="13"/>
      <c r="N83" s="13"/>
    </row>
    <row r="84" spans="7:14" x14ac:dyDescent="0.2">
      <c r="G84" s="31"/>
      <c r="H84" s="31"/>
      <c r="I84" s="31"/>
      <c r="J84" s="13"/>
      <c r="K84" s="13"/>
      <c r="L84" s="13"/>
      <c r="M84" s="13"/>
      <c r="N84" s="13"/>
    </row>
    <row r="85" spans="7:14" x14ac:dyDescent="0.2">
      <c r="G85" s="31"/>
      <c r="H85" s="31"/>
      <c r="I85" s="31"/>
      <c r="J85" s="13"/>
      <c r="K85" s="13"/>
      <c r="L85" s="13"/>
      <c r="M85" s="13"/>
      <c r="N85" s="13"/>
    </row>
    <row r="86" spans="7:14" x14ac:dyDescent="0.2">
      <c r="G86" s="31"/>
      <c r="H86" s="31"/>
      <c r="I86" s="31"/>
      <c r="J86" s="13"/>
      <c r="K86" s="13"/>
      <c r="L86" s="13"/>
      <c r="M86" s="13"/>
      <c r="N86" s="13"/>
    </row>
    <row r="87" spans="7:14" x14ac:dyDescent="0.2">
      <c r="G87" s="31"/>
      <c r="H87" s="31"/>
      <c r="I87" s="31"/>
      <c r="J87" s="13"/>
      <c r="K87" s="13"/>
      <c r="L87" s="13"/>
      <c r="M87" s="13"/>
      <c r="N87" s="13"/>
    </row>
    <row r="88" spans="7:14" x14ac:dyDescent="0.2">
      <c r="G88" s="31"/>
      <c r="H88" s="31"/>
      <c r="I88" s="31"/>
      <c r="J88" s="13"/>
      <c r="K88" s="13"/>
      <c r="L88" s="13"/>
      <c r="M88" s="13"/>
      <c r="N88" s="13"/>
    </row>
    <row r="89" spans="7:14" x14ac:dyDescent="0.2">
      <c r="G89" s="13"/>
      <c r="H89" s="13"/>
      <c r="I89" s="13"/>
      <c r="J89" s="13"/>
      <c r="K89" s="13"/>
      <c r="L89" s="13"/>
      <c r="M89" s="13"/>
      <c r="N89" s="13"/>
    </row>
    <row r="90" spans="7:14" x14ac:dyDescent="0.2">
      <c r="G90" s="13"/>
      <c r="H90" s="13"/>
      <c r="I90" s="13"/>
      <c r="J90" s="13"/>
      <c r="K90" s="13"/>
      <c r="L90" s="13"/>
      <c r="M90" s="13"/>
      <c r="N90" s="13"/>
    </row>
    <row r="91" spans="7:14" x14ac:dyDescent="0.2">
      <c r="G91" s="13"/>
      <c r="H91" s="13"/>
      <c r="I91" s="13"/>
      <c r="J91" s="13"/>
      <c r="K91" s="13"/>
      <c r="L91" s="13"/>
      <c r="M91" s="13"/>
      <c r="N91" s="13"/>
    </row>
    <row r="92" spans="7:14" x14ac:dyDescent="0.2">
      <c r="G92" s="13"/>
      <c r="H92" s="13"/>
      <c r="I92" s="13"/>
      <c r="J92" s="13"/>
      <c r="K92" s="13"/>
      <c r="L92" s="13"/>
      <c r="M92" s="13"/>
      <c r="N92" s="13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FA1AA-339A-7D46-B7BD-DD8B636AFAED}">
  <dimension ref="A1:BC300"/>
  <sheetViews>
    <sheetView zoomScale="140" zoomScaleNormal="47" workbookViewId="0">
      <selection activeCell="AT263" sqref="AT263"/>
    </sheetView>
  </sheetViews>
  <sheetFormatPr baseColWidth="10" defaultRowHeight="16" x14ac:dyDescent="0.2"/>
  <cols>
    <col min="1" max="1" width="11.83203125" style="2" customWidth="1"/>
    <col min="2" max="2" width="7.6640625" style="2" customWidth="1"/>
    <col min="3" max="3" width="7.5" style="2" customWidth="1"/>
    <col min="4" max="4" width="10.6640625" style="2" customWidth="1"/>
    <col min="5" max="5" width="6.1640625" style="2" customWidth="1"/>
    <col min="6" max="6" width="7.1640625" style="2" customWidth="1"/>
    <col min="7" max="7" width="7.5" style="2" customWidth="1"/>
    <col min="8" max="8" width="6.33203125" style="2" customWidth="1"/>
    <col min="9" max="9" width="7.6640625" style="2" customWidth="1"/>
    <col min="10" max="10" width="7.33203125" style="2" customWidth="1"/>
    <col min="11" max="11" width="4.33203125" style="2" customWidth="1"/>
    <col min="12" max="12" width="7.6640625" style="2" customWidth="1"/>
    <col min="13" max="14" width="6.83203125" style="2" customWidth="1"/>
    <col min="15" max="15" width="7.6640625" style="2" customWidth="1"/>
    <col min="16" max="16" width="7" style="2" customWidth="1"/>
    <col min="17" max="17" width="7.83203125" style="2" customWidth="1"/>
    <col min="18" max="18" width="8" style="2" customWidth="1"/>
    <col min="19" max="19" width="8.33203125" style="2" customWidth="1"/>
    <col min="20" max="20" width="8.83203125" style="2" customWidth="1"/>
    <col min="21" max="21" width="8.6640625" style="2" customWidth="1"/>
    <col min="22" max="22" width="10.83203125" style="2"/>
    <col min="23" max="23" width="7.6640625" style="2" customWidth="1"/>
    <col min="24" max="24" width="8" style="2" customWidth="1"/>
    <col min="25" max="25" width="10.83203125" style="2"/>
    <col min="26" max="26" width="8" style="2" customWidth="1"/>
    <col min="27" max="27" width="9.5" style="2" customWidth="1"/>
    <col min="28" max="28" width="8.5" style="2" customWidth="1"/>
    <col min="29" max="29" width="8.33203125" style="2" customWidth="1"/>
    <col min="30" max="30" width="8.5" style="2" customWidth="1"/>
    <col min="31" max="31" width="8.6640625" style="2" customWidth="1"/>
    <col min="32" max="32" width="7.1640625" style="2" customWidth="1"/>
    <col min="33" max="33" width="8" style="2" customWidth="1"/>
    <col min="34" max="34" width="10.83203125" style="2"/>
    <col min="35" max="35" width="8.33203125" style="2" customWidth="1"/>
    <col min="36" max="36" width="8.5" style="2" customWidth="1"/>
    <col min="37" max="37" width="10.83203125" style="2"/>
    <col min="38" max="38" width="7.6640625" style="2" customWidth="1"/>
    <col min="39" max="39" width="7.5" style="2" customWidth="1"/>
    <col min="40" max="40" width="10.83203125" style="2"/>
    <col min="41" max="41" width="8.6640625" style="2" customWidth="1"/>
    <col min="42" max="42" width="8.1640625" style="2" customWidth="1"/>
    <col min="43" max="43" width="10.83203125" style="2"/>
    <col min="44" max="44" width="9.1640625" style="2" customWidth="1"/>
    <col min="45" max="45" width="8.33203125" style="2" customWidth="1"/>
    <col min="46" max="47" width="10.83203125" style="2"/>
    <col min="48" max="48" width="9.33203125" style="2" customWidth="1"/>
    <col min="49" max="16384" width="10.83203125" style="2"/>
  </cols>
  <sheetData>
    <row r="1" spans="1:21" x14ac:dyDescent="0.2">
      <c r="B1" s="386" t="s">
        <v>268</v>
      </c>
      <c r="C1" s="385"/>
      <c r="D1" s="385"/>
      <c r="E1" s="385"/>
      <c r="F1" s="385"/>
      <c r="G1" s="385"/>
      <c r="H1" s="385"/>
      <c r="I1" s="385"/>
      <c r="J1" s="385"/>
      <c r="K1" s="385"/>
      <c r="L1" s="385"/>
      <c r="M1" s="385"/>
      <c r="N1" s="385"/>
      <c r="O1" s="385"/>
      <c r="P1" s="385"/>
      <c r="Q1" s="385"/>
      <c r="R1" s="385"/>
      <c r="S1" s="385"/>
      <c r="T1" s="385"/>
      <c r="U1" s="385"/>
    </row>
    <row r="2" spans="1:21" s="95" customFormat="1" ht="60" x14ac:dyDescent="0.2">
      <c r="A2" s="94" t="s">
        <v>13</v>
      </c>
      <c r="B2" s="103" t="s">
        <v>90</v>
      </c>
      <c r="C2" s="103" t="s">
        <v>91</v>
      </c>
      <c r="D2" s="103" t="s">
        <v>92</v>
      </c>
      <c r="E2" s="103" t="s">
        <v>93</v>
      </c>
      <c r="F2" s="103" t="s">
        <v>94</v>
      </c>
      <c r="G2" s="103" t="s">
        <v>95</v>
      </c>
      <c r="H2" s="103" t="s">
        <v>96</v>
      </c>
      <c r="I2" s="103" t="s">
        <v>97</v>
      </c>
      <c r="J2" s="103" t="s">
        <v>98</v>
      </c>
      <c r="K2" s="103" t="s">
        <v>99</v>
      </c>
      <c r="L2" s="103" t="s">
        <v>100</v>
      </c>
      <c r="M2" s="103" t="s">
        <v>101</v>
      </c>
      <c r="N2" s="103" t="s">
        <v>102</v>
      </c>
      <c r="O2" s="103" t="s">
        <v>103</v>
      </c>
      <c r="P2" s="103" t="s">
        <v>104</v>
      </c>
      <c r="Q2" s="103" t="s">
        <v>105</v>
      </c>
      <c r="R2" s="103" t="s">
        <v>106</v>
      </c>
      <c r="S2" s="103" t="s">
        <v>107</v>
      </c>
      <c r="T2" s="103" t="s">
        <v>108</v>
      </c>
      <c r="U2" s="103" t="s">
        <v>109</v>
      </c>
    </row>
    <row r="3" spans="1:21" s="98" customFormat="1" ht="13" x14ac:dyDescent="0.15">
      <c r="A3" s="96" t="s">
        <v>6</v>
      </c>
      <c r="B3" s="97">
        <v>9.2998242049425299E-3</v>
      </c>
      <c r="C3" s="97">
        <v>2.34297649442348E-2</v>
      </c>
      <c r="D3" s="97">
        <v>64.469308033935206</v>
      </c>
      <c r="E3" s="97">
        <v>0.244452459665394</v>
      </c>
      <c r="F3" s="97">
        <v>1.74147224425767</v>
      </c>
      <c r="G3" s="97">
        <v>1.4578075080770601</v>
      </c>
      <c r="H3" s="97">
        <v>2.8452594114186701E-3</v>
      </c>
      <c r="I3" s="97">
        <v>0.10569035481602999</v>
      </c>
      <c r="J3" s="97">
        <v>5.83537871647683E-2</v>
      </c>
      <c r="K3" s="97">
        <v>2.5440620662095098E-3</v>
      </c>
      <c r="L3" s="97">
        <v>3.2052002196313102E-3</v>
      </c>
      <c r="M3" s="97">
        <v>3.4992550195693702E-2</v>
      </c>
      <c r="N3" s="97">
        <v>1.4525268640139301E-4</v>
      </c>
      <c r="O3" s="97">
        <v>1.26139689400317E-2</v>
      </c>
      <c r="P3" s="97">
        <v>1.2689932447730501</v>
      </c>
      <c r="Q3" s="97">
        <v>0.40896160569106699</v>
      </c>
      <c r="R3" s="97">
        <v>7.7772155971689997E-3</v>
      </c>
      <c r="S3" s="97">
        <v>5.6575590015880998E-3</v>
      </c>
      <c r="T3" s="97">
        <v>6.9608611553871498E-3</v>
      </c>
      <c r="U3" s="97">
        <v>5.1124767460590699E-3</v>
      </c>
    </row>
    <row r="4" spans="1:21" s="98" customFormat="1" ht="13" x14ac:dyDescent="0.15">
      <c r="A4" s="96" t="s">
        <v>7</v>
      </c>
      <c r="B4" s="97">
        <v>6.6464470882782196E-3</v>
      </c>
      <c r="C4" s="97">
        <v>2.1478387871117201E-2</v>
      </c>
      <c r="D4" s="97">
        <v>78.763733473814696</v>
      </c>
      <c r="E4" s="97">
        <v>0.323338718021626</v>
      </c>
      <c r="F4" s="97">
        <v>2.85244209329429</v>
      </c>
      <c r="G4" s="97">
        <v>0.94099495995538696</v>
      </c>
      <c r="H4" s="97">
        <v>4.3596488939436099E-5</v>
      </c>
      <c r="I4" s="97">
        <v>4.2366590367609799E-2</v>
      </c>
      <c r="J4" s="97">
        <v>4.0464148084298497E-2</v>
      </c>
      <c r="K4" s="97">
        <v>1.13308546853813E-3</v>
      </c>
      <c r="L4" s="97">
        <v>4.1331169378876096E-3</v>
      </c>
      <c r="M4" s="97">
        <v>4.1968770239358702E-2</v>
      </c>
      <c r="N4" s="97">
        <v>2.0252801066274E-4</v>
      </c>
      <c r="O4" s="97">
        <v>1.1815623827337E-2</v>
      </c>
      <c r="P4" s="97">
        <v>0.62386220906326795</v>
      </c>
      <c r="Q4" s="97">
        <v>6.5302767641994705E-2</v>
      </c>
      <c r="R4" s="97">
        <v>2.92794101590876E-2</v>
      </c>
      <c r="S4" s="97">
        <v>2.7888815355527001E-2</v>
      </c>
      <c r="T4" s="97">
        <v>2.9101653375756899E-2</v>
      </c>
      <c r="U4" s="97">
        <v>2.7783864269160501E-2</v>
      </c>
    </row>
    <row r="5" spans="1:21" s="98" customFormat="1" ht="13" x14ac:dyDescent="0.15">
      <c r="A5" s="96" t="s">
        <v>7</v>
      </c>
      <c r="B5" s="97">
        <v>6.3448234035530498E-3</v>
      </c>
      <c r="C5" s="97">
        <v>1.47341327372626E-2</v>
      </c>
      <c r="D5" s="97">
        <v>78.348210013538704</v>
      </c>
      <c r="E5" s="97">
        <v>0.315378415402505</v>
      </c>
      <c r="F5" s="97">
        <v>2.8371984075599901</v>
      </c>
      <c r="G5" s="97">
        <v>0.93432119049178697</v>
      </c>
      <c r="H5" s="97">
        <v>-1.9809276225006799E-5</v>
      </c>
      <c r="I5" s="97">
        <v>4.3973280897513199E-2</v>
      </c>
      <c r="J5" s="97">
        <v>3.9971081838835E-2</v>
      </c>
      <c r="K5" s="97">
        <v>1.3020625787147999E-3</v>
      </c>
      <c r="L5" s="97">
        <v>3.85970200985265E-3</v>
      </c>
      <c r="M5" s="97">
        <v>4.18996522740459E-2</v>
      </c>
      <c r="N5" s="97">
        <v>1.5591697596131201E-4</v>
      </c>
      <c r="O5" s="97">
        <v>1.23996861980364E-2</v>
      </c>
      <c r="P5" s="97">
        <v>0.62899958093479802</v>
      </c>
      <c r="Q5" s="97">
        <v>6.1688381868413897E-2</v>
      </c>
      <c r="R5" s="97">
        <v>2.8234422523383301E-2</v>
      </c>
      <c r="S5" s="97">
        <v>2.7701759619788002E-2</v>
      </c>
      <c r="T5" s="97">
        <v>2.8242689722347E-2</v>
      </c>
      <c r="U5" s="97">
        <v>2.6530836899391799E-2</v>
      </c>
    </row>
    <row r="6" spans="1:21" s="98" customFormat="1" ht="13" x14ac:dyDescent="0.15">
      <c r="A6" s="96" t="s">
        <v>8</v>
      </c>
      <c r="B6" s="97">
        <v>1.14479557937762E-2</v>
      </c>
      <c r="C6" s="97">
        <v>5.7319614641629602E-2</v>
      </c>
      <c r="D6" s="97">
        <v>21.140313790658201</v>
      </c>
      <c r="E6" s="97">
        <v>0.32874552782600103</v>
      </c>
      <c r="F6" s="97">
        <v>5.2122287575171704</v>
      </c>
      <c r="G6" s="97">
        <v>2.0421473088590099</v>
      </c>
      <c r="H6" s="97">
        <v>1.40941914963885E-3</v>
      </c>
      <c r="I6" s="97">
        <v>0.20649355558295501</v>
      </c>
      <c r="J6" s="97">
        <v>5.5320607222672603E-2</v>
      </c>
      <c r="K6" s="97">
        <v>5.0730782897442997E-3</v>
      </c>
      <c r="L6" s="97">
        <v>5.87269233411965E-3</v>
      </c>
      <c r="M6" s="97">
        <v>3.6442159593285402E-2</v>
      </c>
      <c r="N6" s="97">
        <v>1.31776632508761E-4</v>
      </c>
      <c r="O6" s="97">
        <v>4.9618264202413703E-3</v>
      </c>
      <c r="P6" s="97">
        <v>1.31345021557173</v>
      </c>
      <c r="Q6" s="97">
        <v>0.38997320965203802</v>
      </c>
      <c r="R6" s="97">
        <v>1.3879026313422201E-2</v>
      </c>
      <c r="S6" s="97">
        <v>1.20568106249239E-2</v>
      </c>
      <c r="T6" s="97">
        <v>1.46363956586385E-2</v>
      </c>
      <c r="U6" s="97">
        <v>1.14221835750162E-2</v>
      </c>
    </row>
    <row r="7" spans="1:21" s="98" customFormat="1" ht="13" x14ac:dyDescent="0.15">
      <c r="A7" s="96" t="s">
        <v>9</v>
      </c>
      <c r="B7" s="97">
        <v>1.0476672479113901E-2</v>
      </c>
      <c r="C7" s="97">
        <v>3.4507713110271697E-2</v>
      </c>
      <c r="D7" s="97">
        <v>26.4798677358887</v>
      </c>
      <c r="E7" s="97">
        <v>0.33936947322752298</v>
      </c>
      <c r="F7" s="97">
        <v>2.9784549215781402</v>
      </c>
      <c r="G7" s="97">
        <v>0.95622353540566996</v>
      </c>
      <c r="H7" s="97">
        <v>6.0341490837187603E-5</v>
      </c>
      <c r="I7" s="97">
        <v>0.113503764141066</v>
      </c>
      <c r="J7" s="97">
        <v>5.12404322547877E-2</v>
      </c>
      <c r="K7" s="97">
        <v>5.42980890182176E-3</v>
      </c>
      <c r="L7" s="97">
        <v>4.7046104624696604E-3</v>
      </c>
      <c r="M7" s="97">
        <v>1.5124522661483101E-2</v>
      </c>
      <c r="N7" s="97">
        <v>8.9362977785889598E-5</v>
      </c>
      <c r="O7" s="97">
        <v>7.83024680909283E-3</v>
      </c>
      <c r="P7" s="97">
        <v>1.5918306201197301</v>
      </c>
      <c r="Q7" s="97">
        <v>0.29834517745522099</v>
      </c>
      <c r="R7" s="97">
        <v>1.1256998429715699E-2</v>
      </c>
      <c r="S7" s="97">
        <v>9.0240584380466508E-3</v>
      </c>
      <c r="T7" s="97">
        <v>1.03660602484574E-2</v>
      </c>
      <c r="U7" s="97">
        <v>9.1537388304877496E-3</v>
      </c>
    </row>
    <row r="8" spans="1:21" s="98" customFormat="1" ht="13" x14ac:dyDescent="0.15">
      <c r="A8" s="96" t="s">
        <v>15</v>
      </c>
      <c r="B8" s="97">
        <v>2.2167685899018599E-2</v>
      </c>
      <c r="C8" s="97">
        <v>1.4219407179842201</v>
      </c>
      <c r="D8" s="97">
        <v>0.16361996389361599</v>
      </c>
      <c r="E8" s="97">
        <v>1.9220664279930999</v>
      </c>
      <c r="F8" s="97">
        <v>1.9220664279930999</v>
      </c>
      <c r="G8" s="97">
        <v>0.39844431688965498</v>
      </c>
      <c r="H8" s="97">
        <v>-2.6756471870916702E-4</v>
      </c>
      <c r="I8" s="97">
        <v>7.6588350553095E-2</v>
      </c>
      <c r="J8" s="97">
        <v>4.4619547013897802E-2</v>
      </c>
      <c r="K8" s="97">
        <v>2.52636497081144E-3</v>
      </c>
      <c r="L8" s="97">
        <v>2.7213830919541201E-3</v>
      </c>
      <c r="M8" s="97">
        <v>5.7913481026261003E-3</v>
      </c>
      <c r="N8" s="97">
        <v>8.3575973202910605E-5</v>
      </c>
      <c r="O8" s="97">
        <v>7.0699484191688502E-3</v>
      </c>
      <c r="P8" s="97">
        <v>0.445551324275619</v>
      </c>
      <c r="Q8" s="97">
        <v>5.5270502635938502E-2</v>
      </c>
      <c r="R8" s="97">
        <v>7.3391602621902599E-3</v>
      </c>
      <c r="S8" s="97">
        <v>6.9289404239127796E-3</v>
      </c>
      <c r="T8" s="97">
        <v>8.9033112739991104E-3</v>
      </c>
      <c r="U8" s="97">
        <v>6.2062358145395799E-3</v>
      </c>
    </row>
    <row r="9" spans="1:21" s="98" customFormat="1" ht="13" x14ac:dyDescent="0.15">
      <c r="A9" s="96" t="s">
        <v>15</v>
      </c>
      <c r="B9" s="97">
        <v>2.40663705966369E-2</v>
      </c>
      <c r="C9" s="97">
        <v>1.59188766045531</v>
      </c>
      <c r="D9" s="97">
        <v>0.168244570492419</v>
      </c>
      <c r="E9" s="97">
        <v>1.8496468846655101</v>
      </c>
      <c r="F9" s="97">
        <v>1.8496468846655101</v>
      </c>
      <c r="G9" s="97">
        <v>0.39802831314931802</v>
      </c>
      <c r="H9" s="97">
        <v>-5.5358689405537803E-4</v>
      </c>
      <c r="I9" s="97">
        <v>7.6381647591639706E-2</v>
      </c>
      <c r="J9" s="97">
        <v>4.2342985299182803E-2</v>
      </c>
      <c r="K9" s="97">
        <v>1.9577182344296599E-3</v>
      </c>
      <c r="L9" s="97">
        <v>2.78352701954867E-3</v>
      </c>
      <c r="M9" s="97">
        <v>7.6836136216140698E-3</v>
      </c>
      <c r="N9" s="97">
        <v>5.8173047049323103E-5</v>
      </c>
      <c r="O9" s="97">
        <v>5.16206835880644E-3</v>
      </c>
      <c r="P9" s="97">
        <v>0.45859940058159399</v>
      </c>
      <c r="Q9" s="97">
        <v>5.5455549683270502E-2</v>
      </c>
      <c r="R9" s="97">
        <v>7.6410039487577004E-3</v>
      </c>
      <c r="S9" s="97">
        <v>6.5913232090296604E-3</v>
      </c>
      <c r="T9" s="97">
        <v>7.4721973822677104E-3</v>
      </c>
      <c r="U9" s="97">
        <v>6.2719302572716703E-3</v>
      </c>
    </row>
    <row r="10" spans="1:21" s="98" customFormat="1" ht="13" x14ac:dyDescent="0.15">
      <c r="A10" s="96" t="s">
        <v>16</v>
      </c>
      <c r="B10" s="97">
        <v>1.5424897080658501E-2</v>
      </c>
      <c r="C10" s="97">
        <v>17.754793864499899</v>
      </c>
      <c r="D10" s="97">
        <v>0.17520550234825299</v>
      </c>
      <c r="E10" s="97">
        <v>1.27809522354008</v>
      </c>
      <c r="F10" s="97">
        <v>1.27809522354008</v>
      </c>
      <c r="G10" s="97">
        <v>0.44893375585044498</v>
      </c>
      <c r="H10" s="97">
        <v>-4.7338474678163298E-4</v>
      </c>
      <c r="I10" s="97">
        <v>9.6135246548403094E-2</v>
      </c>
      <c r="J10" s="97">
        <v>1.37726319670967E-2</v>
      </c>
      <c r="K10" s="97">
        <v>5.8127066368754096E-4</v>
      </c>
      <c r="L10" s="97">
        <v>2.2077516393456502E-3</v>
      </c>
      <c r="M10" s="97">
        <v>1.32272001560474E-2</v>
      </c>
      <c r="N10" s="97">
        <v>7.1528179071107006E-5</v>
      </c>
      <c r="O10" s="97">
        <v>7.7003878036346297E-3</v>
      </c>
      <c r="P10" s="97">
        <v>1.1881631015348699</v>
      </c>
      <c r="Q10" s="97">
        <v>0.51144491870606801</v>
      </c>
      <c r="R10" s="97">
        <v>6.8494013494924504E-3</v>
      </c>
      <c r="S10" s="97">
        <v>5.9969432757963998E-3</v>
      </c>
      <c r="T10" s="97">
        <v>7.5283736314211598E-3</v>
      </c>
      <c r="U10" s="97">
        <v>5.3537499011543296E-3</v>
      </c>
    </row>
    <row r="11" spans="1:21" s="98" customFormat="1" ht="13" x14ac:dyDescent="0.15">
      <c r="A11" s="96" t="s">
        <v>16</v>
      </c>
      <c r="B11" s="97">
        <v>1.48934259112142E-2</v>
      </c>
      <c r="C11" s="97">
        <v>18.0288144053272</v>
      </c>
      <c r="D11" s="97">
        <v>0.14043689355074301</v>
      </c>
      <c r="E11" s="97">
        <v>1.2631681792076099</v>
      </c>
      <c r="F11" s="97">
        <v>1.2631681792076099</v>
      </c>
      <c r="G11" s="97">
        <v>0.441555958786299</v>
      </c>
      <c r="H11" s="97">
        <v>-1.16988297549611E-3</v>
      </c>
      <c r="I11" s="97">
        <v>9.4442701708732202E-2</v>
      </c>
      <c r="J11" s="97">
        <v>1.1855298347329599E-2</v>
      </c>
      <c r="K11" s="97">
        <v>3.6066548154855302E-4</v>
      </c>
      <c r="L11" s="97">
        <v>2.0149349392343001E-3</v>
      </c>
      <c r="M11" s="97">
        <v>1.1499614832378701E-2</v>
      </c>
      <c r="N11" s="97">
        <v>4.26097088278139E-5</v>
      </c>
      <c r="O11" s="97">
        <v>6.21890323027194E-3</v>
      </c>
      <c r="P11" s="97">
        <v>1.1973092996789301</v>
      </c>
      <c r="Q11" s="97">
        <v>0.50687883813567802</v>
      </c>
      <c r="R11" s="97">
        <v>8.0283478992765802E-3</v>
      </c>
      <c r="S11" s="97">
        <v>5.9264937104912098E-3</v>
      </c>
      <c r="T11" s="97">
        <v>7.3356587371887997E-3</v>
      </c>
      <c r="U11" s="97">
        <v>5.5891310465066802E-3</v>
      </c>
    </row>
    <row r="12" spans="1:21" s="98" customFormat="1" ht="13" x14ac:dyDescent="0.15">
      <c r="A12" s="96" t="s">
        <v>17</v>
      </c>
      <c r="B12" s="97">
        <v>1.25396927036349E-2</v>
      </c>
      <c r="C12" s="97">
        <v>8.4826881173927706</v>
      </c>
      <c r="D12" s="97">
        <v>0.15211316440280401</v>
      </c>
      <c r="E12" s="97">
        <v>0.64486764151006004</v>
      </c>
      <c r="F12" s="97">
        <v>0.64486764151006004</v>
      </c>
      <c r="G12" s="97">
        <v>0.51340886242796901</v>
      </c>
      <c r="H12" s="97">
        <v>2.84635062714115E-5</v>
      </c>
      <c r="I12" s="97">
        <v>2.8357073993967901E-2</v>
      </c>
      <c r="J12" s="97">
        <v>2.1109493954180499E-2</v>
      </c>
      <c r="K12" s="97">
        <v>6.3362080310969398E-4</v>
      </c>
      <c r="L12" s="97">
        <v>6.6867240359995096E-3</v>
      </c>
      <c r="M12" s="97">
        <v>6.50345072882943E-3</v>
      </c>
      <c r="N12" s="97">
        <v>3.4953298804134297E-5</v>
      </c>
      <c r="O12" s="97">
        <v>4.7878111226767103E-3</v>
      </c>
      <c r="P12" s="97">
        <v>0.306646743223639</v>
      </c>
      <c r="Q12" s="97">
        <v>0.141608634867912</v>
      </c>
      <c r="R12" s="97">
        <v>3.71204294108E-3</v>
      </c>
      <c r="S12" s="97">
        <v>2.8957113233275401E-3</v>
      </c>
      <c r="T12" s="97">
        <v>3.6897193259922598E-3</v>
      </c>
      <c r="U12" s="97">
        <v>2.6122932002533702E-3</v>
      </c>
    </row>
    <row r="13" spans="1:21" s="98" customFormat="1" ht="13" x14ac:dyDescent="0.15">
      <c r="A13" s="96" t="s">
        <v>17</v>
      </c>
      <c r="B13" s="97">
        <v>1.11754462633966E-2</v>
      </c>
      <c r="C13" s="97">
        <v>17.636884724977101</v>
      </c>
      <c r="D13" s="97">
        <v>0.14421199212685001</v>
      </c>
      <c r="E13" s="97">
        <v>0.63766970702586301</v>
      </c>
      <c r="F13" s="97">
        <v>0.63766970702586301</v>
      </c>
      <c r="G13" s="97">
        <v>0.50784650367879203</v>
      </c>
      <c r="H13" s="97">
        <v>3.5744078829602299E-5</v>
      </c>
      <c r="I13" s="97">
        <v>2.76790203529277E-2</v>
      </c>
      <c r="J13" s="97">
        <v>2.00151680015749E-2</v>
      </c>
      <c r="K13" s="97">
        <v>7.9949113540706603E-4</v>
      </c>
      <c r="L13" s="97">
        <v>6.6664558018910301E-3</v>
      </c>
      <c r="M13" s="97">
        <v>8.87819743805238E-3</v>
      </c>
      <c r="N13" s="97">
        <v>3.5864117022612101E-5</v>
      </c>
      <c r="O13" s="97">
        <v>4.4178203265573396E-3</v>
      </c>
      <c r="P13" s="97">
        <v>0.28796821150632501</v>
      </c>
      <c r="Q13" s="97">
        <v>0.14158420895662899</v>
      </c>
      <c r="R13" s="97">
        <v>2.9989192793344502E-3</v>
      </c>
      <c r="S13" s="97">
        <v>2.71066794280458E-3</v>
      </c>
      <c r="T13" s="97">
        <v>2.7007724404435199E-3</v>
      </c>
      <c r="U13" s="97">
        <v>2.4583321579873399E-3</v>
      </c>
    </row>
    <row r="14" spans="1:21" s="98" customFormat="1" ht="13" x14ac:dyDescent="0.15">
      <c r="A14" s="96" t="s">
        <v>18</v>
      </c>
      <c r="B14" s="97">
        <v>2.1760381040363201E-2</v>
      </c>
      <c r="C14" s="97">
        <v>14.111637286182299</v>
      </c>
      <c r="D14" s="97">
        <v>0.16064065138567099</v>
      </c>
      <c r="E14" s="97">
        <v>0.388639764629017</v>
      </c>
      <c r="F14" s="97">
        <v>0.388639764629017</v>
      </c>
      <c r="G14" s="97">
        <v>0.54592469742026495</v>
      </c>
      <c r="H14" s="97">
        <v>-4.09592964004867E-4</v>
      </c>
      <c r="I14" s="97">
        <v>7.3593810757778197E-2</v>
      </c>
      <c r="J14" s="97">
        <v>5.2517072161778599E-3</v>
      </c>
      <c r="K14" s="97">
        <v>1.3218754484848E-3</v>
      </c>
      <c r="L14" s="97">
        <v>2.7536440176979698E-3</v>
      </c>
      <c r="M14" s="97">
        <v>1.3911368393953299E-2</v>
      </c>
      <c r="N14" s="97">
        <v>5.90076902130461E-5</v>
      </c>
      <c r="O14" s="97">
        <v>5.44542940230551E-3</v>
      </c>
      <c r="P14" s="97">
        <v>0.549399062860912</v>
      </c>
      <c r="Q14" s="97">
        <v>0.20589831144420501</v>
      </c>
      <c r="R14" s="97">
        <v>7.5509908038679302E-3</v>
      </c>
      <c r="S14" s="97">
        <v>7.6289618674933498E-3</v>
      </c>
      <c r="T14" s="97">
        <v>7.5853790810857602E-3</v>
      </c>
      <c r="U14" s="97">
        <v>6.9382292667646596E-3</v>
      </c>
    </row>
    <row r="15" spans="1:21" s="98" customFormat="1" ht="13" x14ac:dyDescent="0.15">
      <c r="A15" s="96" t="s">
        <v>18</v>
      </c>
      <c r="B15" s="97">
        <v>2.1702533220051001E-2</v>
      </c>
      <c r="C15" s="97">
        <v>15.1618621661276</v>
      </c>
      <c r="D15" s="97">
        <v>0.15490788706456099</v>
      </c>
      <c r="E15" s="97">
        <v>0.39132320954348199</v>
      </c>
      <c r="F15" s="97">
        <v>0.39132320954348199</v>
      </c>
      <c r="G15" s="97">
        <v>0.55091530694276802</v>
      </c>
      <c r="H15" s="97">
        <v>-2.8606548606505399E-4</v>
      </c>
      <c r="I15" s="97">
        <v>7.5067594210313199E-2</v>
      </c>
      <c r="J15" s="97">
        <v>5.2394070449115404E-3</v>
      </c>
      <c r="K15" s="97">
        <v>1.3778295742768499E-3</v>
      </c>
      <c r="L15" s="97">
        <v>2.6879918712364001E-3</v>
      </c>
      <c r="M15" s="97">
        <v>1.4355510725748401E-2</v>
      </c>
      <c r="N15" s="97">
        <v>6.5588380684811199E-5</v>
      </c>
      <c r="O15" s="97">
        <v>5.5428607555878997E-3</v>
      </c>
      <c r="P15" s="97">
        <v>0.53617979844913699</v>
      </c>
      <c r="Q15" s="97">
        <v>0.200746994422592</v>
      </c>
      <c r="R15" s="97">
        <v>7.4606088238317204E-3</v>
      </c>
      <c r="S15" s="97">
        <v>8.5295387471307303E-3</v>
      </c>
      <c r="T15" s="97">
        <v>8.0281468918549804E-3</v>
      </c>
      <c r="U15" s="97">
        <v>7.0154233912876696E-3</v>
      </c>
    </row>
    <row r="16" spans="1:21" s="98" customFormat="1" ht="13" x14ac:dyDescent="0.15">
      <c r="A16" s="96" t="s">
        <v>19</v>
      </c>
      <c r="B16" s="97">
        <v>2.48348455036035E-2</v>
      </c>
      <c r="C16" s="97">
        <v>26.782675918360098</v>
      </c>
      <c r="D16" s="97">
        <v>0.22622687869080799</v>
      </c>
      <c r="E16" s="97">
        <v>2.4485006330718901</v>
      </c>
      <c r="F16" s="97">
        <v>2.4485006330718901</v>
      </c>
      <c r="G16" s="97">
        <v>0.73104079636210695</v>
      </c>
      <c r="H16" s="97">
        <v>4.3399041407096001E-4</v>
      </c>
      <c r="I16" s="97">
        <v>6.4480046633958593E-2</v>
      </c>
      <c r="J16" s="97">
        <v>4.0191193468875203E-2</v>
      </c>
      <c r="K16" s="97">
        <v>9.5889953377377695E-4</v>
      </c>
      <c r="L16" s="97">
        <v>2.9840138279294999E-3</v>
      </c>
      <c r="M16" s="97">
        <v>2.5182994048837198E-2</v>
      </c>
      <c r="N16" s="97">
        <v>3.9329390037554401E-5</v>
      </c>
      <c r="O16" s="97">
        <v>6.6846547629091403E-3</v>
      </c>
      <c r="P16" s="97">
        <v>0.75753477235787503</v>
      </c>
      <c r="Q16" s="97">
        <v>0.19712137979889</v>
      </c>
      <c r="R16" s="97">
        <v>2.1559963531524701E-2</v>
      </c>
      <c r="S16" s="97">
        <v>2.0424261943853501E-2</v>
      </c>
      <c r="T16" s="97">
        <v>2.1832881016852899E-2</v>
      </c>
      <c r="U16" s="97">
        <v>2.02668012470275E-2</v>
      </c>
    </row>
    <row r="17" spans="1:21" s="98" customFormat="1" ht="13" x14ac:dyDescent="0.15">
      <c r="A17" s="96" t="s">
        <v>19</v>
      </c>
      <c r="B17" s="97">
        <v>2.78897922735706E-2</v>
      </c>
      <c r="C17" s="97">
        <v>52.7507313138941</v>
      </c>
      <c r="D17" s="97">
        <v>0.209432892137809</v>
      </c>
      <c r="E17" s="97">
        <v>2.4153944130404601</v>
      </c>
      <c r="F17" s="97">
        <v>2.4153944130404601</v>
      </c>
      <c r="G17" s="97">
        <v>0.730256649187909</v>
      </c>
      <c r="H17" s="97">
        <v>8.2901891846617795E-5</v>
      </c>
      <c r="I17" s="97">
        <v>6.3640889459997005E-2</v>
      </c>
      <c r="J17" s="97">
        <v>3.9354964712285202E-2</v>
      </c>
      <c r="K17" s="97">
        <v>9.2099838985797904E-4</v>
      </c>
      <c r="L17" s="97">
        <v>3.0069630686669598E-3</v>
      </c>
      <c r="M17" s="97">
        <v>2.7373586246317701E-2</v>
      </c>
      <c r="N17" s="97">
        <v>3.6050948006312498E-5</v>
      </c>
      <c r="O17" s="97">
        <v>8.9915317484921299E-3</v>
      </c>
      <c r="P17" s="97">
        <v>0.72377852632293904</v>
      </c>
      <c r="Q17" s="97">
        <v>0.19285165116337599</v>
      </c>
      <c r="R17" s="97">
        <v>2.2343146545599501E-2</v>
      </c>
      <c r="S17" s="97">
        <v>1.9067499987073099E-2</v>
      </c>
      <c r="T17" s="97">
        <v>2.01958718406429E-2</v>
      </c>
      <c r="U17" s="97">
        <v>2.1140075269435E-2</v>
      </c>
    </row>
    <row r="18" spans="1:21" s="98" customFormat="1" ht="13" x14ac:dyDescent="0.15">
      <c r="A18" s="96" t="s">
        <v>20</v>
      </c>
      <c r="B18" s="97">
        <v>3.0009605966923401E-2</v>
      </c>
      <c r="C18" s="97">
        <v>6.34243113391096</v>
      </c>
      <c r="D18" s="97">
        <v>0.13452706536338899</v>
      </c>
      <c r="E18" s="97">
        <v>1.3910108036809501</v>
      </c>
      <c r="F18" s="97">
        <v>1.3910108036809501</v>
      </c>
      <c r="G18" s="97">
        <v>0.28080295542643902</v>
      </c>
      <c r="H18" s="97">
        <v>2.9033132952339001E-3</v>
      </c>
      <c r="I18" s="97">
        <v>4.5251028083955903E-2</v>
      </c>
      <c r="J18" s="97">
        <v>9.12530781166398E-3</v>
      </c>
      <c r="K18" s="97">
        <v>1.8649452488137301E-4</v>
      </c>
      <c r="L18" s="97">
        <v>1.7744197082983199E-3</v>
      </c>
      <c r="M18" s="97">
        <v>7.62897949645159E-3</v>
      </c>
      <c r="N18" s="97">
        <v>6.7181963272273701E-6</v>
      </c>
      <c r="O18" s="97">
        <v>3.4470066669492999E-3</v>
      </c>
      <c r="P18" s="97">
        <v>0.53057222289664896</v>
      </c>
      <c r="Q18" s="97">
        <v>0.232764521042953</v>
      </c>
      <c r="R18" s="97">
        <v>8.3173430930238799E-3</v>
      </c>
      <c r="S18" s="97">
        <v>7.3418451501872598E-3</v>
      </c>
      <c r="T18" s="97">
        <v>8.3805334126903393E-3</v>
      </c>
      <c r="U18" s="97">
        <v>7.3045988414515203E-3</v>
      </c>
    </row>
    <row r="19" spans="1:21" s="98" customFormat="1" ht="13" x14ac:dyDescent="0.15">
      <c r="A19" s="96" t="s">
        <v>20</v>
      </c>
      <c r="B19" s="97">
        <v>2.9195661032425199E-2</v>
      </c>
      <c r="C19" s="97">
        <v>6.3225869201517</v>
      </c>
      <c r="D19" s="97">
        <v>0.121508474781246</v>
      </c>
      <c r="E19" s="97">
        <v>1.38059559713352</v>
      </c>
      <c r="F19" s="97">
        <v>1.38059559713352</v>
      </c>
      <c r="G19" s="97">
        <v>0.27824599041131598</v>
      </c>
      <c r="H19" s="97">
        <v>3.0628164461491999E-3</v>
      </c>
      <c r="I19" s="97">
        <v>4.4802356247830598E-2</v>
      </c>
      <c r="J19" s="97">
        <v>8.7468525657920897E-3</v>
      </c>
      <c r="K19" s="97">
        <v>1.2989715968750499E-4</v>
      </c>
      <c r="L19" s="97">
        <v>1.8761591752753199E-3</v>
      </c>
      <c r="M19" s="97">
        <v>7.3630594963383202E-3</v>
      </c>
      <c r="N19" s="97">
        <v>2.2729482691123202E-5</v>
      </c>
      <c r="O19" s="97">
        <v>2.99601516338973E-3</v>
      </c>
      <c r="P19" s="97">
        <v>0.50508728911852696</v>
      </c>
      <c r="Q19" s="97">
        <v>0.239916968774817</v>
      </c>
      <c r="R19" s="97">
        <v>8.0155322992005208E-3</v>
      </c>
      <c r="S19" s="97">
        <v>7.1800981387439696E-3</v>
      </c>
      <c r="T19" s="97">
        <v>7.9314492634089597E-3</v>
      </c>
      <c r="U19" s="97">
        <v>6.7423904712858298E-3</v>
      </c>
    </row>
    <row r="20" spans="1:21" s="98" customFormat="1" ht="13" x14ac:dyDescent="0.15">
      <c r="A20" s="96" t="s">
        <v>23</v>
      </c>
      <c r="B20" s="97">
        <v>1.21695813696824E-2</v>
      </c>
      <c r="C20" s="97">
        <v>3.0216208364464502E-2</v>
      </c>
      <c r="D20" s="97">
        <v>19.4974349433645</v>
      </c>
      <c r="E20" s="97">
        <v>0.45678098694316099</v>
      </c>
      <c r="F20" s="97">
        <v>2.28242426701037</v>
      </c>
      <c r="G20" s="97">
        <v>1.2926424589732799</v>
      </c>
      <c r="H20" s="97">
        <v>1.2748829590328299E-3</v>
      </c>
      <c r="I20" s="97">
        <v>0.153706586994037</v>
      </c>
      <c r="J20" s="97">
        <v>3.5504047267804401E-2</v>
      </c>
      <c r="K20" s="97">
        <v>2.8052084835773002E-3</v>
      </c>
      <c r="L20" s="97">
        <v>3.0924860218919802E-3</v>
      </c>
      <c r="M20" s="97">
        <v>4.7616526247320601E-2</v>
      </c>
      <c r="N20" s="97">
        <v>8.8333848982426904E-5</v>
      </c>
      <c r="O20" s="97">
        <v>1.4887690544968499E-2</v>
      </c>
      <c r="P20" s="97">
        <v>2.2834090234148801</v>
      </c>
      <c r="Q20" s="97">
        <v>0.233156968603177</v>
      </c>
      <c r="R20" s="97">
        <v>1.8060160125176701E-2</v>
      </c>
      <c r="S20" s="97">
        <v>1.64422750829263E-2</v>
      </c>
      <c r="T20" s="97">
        <v>1.8179206936637899E-2</v>
      </c>
      <c r="U20" s="97">
        <v>1.50388933797752E-2</v>
      </c>
    </row>
    <row r="21" spans="1:21" s="98" customFormat="1" ht="13" x14ac:dyDescent="0.15">
      <c r="A21" s="96" t="s">
        <v>23</v>
      </c>
      <c r="B21" s="97">
        <v>1.12695194005221E-2</v>
      </c>
      <c r="C21" s="97">
        <v>3.2582132015204601E-2</v>
      </c>
      <c r="D21" s="97">
        <v>19.672493967077799</v>
      </c>
      <c r="E21" s="97">
        <v>0.46082135365496102</v>
      </c>
      <c r="F21" s="97">
        <v>2.3008942914252599</v>
      </c>
      <c r="G21" s="97">
        <v>1.31183507134747</v>
      </c>
      <c r="H21" s="97">
        <v>8.0031579042796398E-4</v>
      </c>
      <c r="I21" s="97">
        <v>0.15696884574331099</v>
      </c>
      <c r="J21" s="97">
        <v>3.46789381093075E-2</v>
      </c>
      <c r="K21" s="97">
        <v>2.7421294983079E-3</v>
      </c>
      <c r="L21" s="97">
        <v>3.0159310334274898E-3</v>
      </c>
      <c r="M21" s="97">
        <v>4.7394228468197401E-2</v>
      </c>
      <c r="N21" s="97">
        <v>1.01639139044341E-4</v>
      </c>
      <c r="O21" s="97">
        <v>7.0130655856805498E-3</v>
      </c>
      <c r="P21" s="97">
        <v>2.31943826384274</v>
      </c>
      <c r="Q21" s="97">
        <v>0.25206470181743201</v>
      </c>
      <c r="R21" s="97">
        <v>1.94627884556479E-2</v>
      </c>
      <c r="S21" s="97">
        <v>1.6861052748438899E-2</v>
      </c>
      <c r="T21" s="97">
        <v>1.86973438571361E-2</v>
      </c>
      <c r="U21" s="97">
        <v>1.5448777981303801E-2</v>
      </c>
    </row>
    <row r="22" spans="1:21" s="98" customFormat="1" ht="13" x14ac:dyDescent="0.15">
      <c r="A22" s="96" t="s">
        <v>24</v>
      </c>
      <c r="B22" s="97">
        <v>8.1573994040999593E-3</v>
      </c>
      <c r="C22" s="97">
        <v>3.3577805877360499E-2</v>
      </c>
      <c r="D22" s="97">
        <v>13.870869734100699</v>
      </c>
      <c r="E22" s="97">
        <v>0.29346708913865399</v>
      </c>
      <c r="F22" s="97">
        <v>2.59324046255897</v>
      </c>
      <c r="G22" s="97">
        <v>0.83220263928132499</v>
      </c>
      <c r="H22" s="97">
        <v>-5.45053424437979E-4</v>
      </c>
      <c r="I22" s="97">
        <v>9.9990359586094799E-2</v>
      </c>
      <c r="J22" s="97">
        <v>3.0931780295002799E-2</v>
      </c>
      <c r="K22" s="97">
        <v>1.08701918617719E-3</v>
      </c>
      <c r="L22" s="97">
        <v>1.93976165101896E-3</v>
      </c>
      <c r="M22" s="97">
        <v>3.2761151629339902E-2</v>
      </c>
      <c r="N22" s="97">
        <v>4.2008820510786798E-5</v>
      </c>
      <c r="O22" s="97">
        <v>4.6105526048290301E-3</v>
      </c>
      <c r="P22" s="97">
        <v>1.09674869937246</v>
      </c>
      <c r="Q22" s="97">
        <v>7.8115726394075505E-2</v>
      </c>
      <c r="R22" s="97">
        <v>4.5943738390657497E-3</v>
      </c>
      <c r="S22" s="97">
        <v>3.5269706999613501E-3</v>
      </c>
      <c r="T22" s="97">
        <v>4.16763386954698E-3</v>
      </c>
      <c r="U22" s="97">
        <v>3.17602591523332E-3</v>
      </c>
    </row>
    <row r="23" spans="1:21" s="98" customFormat="1" ht="13" x14ac:dyDescent="0.15">
      <c r="A23" s="96" t="s">
        <v>24</v>
      </c>
      <c r="B23" s="97">
        <v>8.0033749556252306E-3</v>
      </c>
      <c r="C23" s="97">
        <v>3.03689311151378E-2</v>
      </c>
      <c r="D23" s="97">
        <v>12.734854777804999</v>
      </c>
      <c r="E23" s="97">
        <v>0.27045659516257697</v>
      </c>
      <c r="F23" s="97">
        <v>2.3965582131408301</v>
      </c>
      <c r="G23" s="97">
        <v>0.78247294503406395</v>
      </c>
      <c r="H23" s="97">
        <v>-6.15322917166072E-4</v>
      </c>
      <c r="I23" s="97">
        <v>9.5856667529305106E-2</v>
      </c>
      <c r="J23" s="97">
        <v>2.45192959498685E-2</v>
      </c>
      <c r="K23" s="97">
        <v>7.2907310771966403E-4</v>
      </c>
      <c r="L23" s="97">
        <v>1.8591901262637099E-3</v>
      </c>
      <c r="M23" s="97">
        <v>2.50212615939292E-2</v>
      </c>
      <c r="N23" s="97">
        <v>9.3951734521803294E-5</v>
      </c>
      <c r="O23" s="97">
        <v>2.8195814080259102E-3</v>
      </c>
      <c r="P23" s="97">
        <v>1.00836105079918</v>
      </c>
      <c r="Q23" s="97">
        <v>7.3468551406400406E-2</v>
      </c>
      <c r="R23" s="97">
        <v>4.14981472549634E-3</v>
      </c>
      <c r="S23" s="97">
        <v>2.7949659004738799E-3</v>
      </c>
      <c r="T23" s="97">
        <v>3.5860792756931999E-3</v>
      </c>
      <c r="U23" s="97">
        <v>2.8339643756668401E-3</v>
      </c>
    </row>
    <row r="24" spans="1:21" s="98" customFormat="1" ht="13" x14ac:dyDescent="0.15">
      <c r="A24" s="96" t="s">
        <v>25</v>
      </c>
      <c r="B24" s="97">
        <v>5.1960640120698601E-3</v>
      </c>
      <c r="C24" s="97">
        <v>1.4700175366306601E-2</v>
      </c>
      <c r="D24" s="97">
        <v>40.194241844752597</v>
      </c>
      <c r="E24" s="97">
        <v>0.17946261231756899</v>
      </c>
      <c r="F24" s="97">
        <v>0.82404366601380996</v>
      </c>
      <c r="G24" s="97">
        <v>0.75149536077222601</v>
      </c>
      <c r="H24" s="97">
        <v>-1.08055136447037E-3</v>
      </c>
      <c r="I24" s="97">
        <v>0.109190252527959</v>
      </c>
      <c r="J24" s="97">
        <v>2.49022631758878</v>
      </c>
      <c r="K24" s="97">
        <v>1.4217675100726601E-3</v>
      </c>
      <c r="L24" s="97">
        <v>1.9305228498424801E-3</v>
      </c>
      <c r="M24" s="97">
        <v>2.6485562102899599E-2</v>
      </c>
      <c r="N24" s="97">
        <v>9.3089504519737405E-5</v>
      </c>
      <c r="O24" s="97">
        <v>9.0602484588539495E-3</v>
      </c>
      <c r="P24" s="97">
        <v>0.64950228381853703</v>
      </c>
      <c r="Q24" s="97">
        <v>0.15858840134745</v>
      </c>
      <c r="R24" s="97">
        <v>6.6824205074695496E-3</v>
      </c>
      <c r="S24" s="97">
        <v>5.0052180117434904E-3</v>
      </c>
      <c r="T24" s="97">
        <v>6.60641974291466E-3</v>
      </c>
      <c r="U24" s="97">
        <v>5.0518699877853497E-3</v>
      </c>
    </row>
    <row r="25" spans="1:21" s="98" customFormat="1" ht="13" x14ac:dyDescent="0.15">
      <c r="A25" s="96" t="s">
        <v>25</v>
      </c>
      <c r="B25" s="97">
        <v>5.5995556338548297E-3</v>
      </c>
      <c r="C25" s="97">
        <v>1.80166925633445E-2</v>
      </c>
      <c r="D25" s="97">
        <v>56.934322822709397</v>
      </c>
      <c r="E25" s="97">
        <v>0.177807184915867</v>
      </c>
      <c r="F25" s="97">
        <v>0.85283325343160499</v>
      </c>
      <c r="G25" s="97">
        <v>0.75264844111207896</v>
      </c>
      <c r="H25" s="97">
        <v>-4.0558797644704698E-4</v>
      </c>
      <c r="I25" s="97">
        <v>0.11050242097020301</v>
      </c>
      <c r="J25" s="97">
        <v>2.2512023875160301</v>
      </c>
      <c r="K25" s="97">
        <v>1.2855763765926599E-3</v>
      </c>
      <c r="L25" s="97">
        <v>1.9593475735508602E-3</v>
      </c>
      <c r="M25" s="97">
        <v>3.3162395283799301E-2</v>
      </c>
      <c r="N25" s="97">
        <v>1.58008681466343E-4</v>
      </c>
      <c r="O25" s="97">
        <v>1.5734931145723E-2</v>
      </c>
      <c r="P25" s="97">
        <v>0.64629027229528802</v>
      </c>
      <c r="Q25" s="97">
        <v>0.15525279252551999</v>
      </c>
      <c r="R25" s="97">
        <v>7.0456928250507101E-3</v>
      </c>
      <c r="S25" s="97">
        <v>6.2201421705240303E-3</v>
      </c>
      <c r="T25" s="97">
        <v>6.8362039846564396E-3</v>
      </c>
      <c r="U25" s="97">
        <v>5.5637667746266401E-3</v>
      </c>
    </row>
    <row r="26" spans="1:21" s="98" customFormat="1" ht="13" x14ac:dyDescent="0.15">
      <c r="A26" s="96" t="s">
        <v>26</v>
      </c>
      <c r="B26" s="97">
        <v>2.3062591819726398E-3</v>
      </c>
      <c r="C26" s="97">
        <v>1.7421819164183099E-2</v>
      </c>
      <c r="D26" s="97">
        <v>2.6918107878262001</v>
      </c>
      <c r="E26" s="97">
        <v>8.4358946468384197E-2</v>
      </c>
      <c r="F26" s="97">
        <v>0.215593800151438</v>
      </c>
      <c r="G26" s="97">
        <v>0.16997165104423501</v>
      </c>
      <c r="H26" s="97">
        <v>-1.88686794808339E-3</v>
      </c>
      <c r="I26" s="97">
        <v>3.3130489166586202E-2</v>
      </c>
      <c r="J26" s="97">
        <v>6.0190796246024601E-3</v>
      </c>
      <c r="K26" s="97">
        <v>1.37844108798922E-4</v>
      </c>
      <c r="L26" s="97">
        <v>2.5409224428819902E-4</v>
      </c>
      <c r="M26" s="97">
        <v>4.7505793215215503E-3</v>
      </c>
      <c r="N26" s="97">
        <v>1.2062968537306601E-5</v>
      </c>
      <c r="O26" s="97">
        <v>1.4585610072886E-3</v>
      </c>
      <c r="P26" s="97">
        <v>0.19686119308883601</v>
      </c>
      <c r="Q26" s="97">
        <v>4.3301827763509701E-2</v>
      </c>
      <c r="R26" s="97">
        <v>6.0083723376331503E-3</v>
      </c>
      <c r="S26" s="97">
        <v>6.0666528937327602E-3</v>
      </c>
      <c r="T26" s="97">
        <v>7.1319773584461697E-3</v>
      </c>
      <c r="U26" s="97">
        <v>6.2115665106459699E-3</v>
      </c>
    </row>
    <row r="27" spans="1:21" s="98" customFormat="1" ht="13" x14ac:dyDescent="0.15">
      <c r="A27" s="96" t="s">
        <v>26</v>
      </c>
      <c r="B27" s="97">
        <v>2.3659876401010602E-3</v>
      </c>
      <c r="C27" s="97">
        <v>1.4632164333907601E-2</v>
      </c>
      <c r="D27" s="97">
        <v>2.57342195499014</v>
      </c>
      <c r="E27" s="97">
        <v>8.2837709043204394E-2</v>
      </c>
      <c r="F27" s="97">
        <v>0.211299661318404</v>
      </c>
      <c r="G27" s="97">
        <v>0.163626875050883</v>
      </c>
      <c r="H27" s="97">
        <v>-1.41529300616924E-3</v>
      </c>
      <c r="I27" s="97">
        <v>3.2860492394502901E-2</v>
      </c>
      <c r="J27" s="97">
        <v>5.1470280749310801E-3</v>
      </c>
      <c r="K27" s="97">
        <v>2.2194255126877801E-4</v>
      </c>
      <c r="L27" s="97">
        <v>2.1999279831232699E-4</v>
      </c>
      <c r="M27" s="97">
        <v>5.3525700000140097E-3</v>
      </c>
      <c r="N27" s="97">
        <v>1.9463976402988999E-5</v>
      </c>
      <c r="O27" s="97">
        <v>1.3053055442964899E-3</v>
      </c>
      <c r="P27" s="97">
        <v>0.18667314985076</v>
      </c>
      <c r="Q27" s="97">
        <v>3.9932287837048198E-2</v>
      </c>
      <c r="R27" s="97">
        <v>5.6541596866270397E-3</v>
      </c>
      <c r="S27" s="97">
        <v>6.4228558184503404E-3</v>
      </c>
      <c r="T27" s="97">
        <v>5.86729154562627E-3</v>
      </c>
      <c r="U27" s="97">
        <v>5.5154683768506496E-3</v>
      </c>
    </row>
    <row r="28" spans="1:21" s="98" customFormat="1" ht="13" x14ac:dyDescent="0.15">
      <c r="A28" s="96" t="s">
        <v>27</v>
      </c>
      <c r="B28" s="97">
        <v>6.7315841606669403E-3</v>
      </c>
      <c r="C28" s="97">
        <v>8.7343135500277003E-2</v>
      </c>
      <c r="D28" s="97">
        <v>7.8902881299587699</v>
      </c>
      <c r="E28" s="97">
        <v>0.253821303676185</v>
      </c>
      <c r="F28" s="97">
        <v>1.1850930852677</v>
      </c>
      <c r="G28" s="97">
        <v>1.48020214422833</v>
      </c>
      <c r="H28" s="97">
        <v>2.1212965276388102E-3</v>
      </c>
      <c r="I28" s="97">
        <v>0.12759610874826799</v>
      </c>
      <c r="J28" s="97">
        <v>9.9470169142207906E-3</v>
      </c>
      <c r="K28" s="97">
        <v>2.1688021310940901E-3</v>
      </c>
      <c r="L28" s="97">
        <v>3.1562894082925899E-3</v>
      </c>
      <c r="M28" s="97">
        <v>4.9700140454385401E-2</v>
      </c>
      <c r="N28" s="97">
        <v>5.2726588631443001E-4</v>
      </c>
      <c r="O28" s="97">
        <v>1.5238452965919899E-2</v>
      </c>
      <c r="P28" s="97">
        <v>1.00731988729473</v>
      </c>
      <c r="Q28" s="97">
        <v>0.64124119154776404</v>
      </c>
      <c r="R28" s="97">
        <v>1.05667253017936E-2</v>
      </c>
      <c r="S28" s="97">
        <v>7.9932577203526908E-3</v>
      </c>
      <c r="T28" s="97">
        <v>9.3122264065958991E-3</v>
      </c>
      <c r="U28" s="97">
        <v>1.53251291380327E-3</v>
      </c>
    </row>
    <row r="29" spans="1:21" s="98" customFormat="1" ht="13" x14ac:dyDescent="0.15">
      <c r="A29" s="96" t="s">
        <v>27</v>
      </c>
      <c r="B29" s="97">
        <v>7.0216486467846303E-3</v>
      </c>
      <c r="C29" s="97">
        <v>7.8998567434179295E-2</v>
      </c>
      <c r="D29" s="97">
        <v>7.3173580929983499</v>
      </c>
      <c r="E29" s="97">
        <v>0.25050621663947498</v>
      </c>
      <c r="F29" s="97">
        <v>1.16693937802374</v>
      </c>
      <c r="G29" s="97">
        <v>1.44886601695537</v>
      </c>
      <c r="H29" s="97">
        <v>2.4035710582551101E-3</v>
      </c>
      <c r="I29" s="97">
        <v>0.12503148874755399</v>
      </c>
      <c r="J29" s="97">
        <v>9.56151855459853E-3</v>
      </c>
      <c r="K29" s="97">
        <v>2.1425581480310702E-3</v>
      </c>
      <c r="L29" s="97">
        <v>3.1901243155067699E-3</v>
      </c>
      <c r="M29" s="97">
        <v>4.7879252942508797E-2</v>
      </c>
      <c r="N29" s="97">
        <v>4.83197616652325E-4</v>
      </c>
      <c r="O29" s="97">
        <v>1.11233823284953E-2</v>
      </c>
      <c r="P29" s="97">
        <v>0.96490860367960796</v>
      </c>
      <c r="Q29" s="97">
        <v>0.62812284532600304</v>
      </c>
      <c r="R29" s="97">
        <v>1.09514301947985E-2</v>
      </c>
      <c r="S29" s="97">
        <v>7.3037201057901896E-3</v>
      </c>
      <c r="T29" s="97">
        <v>1.0158568121065E-2</v>
      </c>
      <c r="U29" s="97">
        <v>1.74363707146083E-3</v>
      </c>
    </row>
    <row r="30" spans="1:21" s="98" customFormat="1" ht="13" x14ac:dyDescent="0.15">
      <c r="A30" s="96" t="s">
        <v>28</v>
      </c>
      <c r="B30" s="97">
        <v>4.3857365446839996E-3</v>
      </c>
      <c r="C30" s="97">
        <v>5.3311265062690703E-3</v>
      </c>
      <c r="D30" s="97">
        <v>4.9319030641834898</v>
      </c>
      <c r="E30" s="97">
        <v>8.6538696717783997E-2</v>
      </c>
      <c r="F30" s="97">
        <v>1.1889983105433899</v>
      </c>
      <c r="G30" s="97">
        <v>0.38048726866925198</v>
      </c>
      <c r="H30" s="97">
        <v>-7.3062965246296202E-4</v>
      </c>
      <c r="I30" s="97">
        <v>3.0191172666775099E-2</v>
      </c>
      <c r="J30" s="97">
        <v>0.118784866089231</v>
      </c>
      <c r="K30" s="97">
        <v>3.2567551996037802E-4</v>
      </c>
      <c r="L30" s="97">
        <v>5.7816540033917398E-4</v>
      </c>
      <c r="M30" s="97">
        <v>9.1887806993491104E-3</v>
      </c>
      <c r="N30" s="97">
        <v>5.8915620229317701E-5</v>
      </c>
      <c r="O30" s="97">
        <v>3.5501006339756398E-3</v>
      </c>
      <c r="P30" s="97">
        <v>0.46113954142521402</v>
      </c>
      <c r="Q30" s="97">
        <v>2.90239561693365E-2</v>
      </c>
      <c r="R30" s="97">
        <v>2.82769814734393E-3</v>
      </c>
      <c r="S30" s="97">
        <v>2.1594577740277798E-3</v>
      </c>
      <c r="T30" s="97">
        <v>3.5955690640633599E-3</v>
      </c>
      <c r="U30" s="97">
        <v>2.0524241572810798E-3</v>
      </c>
    </row>
    <row r="31" spans="1:21" s="98" customFormat="1" ht="13" x14ac:dyDescent="0.15">
      <c r="A31" s="96" t="s">
        <v>28</v>
      </c>
      <c r="B31" s="97">
        <v>3.7344775907857202E-3</v>
      </c>
      <c r="C31" s="97">
        <v>2.32303783296755E-3</v>
      </c>
      <c r="D31" s="97">
        <v>4.7414306320808697</v>
      </c>
      <c r="E31" s="97">
        <v>7.8601656337464895E-2</v>
      </c>
      <c r="F31" s="97">
        <v>1.14868211636781</v>
      </c>
      <c r="G31" s="97">
        <v>0.368515961712641</v>
      </c>
      <c r="H31" s="97">
        <v>-5.1262713839801005E-4</v>
      </c>
      <c r="I31" s="97">
        <v>2.92653540664017E-2</v>
      </c>
      <c r="J31" s="97">
        <v>3.30238806845903E-2</v>
      </c>
      <c r="K31" s="97">
        <v>2.7426965954349198E-4</v>
      </c>
      <c r="L31" s="97">
        <v>5.8943285122946797E-4</v>
      </c>
      <c r="M31" s="97">
        <v>8.4228093596226405E-3</v>
      </c>
      <c r="N31" s="97">
        <v>5.7536111293861401E-5</v>
      </c>
      <c r="O31" s="97">
        <v>3.5456500249280102E-3</v>
      </c>
      <c r="P31" s="97">
        <v>0.42936305562311999</v>
      </c>
      <c r="Q31" s="97">
        <v>2.6954504559916301E-2</v>
      </c>
      <c r="R31" s="97">
        <v>2.12395116904448E-3</v>
      </c>
      <c r="S31" s="97">
        <v>1.5133447471649801E-3</v>
      </c>
      <c r="T31" s="97">
        <v>3.3175691751132202E-3</v>
      </c>
      <c r="U31" s="97">
        <v>2.1416910934768702E-3</v>
      </c>
    </row>
    <row r="32" spans="1:21" s="98" customFormat="1" ht="13" x14ac:dyDescent="0.15">
      <c r="A32" s="96" t="s">
        <v>30</v>
      </c>
      <c r="B32" s="97">
        <v>5.6656293071095402E-3</v>
      </c>
      <c r="C32" s="97">
        <v>1.32147112867931E-2</v>
      </c>
      <c r="D32" s="97">
        <v>79.991500035330901</v>
      </c>
      <c r="E32" s="97">
        <v>0.36938182016257098</v>
      </c>
      <c r="F32" s="97">
        <v>0.82342275279010302</v>
      </c>
      <c r="G32" s="97">
        <v>0.189866597701183</v>
      </c>
      <c r="H32" s="97">
        <v>-7.88994065750334E-4</v>
      </c>
      <c r="I32" s="97">
        <v>0.111179025448154</v>
      </c>
      <c r="J32" s="97">
        <v>1.30349162152244E-2</v>
      </c>
      <c r="K32" s="97">
        <v>1.09514276930741E-3</v>
      </c>
      <c r="L32" s="97">
        <v>2.6740228021190802E-3</v>
      </c>
      <c r="M32" s="97">
        <v>2.34266740853936E-2</v>
      </c>
      <c r="N32" s="97">
        <v>6.38742620409731E-5</v>
      </c>
      <c r="O32" s="97">
        <v>1.54531639627201E-2</v>
      </c>
      <c r="P32" s="97">
        <v>0.74044307153019395</v>
      </c>
      <c r="Q32" s="97">
        <v>8.1238892581904906E-2</v>
      </c>
      <c r="R32" s="97">
        <v>5.7044111144953303E-3</v>
      </c>
      <c r="S32" s="97">
        <v>5.4431490631846298E-3</v>
      </c>
      <c r="T32" s="97">
        <v>5.6660725545711896E-3</v>
      </c>
      <c r="U32" s="97">
        <v>4.40324759346213E-3</v>
      </c>
    </row>
    <row r="33" spans="1:21" s="98" customFormat="1" ht="13" x14ac:dyDescent="0.15">
      <c r="A33" s="96" t="s">
        <v>30</v>
      </c>
      <c r="B33" s="97">
        <v>5.3755083588488796E-3</v>
      </c>
      <c r="C33" s="97">
        <v>1.3987553084896799E-2</v>
      </c>
      <c r="D33" s="97">
        <v>85.925999230442002</v>
      </c>
      <c r="E33" s="97">
        <v>0.366920944644202</v>
      </c>
      <c r="F33" s="97">
        <v>0.79838873263578003</v>
      </c>
      <c r="G33" s="97">
        <v>0.188833033654634</v>
      </c>
      <c r="H33" s="97">
        <v>-9.3963885404919304E-4</v>
      </c>
      <c r="I33" s="97">
        <v>0.10855393991616399</v>
      </c>
      <c r="J33" s="97">
        <v>1.3117744068931601E-2</v>
      </c>
      <c r="K33" s="97">
        <v>1.41991595941474E-3</v>
      </c>
      <c r="L33" s="97">
        <v>2.5486073081626001E-3</v>
      </c>
      <c r="M33" s="97">
        <v>2.4387899201325301E-2</v>
      </c>
      <c r="N33" s="97">
        <v>5.3172562997893197E-5</v>
      </c>
      <c r="O33" s="97">
        <v>1.6291402017249101E-2</v>
      </c>
      <c r="P33" s="97">
        <v>0.75829293845147305</v>
      </c>
      <c r="Q33" s="97">
        <v>8.3495640714687805E-2</v>
      </c>
      <c r="R33" s="97">
        <v>6.7705808308415397E-3</v>
      </c>
      <c r="S33" s="97">
        <v>4.2580011627623799E-3</v>
      </c>
      <c r="T33" s="97">
        <v>5.8342205186102097E-3</v>
      </c>
      <c r="U33" s="97">
        <v>4.6433484810415402E-3</v>
      </c>
    </row>
    <row r="34" spans="1:21" s="98" customFormat="1" ht="13" x14ac:dyDescent="0.15">
      <c r="A34" s="96" t="s">
        <v>31</v>
      </c>
      <c r="B34" s="97">
        <v>7.2240265881698103E-3</v>
      </c>
      <c r="C34" s="97">
        <v>4.1785439021004803E-2</v>
      </c>
      <c r="D34" s="97">
        <v>14.5990771313626</v>
      </c>
      <c r="E34" s="97">
        <v>0.282260297304742</v>
      </c>
      <c r="F34" s="97">
        <v>3.7889697228655002</v>
      </c>
      <c r="G34" s="97">
        <v>1.42747271632508</v>
      </c>
      <c r="H34" s="97">
        <v>1.3552127627680199E-3</v>
      </c>
      <c r="I34" s="97">
        <v>0.1382873948451</v>
      </c>
      <c r="J34" s="97">
        <v>2.5305567440866501E-2</v>
      </c>
      <c r="K34" s="97">
        <v>1.34519268931186E-3</v>
      </c>
      <c r="L34" s="97">
        <v>2.0198193963535701E-3</v>
      </c>
      <c r="M34" s="97">
        <v>6.1878807854220598E-2</v>
      </c>
      <c r="N34" s="97">
        <v>1.06311210453492E-4</v>
      </c>
      <c r="O34" s="97">
        <v>3.17571238011143E-3</v>
      </c>
      <c r="P34" s="97">
        <v>1.3088553474564399</v>
      </c>
      <c r="Q34" s="97">
        <v>0.92049480514668403</v>
      </c>
      <c r="R34" s="97">
        <v>2.9225043406974099E-2</v>
      </c>
      <c r="S34" s="97">
        <v>3.0407558969399E-2</v>
      </c>
      <c r="T34" s="97">
        <v>2.9331301492150599E-2</v>
      </c>
      <c r="U34" s="97">
        <v>2.9368344402128901E-2</v>
      </c>
    </row>
    <row r="35" spans="1:21" s="98" customFormat="1" ht="13" x14ac:dyDescent="0.15">
      <c r="A35" s="96" t="s">
        <v>31</v>
      </c>
      <c r="B35" s="97">
        <v>6.7043611344970904E-3</v>
      </c>
      <c r="C35" s="97">
        <v>4.0986380470336203E-2</v>
      </c>
      <c r="D35" s="97">
        <v>14.3135914098282</v>
      </c>
      <c r="E35" s="97">
        <v>0.27770814197199301</v>
      </c>
      <c r="F35" s="97">
        <v>3.6786407599929198</v>
      </c>
      <c r="G35" s="97">
        <v>1.3846666080845</v>
      </c>
      <c r="H35" s="97">
        <v>1.8290036570836E-3</v>
      </c>
      <c r="I35" s="97">
        <v>0.13866444365000899</v>
      </c>
      <c r="J35" s="97">
        <v>2.1841589731748701E-2</v>
      </c>
      <c r="K35" s="97">
        <v>1.5329386738671901E-3</v>
      </c>
      <c r="L35" s="97">
        <v>1.9689705152211999E-3</v>
      </c>
      <c r="M35" s="97">
        <v>6.0508076916800602E-2</v>
      </c>
      <c r="N35" s="97">
        <v>1.01001192370506E-4</v>
      </c>
      <c r="O35" s="97">
        <v>3.58582884874677E-3</v>
      </c>
      <c r="P35" s="97">
        <v>1.26850185802868</v>
      </c>
      <c r="Q35" s="97">
        <v>0.87756831057824602</v>
      </c>
      <c r="R35" s="97">
        <v>2.9779315464731899E-2</v>
      </c>
      <c r="S35" s="97">
        <v>2.9365634989414101E-2</v>
      </c>
      <c r="T35" s="97">
        <v>3.0363599057248902E-2</v>
      </c>
      <c r="U35" s="97">
        <v>2.7443064435547299E-2</v>
      </c>
    </row>
    <row r="36" spans="1:21" s="98" customFormat="1" ht="13" x14ac:dyDescent="0.15">
      <c r="A36" s="96" t="s">
        <v>32</v>
      </c>
      <c r="B36" s="97">
        <v>5.0976997020535904E-3</v>
      </c>
      <c r="C36" s="97">
        <v>6.3557536288399205E-2</v>
      </c>
      <c r="D36" s="97">
        <v>6.3510383469794203</v>
      </c>
      <c r="E36" s="97">
        <v>0.27709739148240697</v>
      </c>
      <c r="F36" s="97">
        <v>0.53547429298816096</v>
      </c>
      <c r="G36" s="97">
        <v>0.89295691817221501</v>
      </c>
      <c r="H36" s="97">
        <v>4.8058647939408999E-4</v>
      </c>
      <c r="I36" s="97">
        <v>0.10873528522588401</v>
      </c>
      <c r="J36" s="97">
        <v>8.0945845976223094E-3</v>
      </c>
      <c r="K36" s="97">
        <v>1.3938907756055499E-3</v>
      </c>
      <c r="L36" s="97">
        <v>3.0300695637833302E-3</v>
      </c>
      <c r="M36" s="97">
        <v>1.7852022927927501E-2</v>
      </c>
      <c r="N36" s="97">
        <v>5.3983323033431901E-5</v>
      </c>
      <c r="O36" s="97">
        <v>3.0047571415098202E-3</v>
      </c>
      <c r="P36" s="97">
        <v>1.4076767011250499</v>
      </c>
      <c r="Q36" s="97">
        <v>0.97507983800209197</v>
      </c>
      <c r="R36" s="97">
        <v>7.95264547366927E-3</v>
      </c>
      <c r="S36" s="97">
        <v>4.4550547457685502E-3</v>
      </c>
      <c r="T36" s="97">
        <v>8.6312518134071294E-3</v>
      </c>
      <c r="U36" s="97">
        <v>4.6675953737585303E-3</v>
      </c>
    </row>
    <row r="37" spans="1:21" s="98" customFormat="1" ht="13" x14ac:dyDescent="0.15">
      <c r="A37" s="96" t="s">
        <v>32</v>
      </c>
      <c r="B37" s="97">
        <v>4.6922984623582898E-3</v>
      </c>
      <c r="C37" s="97">
        <v>6.0720655497818798E-2</v>
      </c>
      <c r="D37" s="97">
        <v>6.0346463810852402</v>
      </c>
      <c r="E37" s="97">
        <v>0.25357182181910898</v>
      </c>
      <c r="F37" s="97">
        <v>0.50654757840716502</v>
      </c>
      <c r="G37" s="97">
        <v>0.85026410671260899</v>
      </c>
      <c r="H37" s="97">
        <v>1.05559060936105E-3</v>
      </c>
      <c r="I37" s="97">
        <v>0.104897547497145</v>
      </c>
      <c r="J37" s="97">
        <v>7.5979186108423901E-3</v>
      </c>
      <c r="K37" s="97">
        <v>1.3679999321511999E-3</v>
      </c>
      <c r="L37" s="97">
        <v>3.07431248289912E-3</v>
      </c>
      <c r="M37" s="97">
        <v>1.6699022367628699E-2</v>
      </c>
      <c r="N37" s="97">
        <v>6.6844240311844994E-5</v>
      </c>
      <c r="O37" s="97">
        <v>4.3757491353070199E-3</v>
      </c>
      <c r="P37" s="97">
        <v>1.3582535080734</v>
      </c>
      <c r="Q37" s="97">
        <v>0.938569666701907</v>
      </c>
      <c r="R37" s="97">
        <v>8.3680893800519105E-3</v>
      </c>
      <c r="S37" s="97">
        <v>5.7074184025664998E-3</v>
      </c>
      <c r="T37" s="97">
        <v>8.0779273493936793E-3</v>
      </c>
      <c r="U37" s="97">
        <v>4.2710710429767398E-3</v>
      </c>
    </row>
    <row r="38" spans="1:21" s="98" customFormat="1" ht="13" x14ac:dyDescent="0.15">
      <c r="A38" s="96" t="s">
        <v>33</v>
      </c>
      <c r="B38" s="97">
        <v>9.2718554522661905E-3</v>
      </c>
      <c r="C38" s="97">
        <v>5.1165880849306601E-2</v>
      </c>
      <c r="D38" s="97">
        <v>13.705909598897501</v>
      </c>
      <c r="E38" s="97">
        <v>0.27707678570024102</v>
      </c>
      <c r="F38" s="97">
        <v>1.96665319250515</v>
      </c>
      <c r="G38" s="97">
        <v>0.39117504087183402</v>
      </c>
      <c r="H38" s="97">
        <v>4.4500377379742102E-4</v>
      </c>
      <c r="I38" s="97">
        <v>9.1913773116550204E-2</v>
      </c>
      <c r="J38" s="97">
        <v>3.3112543658200398E-2</v>
      </c>
      <c r="K38" s="97">
        <v>4.2862553760687403E-4</v>
      </c>
      <c r="L38" s="97">
        <v>2.12772563170363E-3</v>
      </c>
      <c r="M38" s="97">
        <v>1.42528121900355E-2</v>
      </c>
      <c r="N38" s="97">
        <v>5.7213487544688103E-5</v>
      </c>
      <c r="O38" s="97">
        <v>5.63544341803287E-3</v>
      </c>
      <c r="P38" s="97">
        <v>0.89884459769498504</v>
      </c>
      <c r="Q38" s="97">
        <v>0.73365284294724598</v>
      </c>
      <c r="R38" s="97">
        <v>5.7632394567824798E-3</v>
      </c>
      <c r="S38" s="97">
        <v>3.9975205898216803E-3</v>
      </c>
      <c r="T38" s="97">
        <v>5.0679069158326897E-3</v>
      </c>
      <c r="U38" s="97">
        <v>4.2158090644989401E-3</v>
      </c>
    </row>
    <row r="39" spans="1:21" s="98" customFormat="1" ht="13" x14ac:dyDescent="0.15">
      <c r="A39" s="96" t="s">
        <v>33</v>
      </c>
      <c r="B39" s="97">
        <v>9.1721179670925697E-3</v>
      </c>
      <c r="C39" s="97">
        <v>5.21543711159086E-2</v>
      </c>
      <c r="D39" s="97">
        <v>13.918958055557299</v>
      </c>
      <c r="E39" s="97">
        <v>0.23228514360639699</v>
      </c>
      <c r="F39" s="97">
        <v>1.9525642618955299</v>
      </c>
      <c r="G39" s="97">
        <v>0.39052497247046902</v>
      </c>
      <c r="H39" s="97">
        <v>-7.0244059689869305E-4</v>
      </c>
      <c r="I39" s="97">
        <v>8.9705335388554797E-2</v>
      </c>
      <c r="J39" s="97">
        <v>3.3697967332193698E-2</v>
      </c>
      <c r="K39" s="97">
        <v>4.8293050332236497E-4</v>
      </c>
      <c r="L39" s="97">
        <v>2.4110340915325401E-3</v>
      </c>
      <c r="M39" s="97">
        <v>1.22529943490237E-2</v>
      </c>
      <c r="N39" s="97">
        <v>9.7517437440445501E-5</v>
      </c>
      <c r="O39" s="97">
        <v>4.1288205542823796E-3</v>
      </c>
      <c r="P39" s="97">
        <v>0.87247347554677401</v>
      </c>
      <c r="Q39" s="97">
        <v>0.73812468279074595</v>
      </c>
      <c r="R39" s="97">
        <v>5.6664040423902596E-3</v>
      </c>
      <c r="S39" s="97">
        <v>4.6079513783402496E-3</v>
      </c>
      <c r="T39" s="97">
        <v>5.6211452721176497E-3</v>
      </c>
      <c r="U39" s="97">
        <v>3.91009745558407E-3</v>
      </c>
    </row>
    <row r="40" spans="1:21" s="98" customFormat="1" ht="13" x14ac:dyDescent="0.15">
      <c r="A40" s="96" t="s">
        <v>34</v>
      </c>
      <c r="B40" s="97">
        <v>6.3693149066876096E-3</v>
      </c>
      <c r="C40" s="97">
        <v>3.00305581030989E-2</v>
      </c>
      <c r="D40" s="97">
        <v>14.5822103161847</v>
      </c>
      <c r="E40" s="97">
        <v>0.22306012668432301</v>
      </c>
      <c r="F40" s="97">
        <v>0.89928927659735103</v>
      </c>
      <c r="G40" s="97">
        <v>3.3661136752480498</v>
      </c>
      <c r="H40" s="97">
        <v>1.1311332833492699E-3</v>
      </c>
      <c r="I40" s="97">
        <v>6.8494727954638707E-2</v>
      </c>
      <c r="J40" s="97">
        <v>1.9802535201479E-2</v>
      </c>
      <c r="K40" s="97">
        <v>2.1730785127305001E-3</v>
      </c>
      <c r="L40" s="97">
        <v>2.0136003846264101E-3</v>
      </c>
      <c r="M40" s="97">
        <v>1.85474091601751E-2</v>
      </c>
      <c r="N40" s="97">
        <v>8.9308877558089801E-5</v>
      </c>
      <c r="O40" s="97">
        <v>3.3715195711524698E-3</v>
      </c>
      <c r="P40" s="97">
        <v>0.91770466625732605</v>
      </c>
      <c r="Q40" s="97">
        <v>1.0536708907824801</v>
      </c>
      <c r="R40" s="97">
        <v>5.90731397416635E-3</v>
      </c>
      <c r="S40" s="97">
        <v>4.6025969149756998E-3</v>
      </c>
      <c r="T40" s="97">
        <v>6.2314116204808404E-3</v>
      </c>
      <c r="U40" s="97">
        <v>4.2859804898995003E-3</v>
      </c>
    </row>
    <row r="41" spans="1:21" s="98" customFormat="1" ht="13" x14ac:dyDescent="0.15">
      <c r="A41" s="96" t="s">
        <v>34</v>
      </c>
      <c r="B41" s="97">
        <v>6.1083951947670497E-3</v>
      </c>
      <c r="C41" s="97">
        <v>2.62596620858845E-2</v>
      </c>
      <c r="D41" s="97">
        <v>14.0760094220627</v>
      </c>
      <c r="E41" s="97">
        <v>0.196378902405456</v>
      </c>
      <c r="F41" s="97">
        <v>0.85620469627122098</v>
      </c>
      <c r="G41" s="97">
        <v>3.2259328660778501</v>
      </c>
      <c r="H41" s="97">
        <v>5.15037105825815E-4</v>
      </c>
      <c r="I41" s="97">
        <v>6.8440822703106502E-2</v>
      </c>
      <c r="J41" s="97">
        <v>6.7233707416395399E-3</v>
      </c>
      <c r="K41" s="97">
        <v>2.29621086032241E-3</v>
      </c>
      <c r="L41" s="97">
        <v>2.0579183447858602E-3</v>
      </c>
      <c r="M41" s="97">
        <v>1.70742195028331E-2</v>
      </c>
      <c r="N41" s="97">
        <v>5.69117679060374E-5</v>
      </c>
      <c r="O41" s="97">
        <v>3.2965833032401201E-3</v>
      </c>
      <c r="P41" s="97">
        <v>0.85499377125549803</v>
      </c>
      <c r="Q41" s="97">
        <v>1.0034268771616499</v>
      </c>
      <c r="R41" s="97">
        <v>6.7431366097636799E-3</v>
      </c>
      <c r="S41" s="97">
        <v>4.1968920487488398E-3</v>
      </c>
      <c r="T41" s="97">
        <v>6.1665002362291501E-3</v>
      </c>
      <c r="U41" s="97">
        <v>4.2153207281566398E-3</v>
      </c>
    </row>
    <row r="42" spans="1:21" s="98" customFormat="1" ht="13" x14ac:dyDescent="0.15">
      <c r="A42" s="96" t="s">
        <v>35</v>
      </c>
      <c r="B42" s="97">
        <v>8.6150176134866408E-3</v>
      </c>
      <c r="C42" s="97">
        <v>3.3139365840474298E-2</v>
      </c>
      <c r="D42" s="97">
        <v>12.0886148915531</v>
      </c>
      <c r="E42" s="97">
        <v>0.25606749041041699</v>
      </c>
      <c r="F42" s="97">
        <v>1.8068594919176899</v>
      </c>
      <c r="G42" s="97">
        <v>0.60782704319833503</v>
      </c>
      <c r="H42" s="97">
        <v>-3.7670375504500898E-4</v>
      </c>
      <c r="I42" s="97">
        <v>9.53929386191949E-2</v>
      </c>
      <c r="J42" s="97">
        <v>1.61196298131949E-2</v>
      </c>
      <c r="K42" s="97">
        <v>8.9405736935125393E-3</v>
      </c>
      <c r="L42" s="97">
        <v>5.9599804473538997E-3</v>
      </c>
      <c r="M42" s="97">
        <v>2.72958453326064E-2</v>
      </c>
      <c r="N42" s="97">
        <v>3.46357696956146E-5</v>
      </c>
      <c r="O42" s="97">
        <v>1.0945337971540301E-2</v>
      </c>
      <c r="P42" s="97">
        <v>1.01506944942373</v>
      </c>
      <c r="Q42" s="97">
        <v>0.84396288136764497</v>
      </c>
      <c r="R42" s="97">
        <v>8.2253797735315493E-3</v>
      </c>
      <c r="S42" s="97">
        <v>7.9269271759219995E-3</v>
      </c>
      <c r="T42" s="97">
        <v>8.6711762171012702E-3</v>
      </c>
      <c r="U42" s="97">
        <v>5.44031371002525E-3</v>
      </c>
    </row>
    <row r="43" spans="1:21" s="98" customFormat="1" ht="13" x14ac:dyDescent="0.15">
      <c r="A43" s="96" t="s">
        <v>35</v>
      </c>
      <c r="B43" s="97">
        <v>8.9536305198319992E-3</v>
      </c>
      <c r="C43" s="97">
        <v>3.0823658861064002E-2</v>
      </c>
      <c r="D43" s="97">
        <v>12.1691651952599</v>
      </c>
      <c r="E43" s="97">
        <v>0.23825384639883501</v>
      </c>
      <c r="F43" s="97">
        <v>1.7142909347608299</v>
      </c>
      <c r="G43" s="97">
        <v>0.57169973429423204</v>
      </c>
      <c r="H43" s="97">
        <v>-6.54665605161479E-4</v>
      </c>
      <c r="I43" s="97">
        <v>9.1363820677471605E-2</v>
      </c>
      <c r="J43" s="97">
        <v>1.40327807230409E-2</v>
      </c>
      <c r="K43" s="97">
        <v>9.1838935174144102E-3</v>
      </c>
      <c r="L43" s="97">
        <v>5.5745605318117302E-3</v>
      </c>
      <c r="M43" s="97">
        <v>2.61047413698356E-2</v>
      </c>
      <c r="N43" s="97">
        <v>4.1827901854398599E-5</v>
      </c>
      <c r="O43" s="97">
        <v>1.04521845968221E-2</v>
      </c>
      <c r="P43" s="97">
        <v>0.938224513665876</v>
      </c>
      <c r="Q43" s="97">
        <v>0.81424414894178898</v>
      </c>
      <c r="R43" s="97">
        <v>7.7134995107142404E-3</v>
      </c>
      <c r="S43" s="97">
        <v>6.9569099133187104E-3</v>
      </c>
      <c r="T43" s="97">
        <v>8.5182279101609602E-3</v>
      </c>
      <c r="U43" s="97">
        <v>6.0815089924459104E-3</v>
      </c>
    </row>
    <row r="44" spans="1:21" s="98" customFormat="1" ht="13" x14ac:dyDescent="0.15">
      <c r="A44" s="99" t="s">
        <v>37</v>
      </c>
      <c r="B44" s="100">
        <v>5.0702010699875402</v>
      </c>
      <c r="C44" s="100">
        <v>6.9125319716533902</v>
      </c>
      <c r="D44" s="100">
        <v>31.269949875707699</v>
      </c>
      <c r="E44" s="100">
        <v>11.426340805358199</v>
      </c>
      <c r="F44" s="100">
        <v>1.4643543127019101</v>
      </c>
      <c r="G44" s="100">
        <v>8.6042597678732093</v>
      </c>
      <c r="H44" s="100">
        <v>1.7602302528617599</v>
      </c>
      <c r="I44" s="100">
        <v>1.22657778624557</v>
      </c>
      <c r="J44" s="100">
        <v>-4.5037022533117596E-3</v>
      </c>
      <c r="K44" s="100">
        <v>1.0683947082773899</v>
      </c>
      <c r="L44" s="100">
        <v>0.78286921680426602</v>
      </c>
      <c r="M44" s="100">
        <v>10.4320860687736</v>
      </c>
      <c r="N44" s="100">
        <v>-9.4798202372750105E-5</v>
      </c>
      <c r="O44" s="100">
        <v>0.77648336927766703</v>
      </c>
      <c r="P44" s="100">
        <v>3366.13442705132</v>
      </c>
      <c r="Q44" s="100">
        <v>27.121429879466199</v>
      </c>
      <c r="R44" s="100">
        <v>4.3290684679582396</v>
      </c>
      <c r="S44" s="100">
        <v>0.37614422711572099</v>
      </c>
      <c r="T44" s="100">
        <v>0.97787067010207596</v>
      </c>
      <c r="U44" s="100">
        <v>0.57875838472725505</v>
      </c>
    </row>
    <row r="45" spans="1:21" s="98" customFormat="1" ht="13" x14ac:dyDescent="0.15">
      <c r="A45" s="96" t="s">
        <v>37</v>
      </c>
      <c r="B45" s="97">
        <v>3.0172938672741599E-3</v>
      </c>
      <c r="C45" s="97">
        <v>1.1509941344049E-2</v>
      </c>
      <c r="D45" s="97">
        <v>4.3847195058207697</v>
      </c>
      <c r="E45" s="97">
        <v>0.13078058533473899</v>
      </c>
      <c r="F45" s="97">
        <v>0.44816048523323598</v>
      </c>
      <c r="G45" s="97">
        <v>0.34424327497386398</v>
      </c>
      <c r="H45" s="97">
        <v>-7.7207490523643798E-4</v>
      </c>
      <c r="I45" s="97">
        <v>5.6307290339644801E-2</v>
      </c>
      <c r="J45" s="97">
        <v>6.44229944370007E-3</v>
      </c>
      <c r="K45" s="97">
        <v>5.4135938650905495E-4</v>
      </c>
      <c r="L45" s="97">
        <v>1.04744092231267E-3</v>
      </c>
      <c r="M45" s="97">
        <v>5.8745717767329899E-3</v>
      </c>
      <c r="N45" s="97">
        <v>-7.6848552406114294E-5</v>
      </c>
      <c r="O45" s="97">
        <v>8.8427192168487705E-3</v>
      </c>
      <c r="P45" s="97">
        <v>0.27309031997310301</v>
      </c>
      <c r="Q45" s="97">
        <v>4.3488864419987297E-2</v>
      </c>
      <c r="R45" s="97">
        <v>2.6302413943000902E-3</v>
      </c>
      <c r="S45" s="97">
        <v>2.5481378089154002E-3</v>
      </c>
      <c r="T45" s="97">
        <v>2.75422396735827E-3</v>
      </c>
      <c r="U45" s="97">
        <v>1.4664351240531101E-3</v>
      </c>
    </row>
    <row r="46" spans="1:21" s="98" customFormat="1" ht="13" x14ac:dyDescent="0.15">
      <c r="A46" s="96" t="s">
        <v>38</v>
      </c>
      <c r="B46" s="97">
        <v>6.8097162880936197E-3</v>
      </c>
      <c r="C46" s="97">
        <v>0.219716960149515</v>
      </c>
      <c r="D46" s="97">
        <v>24.167890482003301</v>
      </c>
      <c r="E46" s="97">
        <v>0.30385772192955901</v>
      </c>
      <c r="F46" s="97">
        <v>3.1515031757948</v>
      </c>
      <c r="G46" s="97">
        <v>0.168184664454298</v>
      </c>
      <c r="H46" s="97">
        <v>-3.6870796483805599E-4</v>
      </c>
      <c r="I46" s="97">
        <v>6.0674466549688499E-2</v>
      </c>
      <c r="J46" s="97">
        <v>5.95684872694126E-2</v>
      </c>
      <c r="K46" s="97">
        <v>9.1488790017511302E-4</v>
      </c>
      <c r="L46" s="97">
        <v>1.8575168812323499E-3</v>
      </c>
      <c r="M46" s="97">
        <v>1.43824886445078E-2</v>
      </c>
      <c r="N46" s="97">
        <v>-1.92685860969895E-5</v>
      </c>
      <c r="O46" s="97">
        <v>1.57281566413848E-2</v>
      </c>
      <c r="P46" s="97">
        <v>0.43494916196609801</v>
      </c>
      <c r="Q46" s="97">
        <v>0.244285095204887</v>
      </c>
      <c r="R46" s="97">
        <v>7.7438968173141999E-3</v>
      </c>
      <c r="S46" s="97">
        <v>8.1717736848461193E-3</v>
      </c>
      <c r="T46" s="97">
        <v>8.2343851510041002E-3</v>
      </c>
      <c r="U46" s="97">
        <v>6.4966558158334698E-3</v>
      </c>
    </row>
    <row r="47" spans="1:21" s="98" customFormat="1" ht="13" x14ac:dyDescent="0.15">
      <c r="A47" s="96" t="s">
        <v>38</v>
      </c>
      <c r="B47" s="97">
        <v>6.1823660186138196E-3</v>
      </c>
      <c r="C47" s="97">
        <v>3.5879195112380798E-3</v>
      </c>
      <c r="D47" s="97">
        <v>26.195677546731801</v>
      </c>
      <c r="E47" s="97">
        <v>0.28006764389842098</v>
      </c>
      <c r="F47" s="97">
        <v>3.1229169778136199</v>
      </c>
      <c r="G47" s="97">
        <v>0.16211794773747601</v>
      </c>
      <c r="H47" s="97">
        <v>-4.7661240210984099E-4</v>
      </c>
      <c r="I47" s="97">
        <v>6.19345849136596E-2</v>
      </c>
      <c r="J47" s="97">
        <v>5.4520057199223301E-2</v>
      </c>
      <c r="K47" s="97">
        <v>6.2680009546147602E-4</v>
      </c>
      <c r="L47" s="97">
        <v>1.92260982947587E-3</v>
      </c>
      <c r="M47" s="97">
        <v>1.468318480647E-2</v>
      </c>
      <c r="N47" s="97">
        <v>-4.8024927087025299E-5</v>
      </c>
      <c r="O47" s="97">
        <v>8.0521710562210195E-3</v>
      </c>
      <c r="P47" s="97">
        <v>0.41702190739473899</v>
      </c>
      <c r="Q47" s="97">
        <v>0.25387769421207501</v>
      </c>
      <c r="R47" s="97">
        <v>8.2733796580619894E-3</v>
      </c>
      <c r="S47" s="97">
        <v>1.6821839567624602E-2</v>
      </c>
      <c r="T47" s="97">
        <v>7.9133414953536096E-3</v>
      </c>
      <c r="U47" s="97">
        <v>5.8608894993769497E-3</v>
      </c>
    </row>
    <row r="48" spans="1:21" s="98" customFormat="1" ht="13" x14ac:dyDescent="0.15">
      <c r="A48" s="96" t="s">
        <v>39</v>
      </c>
      <c r="B48" s="97">
        <v>7.2612774569708197E-3</v>
      </c>
      <c r="C48" s="97">
        <v>4.5430176413908299E-2</v>
      </c>
      <c r="D48" s="97">
        <v>13.646205980118699</v>
      </c>
      <c r="E48" s="97">
        <v>0.30092276643353799</v>
      </c>
      <c r="F48" s="97">
        <v>1.6172667115871799</v>
      </c>
      <c r="G48" s="97">
        <v>0.45023318433413201</v>
      </c>
      <c r="H48" s="97">
        <v>-3.2575764557930099E-4</v>
      </c>
      <c r="I48" s="97">
        <v>0.17619642852411799</v>
      </c>
      <c r="J48" s="97">
        <v>2.91694746201091E-2</v>
      </c>
      <c r="K48" s="97">
        <v>2.34209170328234E-4</v>
      </c>
      <c r="L48" s="97">
        <v>3.70646055732754E-3</v>
      </c>
      <c r="M48" s="97">
        <v>2.7906177689908E-2</v>
      </c>
      <c r="N48" s="97">
        <v>1.5802487570361999E-4</v>
      </c>
      <c r="O48" s="97">
        <v>9.9513403516830693E-3</v>
      </c>
      <c r="P48" s="97">
        <v>0.69622160223024998</v>
      </c>
      <c r="Q48" s="97">
        <v>1.0014906463169999</v>
      </c>
      <c r="R48" s="97">
        <v>2.8145635340253699E-2</v>
      </c>
      <c r="S48" s="97">
        <v>2.7278702610519401E-2</v>
      </c>
      <c r="T48" s="97">
        <v>2.9339604712068E-2</v>
      </c>
      <c r="U48" s="97">
        <v>2.6670609506813998E-2</v>
      </c>
    </row>
    <row r="49" spans="1:21" s="98" customFormat="1" ht="13" x14ac:dyDescent="0.15">
      <c r="A49" s="96" t="s">
        <v>39</v>
      </c>
      <c r="B49" s="97">
        <v>7.4593899357272E-3</v>
      </c>
      <c r="C49" s="97">
        <v>4.3414757093261598E-2</v>
      </c>
      <c r="D49" s="97">
        <v>13.725118776967101</v>
      </c>
      <c r="E49" s="97">
        <v>0.29750224406687098</v>
      </c>
      <c r="F49" s="97">
        <v>1.63299543043342</v>
      </c>
      <c r="G49" s="97">
        <v>0.44734711906607599</v>
      </c>
      <c r="H49" s="97">
        <v>6.57382995277421E-4</v>
      </c>
      <c r="I49" s="97">
        <v>0.17911308031722301</v>
      </c>
      <c r="J49" s="97">
        <v>1.3594065531301E-2</v>
      </c>
      <c r="K49" s="97">
        <v>2.2541238626526801E-4</v>
      </c>
      <c r="L49" s="97">
        <v>3.92565110577926E-3</v>
      </c>
      <c r="M49" s="97">
        <v>2.8092093669998802E-2</v>
      </c>
      <c r="N49" s="97">
        <v>1.58507853181411E-4</v>
      </c>
      <c r="O49" s="97">
        <v>3.4931335259326501E-3</v>
      </c>
      <c r="P49" s="97">
        <v>0.70079772416671904</v>
      </c>
      <c r="Q49" s="97">
        <v>1.0144671476273399</v>
      </c>
      <c r="R49" s="97">
        <v>2.9199751175328002E-2</v>
      </c>
      <c r="S49" s="97">
        <v>2.7297143575268499E-2</v>
      </c>
      <c r="T49" s="97">
        <v>2.8112923209284699E-2</v>
      </c>
      <c r="U49" s="97">
        <v>2.7712523425253901E-2</v>
      </c>
    </row>
    <row r="50" spans="1:21" s="98" customFormat="1" ht="13" x14ac:dyDescent="0.15">
      <c r="A50" s="96" t="s">
        <v>40</v>
      </c>
      <c r="B50" s="97">
        <v>1.7775130954620999E-3</v>
      </c>
      <c r="C50" s="97">
        <v>8.9336788157894208E-3</v>
      </c>
      <c r="D50" s="97">
        <v>2.3337955993995898</v>
      </c>
      <c r="E50" s="97">
        <v>7.2098214203429406E-2</v>
      </c>
      <c r="F50" s="97">
        <v>0.44414772680812298</v>
      </c>
      <c r="G50" s="97">
        <v>0.252870073305827</v>
      </c>
      <c r="H50" s="97">
        <v>-7.6228616985630202E-4</v>
      </c>
      <c r="I50" s="97">
        <v>1.8374289299523099E-2</v>
      </c>
      <c r="J50" s="97">
        <v>4.6515477029013402E-3</v>
      </c>
      <c r="K50" s="97">
        <v>1.81402201610634E-3</v>
      </c>
      <c r="L50" s="97">
        <v>6.3456863814834898E-5</v>
      </c>
      <c r="M50" s="97">
        <v>5.1913474002538698E-3</v>
      </c>
      <c r="N50" s="97">
        <v>2.88200199690179E-5</v>
      </c>
      <c r="O50" s="97">
        <v>2.7814501887802301E-3</v>
      </c>
      <c r="P50" s="97">
        <v>0.27533142023996199</v>
      </c>
      <c r="Q50" s="97">
        <v>4.9937831718358097E-2</v>
      </c>
      <c r="R50" s="97">
        <v>6.7875186526446503E-3</v>
      </c>
      <c r="S50" s="97">
        <v>6.7502544662657602E-3</v>
      </c>
      <c r="T50" s="97">
        <v>6.0481131463878098E-3</v>
      </c>
      <c r="U50" s="97">
        <v>5.4185769520896003E-3</v>
      </c>
    </row>
    <row r="51" spans="1:21" s="98" customFormat="1" ht="13" x14ac:dyDescent="0.15">
      <c r="A51" s="96" t="s">
        <v>40</v>
      </c>
      <c r="B51" s="97">
        <v>1.90182219565099E-3</v>
      </c>
      <c r="C51" s="97">
        <v>9.1996224855019296E-3</v>
      </c>
      <c r="D51" s="97">
        <v>2.2917894031526602</v>
      </c>
      <c r="E51" s="97">
        <v>6.6661595333727494E-2</v>
      </c>
      <c r="F51" s="97">
        <v>0.43294587622992498</v>
      </c>
      <c r="G51" s="97">
        <v>0.24561295391904001</v>
      </c>
      <c r="H51" s="97">
        <v>-8.9822244649484799E-4</v>
      </c>
      <c r="I51" s="97">
        <v>1.73856493220527E-2</v>
      </c>
      <c r="J51" s="97">
        <v>5.2524420612233202E-3</v>
      </c>
      <c r="K51" s="97">
        <v>1.9627608550985701E-3</v>
      </c>
      <c r="L51" s="97">
        <v>1.0338949741908199E-4</v>
      </c>
      <c r="M51" s="97">
        <v>6.4385089753786397E-3</v>
      </c>
      <c r="N51" s="97">
        <v>-3.4665282574272698E-5</v>
      </c>
      <c r="O51" s="97">
        <v>3.6009050286144599E-3</v>
      </c>
      <c r="P51" s="97">
        <v>0.287598617227104</v>
      </c>
      <c r="Q51" s="97">
        <v>4.949689443771E-2</v>
      </c>
      <c r="R51" s="97">
        <v>6.2235500234737104E-3</v>
      </c>
      <c r="S51" s="97">
        <v>5.7737085191088503E-3</v>
      </c>
      <c r="T51" s="97">
        <v>6.0506526986840899E-3</v>
      </c>
      <c r="U51" s="97">
        <v>4.88614416159475E-3</v>
      </c>
    </row>
    <row r="52" spans="1:21" s="98" customFormat="1" ht="13" x14ac:dyDescent="0.15">
      <c r="A52" s="96" t="s">
        <v>41</v>
      </c>
      <c r="B52" s="97">
        <v>4.6960870796797401E-3</v>
      </c>
      <c r="C52" s="97">
        <v>1.64483549152981E-2</v>
      </c>
      <c r="D52" s="97">
        <v>6.2455548225767901</v>
      </c>
      <c r="E52" s="97">
        <v>0.168757726807891</v>
      </c>
      <c r="F52" s="97">
        <v>0.941845474611686</v>
      </c>
      <c r="G52" s="97">
        <v>0.19542048133936901</v>
      </c>
      <c r="H52" s="97">
        <v>-5.0595708859378196E-4</v>
      </c>
      <c r="I52" s="97">
        <v>0.102851206116699</v>
      </c>
      <c r="J52" s="97">
        <v>6.5095045811780503E-3</v>
      </c>
      <c r="K52" s="97">
        <v>1.2772515539841601E-3</v>
      </c>
      <c r="L52" s="97">
        <v>2.6362272794674198E-3</v>
      </c>
      <c r="M52" s="97">
        <v>2.96360871037365E-2</v>
      </c>
      <c r="N52" s="97">
        <v>-3.6690755739253502E-5</v>
      </c>
      <c r="O52" s="97">
        <v>3.36278238588314E-3</v>
      </c>
      <c r="P52" s="97">
        <v>0.58665073902647003</v>
      </c>
      <c r="Q52" s="97">
        <v>0.52825389284322299</v>
      </c>
      <c r="R52" s="97">
        <v>6.7057220422645598E-3</v>
      </c>
      <c r="S52" s="97">
        <v>5.0876768723557399E-3</v>
      </c>
      <c r="T52" s="97">
        <v>6.6762251066771004E-3</v>
      </c>
      <c r="U52" s="97">
        <v>5.2426371072109299E-3</v>
      </c>
    </row>
    <row r="53" spans="1:21" s="98" customFormat="1" ht="13" x14ac:dyDescent="0.15">
      <c r="A53" s="96" t="s">
        <v>41</v>
      </c>
      <c r="B53" s="97">
        <v>4.4443238523692802E-3</v>
      </c>
      <c r="C53" s="97">
        <v>1.4507497922221601E-2</v>
      </c>
      <c r="D53" s="97">
        <v>6.3589678741282301</v>
      </c>
      <c r="E53" s="97">
        <v>0.16756812946292801</v>
      </c>
      <c r="F53" s="97">
        <v>0.92851431811086804</v>
      </c>
      <c r="G53" s="97">
        <v>0.188200266609652</v>
      </c>
      <c r="H53" s="97">
        <v>-7.2989598347806997E-4</v>
      </c>
      <c r="I53" s="97">
        <v>0.10048609771477</v>
      </c>
      <c r="J53" s="97">
        <v>6.1209329390724803E-3</v>
      </c>
      <c r="K53" s="97">
        <v>1.50933972213515E-3</v>
      </c>
      <c r="L53" s="97">
        <v>2.5684031694984599E-3</v>
      </c>
      <c r="M53" s="97">
        <v>2.9742065804195202E-2</v>
      </c>
      <c r="N53" s="97">
        <v>-4.82419435406411E-5</v>
      </c>
      <c r="O53" s="97">
        <v>3.5801739495311099E-3</v>
      </c>
      <c r="P53" s="97">
        <v>0.58597273531472105</v>
      </c>
      <c r="Q53" s="97">
        <v>0.52600905413523602</v>
      </c>
      <c r="R53" s="97">
        <v>6.8689670366953197E-3</v>
      </c>
      <c r="S53" s="97">
        <v>5.1029045330596504E-3</v>
      </c>
      <c r="T53" s="97">
        <v>6.8686902905648701E-3</v>
      </c>
      <c r="U53" s="97">
        <v>4.82363874644461E-3</v>
      </c>
    </row>
    <row r="54" spans="1:21" s="98" customFormat="1" ht="13" x14ac:dyDescent="0.15">
      <c r="A54" s="96" t="s">
        <v>42</v>
      </c>
      <c r="B54" s="97">
        <v>1.6720189382284301E-2</v>
      </c>
      <c r="C54" s="97">
        <v>2.8191579946120999E-2</v>
      </c>
      <c r="D54" s="97">
        <v>18.113898045034201</v>
      </c>
      <c r="E54" s="97">
        <v>0.26089311231670798</v>
      </c>
      <c r="F54" s="97">
        <v>2.1142291419589898</v>
      </c>
      <c r="G54" s="97">
        <v>1.2299044126685399</v>
      </c>
      <c r="H54" s="97">
        <v>7.7139760802130896E-3</v>
      </c>
      <c r="I54" s="97">
        <v>0.144239293836223</v>
      </c>
      <c r="J54" s="97">
        <v>1.55570681816357E-2</v>
      </c>
      <c r="K54" s="97">
        <v>4.4597176362659004E-3</v>
      </c>
      <c r="L54" s="97">
        <v>2.5680858814543799E-3</v>
      </c>
      <c r="M54" s="97">
        <v>1.5656891812184801E-2</v>
      </c>
      <c r="N54" s="97">
        <v>8.1297491444978396E-4</v>
      </c>
      <c r="O54" s="97">
        <v>7.32728860608544E-3</v>
      </c>
      <c r="P54" s="97">
        <v>1.3044783057932099</v>
      </c>
      <c r="Q54" s="97">
        <v>0.109877321209033</v>
      </c>
      <c r="R54" s="97">
        <v>1.24923550779847E-2</v>
      </c>
      <c r="S54" s="97">
        <v>8.6605741176627102E-3</v>
      </c>
      <c r="T54" s="97">
        <v>1.04298254493834E-2</v>
      </c>
      <c r="U54" s="97">
        <v>8.5540050985292992E-3</v>
      </c>
    </row>
    <row r="55" spans="1:21" s="98" customFormat="1" ht="13" x14ac:dyDescent="0.15">
      <c r="A55" s="96" t="s">
        <v>42</v>
      </c>
      <c r="B55" s="97">
        <v>1.61640796813039E-2</v>
      </c>
      <c r="C55" s="97">
        <v>1.1152032858786499E-2</v>
      </c>
      <c r="D55" s="97">
        <v>17.613863267055098</v>
      </c>
      <c r="E55" s="97">
        <v>0.240087967630429</v>
      </c>
      <c r="F55" s="97">
        <v>2.1029844734399799</v>
      </c>
      <c r="G55" s="97">
        <v>1.20486538594451</v>
      </c>
      <c r="H55" s="97">
        <v>-4.24627133712843E-4</v>
      </c>
      <c r="I55" s="97">
        <v>0.139711624879191</v>
      </c>
      <c r="J55" s="97">
        <v>1.83058623208174E-2</v>
      </c>
      <c r="K55" s="97">
        <v>1.3264968255772499E-3</v>
      </c>
      <c r="L55" s="97">
        <v>1.4364817573878101E-3</v>
      </c>
      <c r="M55" s="97">
        <v>1.2604325384976E-2</v>
      </c>
      <c r="N55" s="97">
        <v>-1.7030521410731599E-5</v>
      </c>
      <c r="O55" s="97">
        <v>2.0850858255314499E-2</v>
      </c>
      <c r="P55" s="97">
        <v>1.2963857457255701</v>
      </c>
      <c r="Q55" s="97">
        <v>0.111368974163202</v>
      </c>
      <c r="R55" s="97">
        <v>1.1728151281338899E-2</v>
      </c>
      <c r="S55" s="97">
        <v>9.6259677947721795E-3</v>
      </c>
      <c r="T55" s="97">
        <v>1.0838061269031101E-2</v>
      </c>
      <c r="U55" s="97">
        <v>9.2103975366736503E-3</v>
      </c>
    </row>
    <row r="56" spans="1:21" s="98" customFormat="1" ht="13" x14ac:dyDescent="0.15">
      <c r="A56" s="96" t="s">
        <v>44</v>
      </c>
      <c r="B56" s="97">
        <v>1.2321930473397099E-2</v>
      </c>
      <c r="C56" s="97">
        <v>2.41891829214331E-2</v>
      </c>
      <c r="D56" s="97">
        <v>12.2702665739117</v>
      </c>
      <c r="E56" s="97">
        <v>0.18619263096730301</v>
      </c>
      <c r="F56" s="97">
        <v>1.5171049151393401</v>
      </c>
      <c r="G56" s="97">
        <v>0.71775184545944004</v>
      </c>
      <c r="H56" s="97">
        <v>-1.38972956158663E-4</v>
      </c>
      <c r="I56" s="97">
        <v>8.4037661732513605E-2</v>
      </c>
      <c r="J56" s="97">
        <v>1.0532422048845099E-2</v>
      </c>
      <c r="K56" s="97">
        <v>1.92027924425034E-3</v>
      </c>
      <c r="L56" s="97">
        <v>1.6008036885627899E-3</v>
      </c>
      <c r="M56" s="97">
        <v>7.5478610251132703E-3</v>
      </c>
      <c r="N56" s="97">
        <v>-6.3969711883635994E-5</v>
      </c>
      <c r="O56" s="97">
        <v>7.7359204430970802E-3</v>
      </c>
      <c r="P56" s="97">
        <v>0.71369604055429903</v>
      </c>
      <c r="Q56" s="97">
        <v>0.15495349205977499</v>
      </c>
      <c r="R56" s="97">
        <v>6.7839669980980103E-3</v>
      </c>
      <c r="S56" s="97">
        <v>5.7075861910665798E-3</v>
      </c>
      <c r="T56" s="97">
        <v>7.5993631819292603E-3</v>
      </c>
      <c r="U56" s="97">
        <v>4.8727644476373802E-3</v>
      </c>
    </row>
    <row r="57" spans="1:21" s="98" customFormat="1" ht="13" x14ac:dyDescent="0.15">
      <c r="A57" s="96" t="s">
        <v>44</v>
      </c>
      <c r="B57" s="97">
        <v>1.1860745002466601E-2</v>
      </c>
      <c r="C57" s="97">
        <v>2.4712813307336101E-2</v>
      </c>
      <c r="D57" s="97">
        <v>13.6394710664639</v>
      </c>
      <c r="E57" s="97">
        <v>0.222988202525844</v>
      </c>
      <c r="F57" s="97">
        <v>1.5255774334435701</v>
      </c>
      <c r="G57" s="97">
        <v>0.72808010847763105</v>
      </c>
      <c r="H57" s="97">
        <v>-1.1091829547414E-4</v>
      </c>
      <c r="I57" s="97">
        <v>8.4143945862534195E-2</v>
      </c>
      <c r="J57" s="97">
        <v>9.2671174446900002E-3</v>
      </c>
      <c r="K57" s="97">
        <v>1.8042551143492699E-3</v>
      </c>
      <c r="L57" s="97">
        <v>1.67619270163126E-3</v>
      </c>
      <c r="M57" s="97">
        <v>8.9705267779393097E-3</v>
      </c>
      <c r="N57" s="97">
        <v>-5.21324240195057E-5</v>
      </c>
      <c r="O57" s="97">
        <v>4.8052171759746598E-3</v>
      </c>
      <c r="P57" s="97">
        <v>0.692481369228372</v>
      </c>
      <c r="Q57" s="97">
        <v>0.161569130628757</v>
      </c>
      <c r="R57" s="97">
        <v>7.53066716472539E-3</v>
      </c>
      <c r="S57" s="97">
        <v>5.1952314887183599E-3</v>
      </c>
      <c r="T57" s="97">
        <v>6.6792536874733096E-3</v>
      </c>
      <c r="U57" s="97">
        <v>4.6891621584948997E-3</v>
      </c>
    </row>
    <row r="58" spans="1:21" s="98" customFormat="1" ht="13" x14ac:dyDescent="0.15">
      <c r="A58" s="96" t="s">
        <v>45</v>
      </c>
      <c r="B58" s="97">
        <v>1.91935725093768E-2</v>
      </c>
      <c r="C58" s="97">
        <v>0.231540004101216</v>
      </c>
      <c r="D58" s="97">
        <v>11.056955462065799</v>
      </c>
      <c r="E58" s="97">
        <v>0.33753074011581402</v>
      </c>
      <c r="F58" s="97">
        <v>2.3704306209910899</v>
      </c>
      <c r="G58" s="97">
        <v>1.4909570370332901</v>
      </c>
      <c r="H58" s="97">
        <v>1.07453962921037E-3</v>
      </c>
      <c r="I58" s="97">
        <v>0.197909914303041</v>
      </c>
      <c r="J58" s="97">
        <v>2.7923487919387001E-2</v>
      </c>
      <c r="K58" s="97">
        <v>2.1919516037704399E-2</v>
      </c>
      <c r="L58" s="97">
        <v>3.49422797383175E-3</v>
      </c>
      <c r="M58" s="97">
        <v>4.56441300548397E-2</v>
      </c>
      <c r="N58" s="97">
        <v>1.0676035352841E-4</v>
      </c>
      <c r="O58" s="97">
        <v>4.9427720785522504E-3</v>
      </c>
      <c r="P58" s="97">
        <v>2.1718005743342101</v>
      </c>
      <c r="Q58" s="97">
        <v>2.43388446671183</v>
      </c>
      <c r="R58" s="97">
        <v>1.3802360810965799E-2</v>
      </c>
      <c r="S58" s="97">
        <v>9.7083552642011108E-3</v>
      </c>
      <c r="T58" s="97">
        <v>1.27211093130849E-2</v>
      </c>
      <c r="U58" s="97">
        <v>6.4679498024181803E-3</v>
      </c>
    </row>
    <row r="59" spans="1:21" s="98" customFormat="1" ht="13" x14ac:dyDescent="0.15">
      <c r="A59" s="96" t="s">
        <v>45</v>
      </c>
      <c r="B59" s="97">
        <v>1.8636908535494299E-2</v>
      </c>
      <c r="C59" s="97">
        <v>0.22355031423556701</v>
      </c>
      <c r="D59" s="97">
        <v>10.9359274748258</v>
      </c>
      <c r="E59" s="97">
        <v>0.33462593380641598</v>
      </c>
      <c r="F59" s="97">
        <v>2.3767180883035701</v>
      </c>
      <c r="G59" s="97">
        <v>1.48605267152528</v>
      </c>
      <c r="H59" s="97">
        <v>7.4109786862301805E-4</v>
      </c>
      <c r="I59" s="97">
        <v>0.19858992673373799</v>
      </c>
      <c r="J59" s="97">
        <v>2.73095960553905E-2</v>
      </c>
      <c r="K59" s="97">
        <v>2.1695875332296499E-2</v>
      </c>
      <c r="L59" s="97">
        <v>3.5536702364334502E-3</v>
      </c>
      <c r="M59" s="97">
        <v>4.50326597008915E-2</v>
      </c>
      <c r="N59" s="97">
        <v>7.8376561549691495E-5</v>
      </c>
      <c r="O59" s="97">
        <v>6.3676468032506598E-3</v>
      </c>
      <c r="P59" s="97">
        <v>2.1204765932144398</v>
      </c>
      <c r="Q59" s="97">
        <v>2.4417934624636199</v>
      </c>
      <c r="R59" s="97">
        <v>1.28475478082824E-2</v>
      </c>
      <c r="S59" s="97">
        <v>9.3511822963408299E-3</v>
      </c>
      <c r="T59" s="97">
        <v>1.2109760405532501E-2</v>
      </c>
      <c r="U59" s="97">
        <v>5.4934828061008302E-3</v>
      </c>
    </row>
    <row r="60" spans="1:21" s="98" customFormat="1" ht="13" x14ac:dyDescent="0.15">
      <c r="A60" s="96" t="s">
        <v>46</v>
      </c>
      <c r="B60" s="97">
        <v>1.8166083561769599E-2</v>
      </c>
      <c r="C60" s="97">
        <v>5.4284743642453399E-2</v>
      </c>
      <c r="D60" s="97">
        <v>14.0569250526892</v>
      </c>
      <c r="E60" s="97">
        <v>0.36280861243477402</v>
      </c>
      <c r="F60" s="97">
        <v>2.5062855669830602</v>
      </c>
      <c r="G60" s="97">
        <v>1.23186097982103</v>
      </c>
      <c r="H60" s="97">
        <v>2.5775661998309599E-4</v>
      </c>
      <c r="I60" s="97">
        <v>0.203511617964661</v>
      </c>
      <c r="J60" s="97">
        <v>3.3542524711664801E-2</v>
      </c>
      <c r="K60" s="97">
        <v>2.38945447633147E-3</v>
      </c>
      <c r="L60" s="97">
        <v>8.0932917751794092E-3</v>
      </c>
      <c r="M60" s="97">
        <v>2.8241458134620801E-2</v>
      </c>
      <c r="N60" s="97">
        <v>1.7989216569297401E-4</v>
      </c>
      <c r="O60" s="97">
        <v>8.8020398480521903E-3</v>
      </c>
      <c r="P60" s="97">
        <v>1.26862172748388</v>
      </c>
      <c r="Q60" s="97">
        <v>0.54669157926780898</v>
      </c>
      <c r="R60" s="97">
        <v>9.6132537775969907E-3</v>
      </c>
      <c r="S60" s="97">
        <v>6.98530772560986E-3</v>
      </c>
      <c r="T60" s="97">
        <v>9.9528536254275997E-3</v>
      </c>
      <c r="U60" s="97">
        <v>6.08422636854326E-3</v>
      </c>
    </row>
    <row r="61" spans="1:21" s="98" customFormat="1" ht="13" x14ac:dyDescent="0.15">
      <c r="A61" s="96" t="s">
        <v>46</v>
      </c>
      <c r="B61" s="97">
        <v>1.8660993286522699E-2</v>
      </c>
      <c r="C61" s="97">
        <v>4.9757040690974898E-2</v>
      </c>
      <c r="D61" s="97">
        <v>14.263537657752099</v>
      </c>
      <c r="E61" s="97">
        <v>0.340106338998174</v>
      </c>
      <c r="F61" s="97">
        <v>2.4415681689072599</v>
      </c>
      <c r="G61" s="97">
        <v>1.2061945971035899</v>
      </c>
      <c r="H61" s="97">
        <v>2.43330159968681E-4</v>
      </c>
      <c r="I61" s="97">
        <v>0.198617999814478</v>
      </c>
      <c r="J61" s="97">
        <v>3.2863580304261203E-2</v>
      </c>
      <c r="K61" s="97">
        <v>2.49108155788207E-3</v>
      </c>
      <c r="L61" s="97">
        <v>7.8441648632120702E-3</v>
      </c>
      <c r="M61" s="97">
        <v>2.74022797757217E-2</v>
      </c>
      <c r="N61" s="97">
        <v>1.4606367917161699E-4</v>
      </c>
      <c r="O61" s="97">
        <v>7.2117488167987099E-3</v>
      </c>
      <c r="P61" s="97">
        <v>1.2453098213338201</v>
      </c>
      <c r="Q61" s="97">
        <v>0.51659522762768195</v>
      </c>
      <c r="R61" s="97">
        <v>9.0550223998990993E-3</v>
      </c>
      <c r="S61" s="97">
        <v>7.1143724962390402E-3</v>
      </c>
      <c r="T61" s="97">
        <v>9.1137969599469695E-3</v>
      </c>
      <c r="U61" s="97">
        <v>6.3312700596317301E-3</v>
      </c>
    </row>
    <row r="62" spans="1:21" s="98" customFormat="1" ht="13" x14ac:dyDescent="0.15">
      <c r="A62" s="96" t="s">
        <v>47</v>
      </c>
      <c r="B62" s="97">
        <v>4.5904205385245197E-3</v>
      </c>
      <c r="C62" s="97">
        <v>4.2546990247646001E-2</v>
      </c>
      <c r="D62" s="97">
        <v>15.1404610290404</v>
      </c>
      <c r="E62" s="97">
        <v>0.269005653825238</v>
      </c>
      <c r="F62" s="97">
        <v>0.44795591005825802</v>
      </c>
      <c r="G62" s="97">
        <v>1.2195930805258599</v>
      </c>
      <c r="H62" s="97">
        <v>4.1538548222350402E-4</v>
      </c>
      <c r="I62" s="97">
        <v>0.16145223808523201</v>
      </c>
      <c r="J62" s="97">
        <v>7.4975312730676796E-3</v>
      </c>
      <c r="K62" s="97">
        <v>1.3146251510523E-3</v>
      </c>
      <c r="L62" s="97">
        <v>4.5357963105933999E-3</v>
      </c>
      <c r="M62" s="97">
        <v>1.8875383495035401E-2</v>
      </c>
      <c r="N62" s="97">
        <v>-3.4546304555007499E-5</v>
      </c>
      <c r="O62" s="97">
        <v>7.35161797344053E-3</v>
      </c>
      <c r="P62" s="97">
        <v>1.1949084612343901</v>
      </c>
      <c r="Q62" s="97">
        <v>1.02477580789945</v>
      </c>
      <c r="R62" s="97">
        <v>1.75388878294374E-2</v>
      </c>
      <c r="S62" s="97">
        <v>1.5339879987077001E-2</v>
      </c>
      <c r="T62" s="97">
        <v>1.75669694191136E-2</v>
      </c>
      <c r="U62" s="97">
        <v>1.4163744123095399E-2</v>
      </c>
    </row>
    <row r="63" spans="1:21" s="98" customFormat="1" ht="13" x14ac:dyDescent="0.15">
      <c r="A63" s="96" t="s">
        <v>47</v>
      </c>
      <c r="B63" s="97">
        <v>4.8926346602931299E-3</v>
      </c>
      <c r="C63" s="97">
        <v>4.4295355491345501E-2</v>
      </c>
      <c r="D63" s="97">
        <v>14.644420032984399</v>
      </c>
      <c r="E63" s="97">
        <v>0.25717785588085701</v>
      </c>
      <c r="F63" s="97">
        <v>0.42499825150926202</v>
      </c>
      <c r="G63" s="97">
        <v>1.19588786771447</v>
      </c>
      <c r="H63" s="97">
        <v>5.7486078767270696E-4</v>
      </c>
      <c r="I63" s="97">
        <v>0.15737410157248699</v>
      </c>
      <c r="J63" s="97">
        <v>6.5365560249297204E-3</v>
      </c>
      <c r="K63" s="97">
        <v>1.1171044211096201E-3</v>
      </c>
      <c r="L63" s="97">
        <v>4.1633633756565499E-3</v>
      </c>
      <c r="M63" s="97">
        <v>1.8775045143342401E-2</v>
      </c>
      <c r="N63" s="97">
        <v>1.0553185937418899E-5</v>
      </c>
      <c r="O63" s="97">
        <v>7.7161575396750004E-3</v>
      </c>
      <c r="P63" s="97">
        <v>1.1618623732461699</v>
      </c>
      <c r="Q63" s="97">
        <v>1.0035126454605701</v>
      </c>
      <c r="R63" s="97">
        <v>1.75051651889589E-2</v>
      </c>
      <c r="S63" s="97">
        <v>1.52159936426382E-2</v>
      </c>
      <c r="T63" s="97">
        <v>1.68737270044492E-2</v>
      </c>
      <c r="U63" s="97">
        <v>1.39793824375328E-2</v>
      </c>
    </row>
    <row r="64" spans="1:21" s="98" customFormat="1" ht="13" x14ac:dyDescent="0.15">
      <c r="A64" s="96" t="s">
        <v>48</v>
      </c>
      <c r="B64" s="97">
        <v>1.1008706775052E-2</v>
      </c>
      <c r="C64" s="97">
        <v>2.0161009543887901E-3</v>
      </c>
      <c r="D64" s="97">
        <v>27.2396972927348</v>
      </c>
      <c r="E64" s="97">
        <v>0.364328351871684</v>
      </c>
      <c r="F64" s="97">
        <v>4.2263156615722997</v>
      </c>
      <c r="G64" s="97">
        <v>0.62823718282738505</v>
      </c>
      <c r="H64" s="97">
        <v>1.08705107440777E-3</v>
      </c>
      <c r="I64" s="97">
        <v>0.175784046925334</v>
      </c>
      <c r="J64" s="97">
        <v>4.6566381014469298E-2</v>
      </c>
      <c r="K64" s="97">
        <v>1.5247934406147801E-3</v>
      </c>
      <c r="L64" s="97">
        <v>3.1732794886611499E-3</v>
      </c>
      <c r="M64" s="97">
        <v>5.9103275976916898E-2</v>
      </c>
      <c r="N64" s="97">
        <v>1.3651348690469099E-4</v>
      </c>
      <c r="O64" s="97">
        <v>9.3659260818569501E-3</v>
      </c>
      <c r="P64" s="97">
        <v>0.78775307816041795</v>
      </c>
      <c r="Q64" s="97">
        <v>0.15056071754637501</v>
      </c>
      <c r="R64" s="97">
        <v>1.2487748852370801E-2</v>
      </c>
      <c r="S64" s="97">
        <v>8.8917278051036698E-3</v>
      </c>
      <c r="T64" s="97">
        <v>1.24358254392636E-2</v>
      </c>
      <c r="U64" s="97">
        <v>1.9193882465183901E-3</v>
      </c>
    </row>
    <row r="65" spans="1:21" s="98" customFormat="1" ht="13" x14ac:dyDescent="0.15">
      <c r="A65" s="96" t="s">
        <v>48</v>
      </c>
      <c r="B65" s="97">
        <v>1.0258421630332399E-2</v>
      </c>
      <c r="C65" s="97">
        <v>5.3052701672850499E-5</v>
      </c>
      <c r="D65" s="97">
        <v>30.8431674991708</v>
      </c>
      <c r="E65" s="97">
        <v>0.31227422066396798</v>
      </c>
      <c r="F65" s="97">
        <v>4.0819273755649199</v>
      </c>
      <c r="G65" s="97">
        <v>0.61315142556235602</v>
      </c>
      <c r="H65" s="97">
        <v>5.5928413021847896E-4</v>
      </c>
      <c r="I65" s="97">
        <v>0.169560456512309</v>
      </c>
      <c r="J65" s="97">
        <v>4.4370598163404898E-2</v>
      </c>
      <c r="K65" s="97">
        <v>1.80654751625709E-3</v>
      </c>
      <c r="L65" s="97">
        <v>3.2152304635860102E-3</v>
      </c>
      <c r="M65" s="97">
        <v>5.6380135341072897E-2</v>
      </c>
      <c r="N65" s="97">
        <v>9.9908887146985098E-5</v>
      </c>
      <c r="O65" s="97">
        <v>8.9382023355970303E-3</v>
      </c>
      <c r="P65" s="97">
        <v>0.755532249478578</v>
      </c>
      <c r="Q65" s="97">
        <v>0.14736499328552799</v>
      </c>
      <c r="R65" s="97">
        <v>1.19864811912825E-2</v>
      </c>
      <c r="S65" s="97">
        <v>6.9090236228590797E-3</v>
      </c>
      <c r="T65" s="97">
        <v>1.22798822540406E-2</v>
      </c>
      <c r="U65" s="97">
        <v>2.1265921045518599E-3</v>
      </c>
    </row>
    <row r="66" spans="1:21" s="98" customFormat="1" ht="13" x14ac:dyDescent="0.15">
      <c r="A66" s="96" t="s">
        <v>49</v>
      </c>
      <c r="B66" s="97">
        <v>6.8980952090654298E-3</v>
      </c>
      <c r="C66" s="97">
        <v>-1.7466987734333301E-3</v>
      </c>
      <c r="D66" s="97">
        <v>6.8923598989058696</v>
      </c>
      <c r="E66" s="97">
        <v>0.25587724659881</v>
      </c>
      <c r="F66" s="97">
        <v>1.9395667480815899</v>
      </c>
      <c r="G66" s="97">
        <v>0.64570312165470101</v>
      </c>
      <c r="H66" s="97">
        <v>1.30982598624383E-3</v>
      </c>
      <c r="I66" s="97">
        <v>5.2393369081945702E-2</v>
      </c>
      <c r="J66" s="97">
        <v>4.5424343811792299E-2</v>
      </c>
      <c r="K66" s="97">
        <v>9.5070824849642199E-4</v>
      </c>
      <c r="L66" s="97">
        <v>1.42212743762178E-3</v>
      </c>
      <c r="M66" s="97">
        <v>0.13569768191307399</v>
      </c>
      <c r="N66" s="97">
        <v>-5.17052441495739E-6</v>
      </c>
      <c r="O66" s="97">
        <v>5.4833473353878802E-3</v>
      </c>
      <c r="P66" s="97">
        <v>1.14563159965685</v>
      </c>
      <c r="Q66" s="97">
        <v>0.23980279949157901</v>
      </c>
      <c r="R66" s="97">
        <v>1.45824427667822E-2</v>
      </c>
      <c r="S66" s="97">
        <v>1.2524219305196101E-2</v>
      </c>
      <c r="T66" s="97">
        <v>1.52647228788201E-2</v>
      </c>
      <c r="U66" s="97">
        <v>1.27068322196402E-2</v>
      </c>
    </row>
    <row r="67" spans="1:21" s="98" customFormat="1" ht="13" x14ac:dyDescent="0.15">
      <c r="A67" s="96" t="s">
        <v>49</v>
      </c>
      <c r="B67" s="97">
        <v>6.1783881850145696E-3</v>
      </c>
      <c r="C67" s="97">
        <v>-3.4383716495075402E-3</v>
      </c>
      <c r="D67" s="97">
        <v>6.8417641866931502</v>
      </c>
      <c r="E67" s="97">
        <v>0.25084587523365898</v>
      </c>
      <c r="F67" s="97">
        <v>1.9253102990250499</v>
      </c>
      <c r="G67" s="97">
        <v>0.63664748795027204</v>
      </c>
      <c r="H67" s="97">
        <v>1.2980156424303301E-3</v>
      </c>
      <c r="I67" s="97">
        <v>5.15507057288365E-2</v>
      </c>
      <c r="J67" s="97">
        <v>3.8959417699949997E-2</v>
      </c>
      <c r="K67" s="97">
        <v>9.0181424652064799E-4</v>
      </c>
      <c r="L67" s="97">
        <v>1.3720332289468399E-3</v>
      </c>
      <c r="M67" s="97">
        <v>0.13393540824031799</v>
      </c>
      <c r="N67" s="97">
        <v>6.9729197761906404E-6</v>
      </c>
      <c r="O67" s="97">
        <v>4.8711014530657803E-3</v>
      </c>
      <c r="P67" s="97">
        <v>1.1397105381581101</v>
      </c>
      <c r="Q67" s="97">
        <v>0.23363896698112399</v>
      </c>
      <c r="R67" s="97">
        <v>1.35482721347828E-2</v>
      </c>
      <c r="S67" s="97">
        <v>1.3565227575867801E-2</v>
      </c>
      <c r="T67" s="97">
        <v>1.3942861709206099E-2</v>
      </c>
      <c r="U67" s="97">
        <v>1.14198717647749E-2</v>
      </c>
    </row>
    <row r="68" spans="1:21" s="98" customFormat="1" ht="13" x14ac:dyDescent="0.15">
      <c r="A68" s="96" t="s">
        <v>133</v>
      </c>
      <c r="B68" s="97">
        <v>1.9127750728032199E-2</v>
      </c>
      <c r="C68" s="97">
        <v>2.1248833355930499E-2</v>
      </c>
      <c r="D68" s="97">
        <v>13.6107649166941</v>
      </c>
      <c r="E68" s="97">
        <v>0.44686337343633797</v>
      </c>
      <c r="F68" s="97">
        <v>3.93952057870059</v>
      </c>
      <c r="G68" s="97">
        <v>1.77915458157567</v>
      </c>
      <c r="H68" s="97">
        <v>-2.6402808821642098E-3</v>
      </c>
      <c r="I68" s="97">
        <v>0.10341931836779999</v>
      </c>
      <c r="J68" s="97">
        <v>0.297499861099704</v>
      </c>
      <c r="K68" s="97">
        <v>1.8292859822910299E-3</v>
      </c>
      <c r="L68" s="97">
        <v>3.3301825550748699E-3</v>
      </c>
      <c r="M68" s="97">
        <v>4.1625016892324201E-2</v>
      </c>
      <c r="N68" s="97">
        <v>1.0674903168935E-4</v>
      </c>
      <c r="O68" s="97">
        <v>1.00646986573848E-2</v>
      </c>
      <c r="P68" s="97">
        <v>1.9883618435012</v>
      </c>
      <c r="Q68" s="97">
        <v>9.5718683411838798E-2</v>
      </c>
      <c r="R68" s="97">
        <v>2.5470274623139302E-2</v>
      </c>
      <c r="S68" s="97">
        <v>2.0516010381381199E-2</v>
      </c>
      <c r="T68" s="97">
        <v>2.3465994519190798E-2</v>
      </c>
      <c r="U68" s="97">
        <v>1.9300003934617501E-2</v>
      </c>
    </row>
    <row r="69" spans="1:21" s="98" customFormat="1" ht="13" x14ac:dyDescent="0.15">
      <c r="A69" s="96" t="s">
        <v>134</v>
      </c>
      <c r="B69" s="97">
        <v>1.3384753583433801E-2</v>
      </c>
      <c r="C69" s="97">
        <v>1.53055972887299E-2</v>
      </c>
      <c r="D69" s="97">
        <v>14.700703912816801</v>
      </c>
      <c r="E69" s="97">
        <v>0.362692230844611</v>
      </c>
      <c r="F69" s="97">
        <v>3.5402695428124198</v>
      </c>
      <c r="G69" s="97">
        <v>1.5685796022802001</v>
      </c>
      <c r="H69" s="97">
        <v>-3.6716799478587999E-3</v>
      </c>
      <c r="I69" s="97">
        <v>0.16818703145254199</v>
      </c>
      <c r="J69" s="97">
        <v>5.0074709961629597E-2</v>
      </c>
      <c r="K69" s="97">
        <v>1.6483944809134901E-3</v>
      </c>
      <c r="L69" s="97">
        <v>3.22286452989759E-3</v>
      </c>
      <c r="M69" s="97">
        <v>2.4176628284810899E-2</v>
      </c>
      <c r="N69" s="97">
        <v>2.0583969055986101E-4</v>
      </c>
      <c r="O69" s="97">
        <v>7.3663235108142296E-3</v>
      </c>
      <c r="P69" s="97">
        <v>1.75216669946393</v>
      </c>
      <c r="Q69" s="97">
        <v>0.700251156272095</v>
      </c>
      <c r="R69" s="97">
        <v>1.29878231647312E-2</v>
      </c>
      <c r="S69" s="97">
        <v>7.1531239586537301E-3</v>
      </c>
      <c r="T69" s="97">
        <v>1.26884864262849E-2</v>
      </c>
      <c r="U69" s="97">
        <v>7.08652287787131E-3</v>
      </c>
    </row>
    <row r="70" spans="1:21" s="98" customFormat="1" ht="13" x14ac:dyDescent="0.15">
      <c r="A70" s="96" t="s">
        <v>134</v>
      </c>
      <c r="B70" s="97">
        <v>1.49441096954754E-2</v>
      </c>
      <c r="C70" s="97">
        <v>2.6148786011528199E-2</v>
      </c>
      <c r="D70" s="97">
        <v>14.7538085684403</v>
      </c>
      <c r="E70" s="97">
        <v>0.37977309393005398</v>
      </c>
      <c r="F70" s="97">
        <v>3.49058421782963</v>
      </c>
      <c r="G70" s="97">
        <v>1.56864827904477</v>
      </c>
      <c r="H70" s="97">
        <v>-2.69875504258119E-3</v>
      </c>
      <c r="I70" s="97">
        <v>0.163699386276561</v>
      </c>
      <c r="J70" s="97">
        <v>0.13443445052810399</v>
      </c>
      <c r="K70" s="97">
        <v>1.63448822035962E-3</v>
      </c>
      <c r="L70" s="97">
        <v>3.3424666893984798E-3</v>
      </c>
      <c r="M70" s="97">
        <v>2.4984439067658799E-2</v>
      </c>
      <c r="N70" s="97">
        <v>1.9933783184427299E-4</v>
      </c>
      <c r="O70" s="97">
        <v>1.35953712080026E-2</v>
      </c>
      <c r="P70" s="97">
        <v>1.75648026942828</v>
      </c>
      <c r="Q70" s="97">
        <v>0.69748251724870203</v>
      </c>
      <c r="R70" s="97">
        <v>1.28436912572056E-2</v>
      </c>
      <c r="S70" s="97">
        <v>6.5717294288617197E-3</v>
      </c>
      <c r="T70" s="97">
        <v>1.3173327138482099E-2</v>
      </c>
      <c r="U70" s="97">
        <v>6.7767284114676604E-3</v>
      </c>
    </row>
    <row r="71" spans="1:21" s="98" customFormat="1" ht="13" x14ac:dyDescent="0.15">
      <c r="A71" s="96" t="s">
        <v>135</v>
      </c>
      <c r="B71" s="97">
        <v>5.7079545841212803E-3</v>
      </c>
      <c r="C71" s="97">
        <v>1.6407570544353201E-2</v>
      </c>
      <c r="D71" s="97">
        <v>20.9582131028628</v>
      </c>
      <c r="E71" s="97">
        <v>0.206155501110696</v>
      </c>
      <c r="F71" s="97">
        <v>0.87507823331964396</v>
      </c>
      <c r="G71" s="97">
        <v>0.28970162553971301</v>
      </c>
      <c r="H71" s="97">
        <v>-4.67657521473614E-3</v>
      </c>
      <c r="I71" s="97">
        <v>3.5027232030936703E-2</v>
      </c>
      <c r="J71" s="97">
        <v>2.2184709585868399E-2</v>
      </c>
      <c r="K71" s="97">
        <v>9.1704435280927702E-4</v>
      </c>
      <c r="L71" s="97">
        <v>1.92712361885919E-3</v>
      </c>
      <c r="M71" s="97">
        <v>1.9356626836815199E-2</v>
      </c>
      <c r="N71" s="97">
        <v>9.7357764676606496E-5</v>
      </c>
      <c r="O71" s="97">
        <v>3.1986089876602499E-3</v>
      </c>
      <c r="P71" s="97">
        <v>0.58035066376114197</v>
      </c>
      <c r="Q71" s="97">
        <v>0.14482279933132799</v>
      </c>
      <c r="R71" s="97">
        <v>1.42504309177016E-2</v>
      </c>
      <c r="S71" s="97">
        <v>1.33516656602507E-2</v>
      </c>
      <c r="T71" s="97">
        <v>1.36406329133622E-2</v>
      </c>
      <c r="U71" s="97">
        <v>1.29767004010492E-2</v>
      </c>
    </row>
    <row r="72" spans="1:21" s="98" customFormat="1" ht="13" x14ac:dyDescent="0.15">
      <c r="A72" s="96" t="s">
        <v>135</v>
      </c>
      <c r="B72" s="97">
        <v>5.7553211894216302E-3</v>
      </c>
      <c r="C72" s="97">
        <v>1.52024283603867E-2</v>
      </c>
      <c r="D72" s="97">
        <v>20.3644058487663</v>
      </c>
      <c r="E72" s="97">
        <v>0.205258054214843</v>
      </c>
      <c r="F72" s="97">
        <v>0.88421288618188998</v>
      </c>
      <c r="G72" s="97">
        <v>0.279859997417089</v>
      </c>
      <c r="H72" s="97">
        <v>-3.9019236927649698E-3</v>
      </c>
      <c r="I72" s="97">
        <v>3.46247329008545E-2</v>
      </c>
      <c r="J72" s="97">
        <v>2.12059224817552E-2</v>
      </c>
      <c r="K72" s="97">
        <v>7.7238157345178599E-4</v>
      </c>
      <c r="L72" s="97">
        <v>1.9682180085565E-3</v>
      </c>
      <c r="M72" s="97">
        <v>1.91653250358047E-2</v>
      </c>
      <c r="N72" s="97">
        <v>9.5554874852276899E-5</v>
      </c>
      <c r="O72" s="97">
        <v>4.3630862299706601E-3</v>
      </c>
      <c r="P72" s="97">
        <v>0.57467782533960998</v>
      </c>
      <c r="Q72" s="97">
        <v>0.145104585602191</v>
      </c>
      <c r="R72" s="97">
        <v>1.47076237815192E-2</v>
      </c>
      <c r="S72" s="97">
        <v>1.29648741194224E-2</v>
      </c>
      <c r="T72" s="97">
        <v>1.34868394172706E-2</v>
      </c>
      <c r="U72" s="97">
        <v>1.30244770299904E-2</v>
      </c>
    </row>
    <row r="73" spans="1:21" s="98" customFormat="1" ht="13" x14ac:dyDescent="0.15">
      <c r="A73" s="96" t="s">
        <v>136</v>
      </c>
      <c r="B73" s="97">
        <v>5.3679348315998502E-3</v>
      </c>
      <c r="C73" s="97">
        <v>5.8941839855732496E-3</v>
      </c>
      <c r="D73" s="97">
        <v>24.342086172499801</v>
      </c>
      <c r="E73" s="97">
        <v>5.4496544914830199E-2</v>
      </c>
      <c r="F73" s="97">
        <v>1.2472711441422499</v>
      </c>
      <c r="G73" s="97">
        <v>0.32755042386719202</v>
      </c>
      <c r="H73" s="97">
        <v>-3.9987488020615499E-3</v>
      </c>
      <c r="I73" s="97">
        <v>2.3951472824261199E-2</v>
      </c>
      <c r="J73" s="97">
        <v>1.44106512310171E-2</v>
      </c>
      <c r="K73" s="97">
        <v>6.6832983394799405E-4</v>
      </c>
      <c r="L73" s="97">
        <v>7.34048595190756E-4</v>
      </c>
      <c r="M73" s="97">
        <v>3.0157491859409299E-2</v>
      </c>
      <c r="N73" s="97">
        <v>9.3223659380233694E-5</v>
      </c>
      <c r="O73" s="97">
        <v>7.2481808499247798E-3</v>
      </c>
      <c r="P73" s="97">
        <v>0.36662105948412299</v>
      </c>
      <c r="Q73" s="97">
        <v>2.6313730042487E-2</v>
      </c>
      <c r="R73" s="97">
        <v>5.7369577503945998E-3</v>
      </c>
      <c r="S73" s="97">
        <v>8.7456273094024001E-3</v>
      </c>
      <c r="T73" s="97">
        <v>5.8380396238484501E-3</v>
      </c>
      <c r="U73" s="97">
        <v>3.0701360665442699E-3</v>
      </c>
    </row>
    <row r="74" spans="1:21" s="98" customFormat="1" ht="13" x14ac:dyDescent="0.15">
      <c r="A74" s="96" t="s">
        <v>136</v>
      </c>
      <c r="B74" s="97">
        <v>5.2451116842032203E-3</v>
      </c>
      <c r="C74" s="97">
        <v>1.9308093461852398E-2</v>
      </c>
      <c r="D74" s="97">
        <v>24.829010508430301</v>
      </c>
      <c r="E74" s="97">
        <v>5.3755850999938098E-2</v>
      </c>
      <c r="F74" s="97">
        <v>1.2764898605341799</v>
      </c>
      <c r="G74" s="97">
        <v>0.33340970741361597</v>
      </c>
      <c r="H74" s="97">
        <v>-2.9177290396017598E-3</v>
      </c>
      <c r="I74" s="97">
        <v>2.46686617570148E-2</v>
      </c>
      <c r="J74" s="97">
        <v>1.50633754840734E-2</v>
      </c>
      <c r="K74" s="97">
        <v>8.5021588073497202E-4</v>
      </c>
      <c r="L74" s="97">
        <v>6.1988401056049E-4</v>
      </c>
      <c r="M74" s="97">
        <v>3.10047362697226E-2</v>
      </c>
      <c r="N74" s="97">
        <v>8.4935196204957201E-5</v>
      </c>
      <c r="O74" s="97">
        <v>4.7431907855875104E-3</v>
      </c>
      <c r="P74" s="97">
        <v>0.376094258901287</v>
      </c>
      <c r="Q74" s="97">
        <v>2.9133548832589801E-2</v>
      </c>
      <c r="R74" s="97">
        <v>5.5492328360810103E-3</v>
      </c>
      <c r="S74" s="97">
        <v>2.9505247619724499E-3</v>
      </c>
      <c r="T74" s="97">
        <v>5.8284183853080703E-3</v>
      </c>
      <c r="U74" s="97">
        <v>3.30565364753296E-3</v>
      </c>
    </row>
    <row r="75" spans="1:21" s="98" customFormat="1" ht="13" x14ac:dyDescent="0.15">
      <c r="A75" s="96" t="s">
        <v>137</v>
      </c>
      <c r="B75" s="97">
        <v>3.4950182534546799E-3</v>
      </c>
      <c r="C75" s="97">
        <v>2.78792706294376E-2</v>
      </c>
      <c r="D75" s="97">
        <v>0.33788957280617299</v>
      </c>
      <c r="E75" s="97">
        <v>7.5568025046536202E-2</v>
      </c>
      <c r="F75" s="97">
        <v>0.84578145162428198</v>
      </c>
      <c r="G75" s="97">
        <v>0.40958210155730501</v>
      </c>
      <c r="H75" s="97">
        <v>-4.7771495154623998E-3</v>
      </c>
      <c r="I75" s="97">
        <v>2.3007204711964501E-2</v>
      </c>
      <c r="J75" s="97">
        <v>1.2269539372661399E-2</v>
      </c>
      <c r="K75" s="97">
        <v>3.41078338851838E-4</v>
      </c>
      <c r="L75" s="97">
        <v>7.3235407327131605E-4</v>
      </c>
      <c r="M75" s="97">
        <v>6.0560847323302396E-3</v>
      </c>
      <c r="N75" s="97">
        <v>2.25931090095668E-5</v>
      </c>
      <c r="O75" s="97">
        <v>1.31200424206829E-3</v>
      </c>
      <c r="P75" s="97">
        <v>0.30995249468706099</v>
      </c>
      <c r="Q75" s="97">
        <v>2.11452123807792E-2</v>
      </c>
      <c r="R75" s="97">
        <v>3.48749546731475E-3</v>
      </c>
      <c r="S75" s="97">
        <v>1.3530446666679199E-3</v>
      </c>
      <c r="T75" s="97">
        <v>3.5548573746485598E-3</v>
      </c>
      <c r="U75" s="97">
        <v>1.5936703640425699E-3</v>
      </c>
    </row>
    <row r="76" spans="1:21" s="98" customFormat="1" ht="13" x14ac:dyDescent="0.15">
      <c r="A76" s="96" t="s">
        <v>137</v>
      </c>
      <c r="B76" s="97">
        <v>3.6410063200833101E-3</v>
      </c>
      <c r="C76" s="97">
        <v>1.6310659230372299E-2</v>
      </c>
      <c r="D76" s="97">
        <v>0.34568494704881497</v>
      </c>
      <c r="E76" s="97">
        <v>9.8291007006328202E-2</v>
      </c>
      <c r="F76" s="97">
        <v>0.82351173040653602</v>
      </c>
      <c r="G76" s="97">
        <v>0.39441284486483402</v>
      </c>
      <c r="H76" s="97">
        <v>-3.45382907164061E-3</v>
      </c>
      <c r="I76" s="97">
        <v>2.28939720648761E-2</v>
      </c>
      <c r="J76" s="97">
        <v>3.5936946475301997E-2</v>
      </c>
      <c r="K76" s="97">
        <v>1.3033983954422701E-4</v>
      </c>
      <c r="L76" s="97">
        <v>7.4742140768112504E-4</v>
      </c>
      <c r="M76" s="97">
        <v>4.9268630487200498E-3</v>
      </c>
      <c r="N76" s="97">
        <v>3.7235235520226902E-5</v>
      </c>
      <c r="O76" s="97">
        <v>3.2386845522402101E-3</v>
      </c>
      <c r="P76" s="97">
        <v>0.31328749223843799</v>
      </c>
      <c r="Q76" s="97">
        <v>2.2087988700605798E-2</v>
      </c>
      <c r="R76" s="97">
        <v>4.0381817964352702E-3</v>
      </c>
      <c r="S76" s="97">
        <v>2.7709198680264E-3</v>
      </c>
      <c r="T76" s="97">
        <v>3.7620403529184001E-3</v>
      </c>
      <c r="U76" s="97">
        <v>1.6515887861967E-3</v>
      </c>
    </row>
    <row r="77" spans="1:21" s="98" customFormat="1" ht="13" x14ac:dyDescent="0.15">
      <c r="A77" s="96" t="s">
        <v>138</v>
      </c>
      <c r="B77" s="97">
        <v>2.4586758896136499E-2</v>
      </c>
      <c r="C77" s="97">
        <v>2.3273472757035899E-2</v>
      </c>
      <c r="D77" s="97">
        <v>16.218834284184702</v>
      </c>
      <c r="E77" s="97">
        <v>0.26592645581526098</v>
      </c>
      <c r="F77" s="97">
        <v>5.3665783063431398</v>
      </c>
      <c r="G77" s="97">
        <v>0.77972152586219501</v>
      </c>
      <c r="H77" s="97">
        <v>-4.0794218013057802E-3</v>
      </c>
      <c r="I77" s="97">
        <v>0.20771997277235699</v>
      </c>
      <c r="J77" s="97">
        <v>6.7017182895049404E-2</v>
      </c>
      <c r="K77" s="97">
        <v>1.04582679105563E-3</v>
      </c>
      <c r="L77" s="97">
        <v>3.09219952978484E-3</v>
      </c>
      <c r="M77" s="97">
        <v>3.6082690062176702E-2</v>
      </c>
      <c r="N77" s="97">
        <v>2.4684546057493001E-4</v>
      </c>
      <c r="O77" s="97">
        <v>7.9085182879374792E-3</v>
      </c>
      <c r="P77" s="97">
        <v>1.8189911590435299</v>
      </c>
      <c r="Q77" s="97">
        <v>2.2300571450542499</v>
      </c>
      <c r="R77" s="97">
        <v>1.1541634017947101E-2</v>
      </c>
      <c r="S77" s="97">
        <v>6.71106603765384E-3</v>
      </c>
      <c r="T77" s="97">
        <v>1.1518494016375501E-2</v>
      </c>
      <c r="U77" s="97">
        <v>6.4884539692162801E-3</v>
      </c>
    </row>
    <row r="78" spans="1:21" s="98" customFormat="1" ht="13" x14ac:dyDescent="0.15">
      <c r="A78" s="96" t="s">
        <v>138</v>
      </c>
      <c r="B78" s="97">
        <v>2.3616359803747801E-2</v>
      </c>
      <c r="C78" s="97">
        <v>2.4003501708998901E-2</v>
      </c>
      <c r="D78" s="97">
        <v>16.3193288749566</v>
      </c>
      <c r="E78" s="97">
        <v>0.27361990448099299</v>
      </c>
      <c r="F78" s="97">
        <v>5.41255798418634</v>
      </c>
      <c r="G78" s="97">
        <v>0.78374054465109499</v>
      </c>
      <c r="H78" s="97">
        <v>-4.1802327237045796E-3</v>
      </c>
      <c r="I78" s="97">
        <v>0.204993235218524</v>
      </c>
      <c r="J78" s="97">
        <v>6.4771361238419006E-2</v>
      </c>
      <c r="K78" s="97">
        <v>1.03261391578938E-3</v>
      </c>
      <c r="L78" s="97">
        <v>3.27773012162925E-3</v>
      </c>
      <c r="M78" s="97">
        <v>3.6581526831717601E-2</v>
      </c>
      <c r="N78" s="97">
        <v>2.8330164865835301E-4</v>
      </c>
      <c r="O78" s="97">
        <v>5.7291154975648599E-3</v>
      </c>
      <c r="P78" s="97">
        <v>1.7889698645402701</v>
      </c>
      <c r="Q78" s="97">
        <v>2.2557565691560701</v>
      </c>
      <c r="R78" s="97">
        <v>1.13537156719393E-2</v>
      </c>
      <c r="S78" s="97">
        <v>6.4366740261640699E-3</v>
      </c>
      <c r="T78" s="97">
        <v>1.12740429296312E-2</v>
      </c>
      <c r="U78" s="97">
        <v>6.2206310523253601E-3</v>
      </c>
    </row>
    <row r="79" spans="1:21" s="98" customFormat="1" ht="13" x14ac:dyDescent="0.15">
      <c r="A79" s="96" t="s">
        <v>139</v>
      </c>
      <c r="B79" s="97">
        <v>1.68948828621137E-2</v>
      </c>
      <c r="C79" s="97">
        <v>2.9255629809564001E-2</v>
      </c>
      <c r="D79" s="97">
        <v>8.6637646098301797</v>
      </c>
      <c r="E79" s="97">
        <v>0.39093446390931302</v>
      </c>
      <c r="F79" s="97">
        <v>2.5174928190533401</v>
      </c>
      <c r="G79" s="97">
        <v>2.16941787808909</v>
      </c>
      <c r="H79" s="97">
        <v>-3.6774505503385101E-3</v>
      </c>
      <c r="I79" s="97">
        <v>0.18294529221200201</v>
      </c>
      <c r="J79" s="97">
        <v>0.115708379742973</v>
      </c>
      <c r="K79" s="97">
        <v>6.1412355927510202E-3</v>
      </c>
      <c r="L79" s="97">
        <v>4.6167553116770897E-3</v>
      </c>
      <c r="M79" s="97">
        <v>7.5542164773298795E-2</v>
      </c>
      <c r="N79" s="97">
        <v>4.4428324350497899E-5</v>
      </c>
      <c r="O79" s="97">
        <v>1.3171821561510999E-2</v>
      </c>
      <c r="P79" s="97">
        <v>3.2847366069006401</v>
      </c>
      <c r="Q79" s="97">
        <v>0.28695596261390199</v>
      </c>
      <c r="R79" s="97">
        <v>2.2593905248686201E-2</v>
      </c>
      <c r="S79" s="97">
        <v>1.7725280375016202E-2</v>
      </c>
      <c r="T79" s="97">
        <v>2.17667125524942E-2</v>
      </c>
      <c r="U79" s="97">
        <v>1.6148038028979E-2</v>
      </c>
    </row>
    <row r="80" spans="1:21" s="98" customFormat="1" ht="13" x14ac:dyDescent="0.15">
      <c r="A80" s="96" t="s">
        <v>139</v>
      </c>
      <c r="B80" s="97">
        <v>1.6631627845745199E-2</v>
      </c>
      <c r="C80" s="97">
        <v>1.9490828613906899E-2</v>
      </c>
      <c r="D80" s="97">
        <v>8.4675091959240305</v>
      </c>
      <c r="E80" s="97">
        <v>0.38521054437046698</v>
      </c>
      <c r="F80" s="97">
        <v>2.5859345397947702</v>
      </c>
      <c r="G80" s="97">
        <v>2.1957310775163301</v>
      </c>
      <c r="H80" s="97">
        <v>-3.9850205935942299E-3</v>
      </c>
      <c r="I80" s="97">
        <v>0.18403439145742101</v>
      </c>
      <c r="J80" s="97">
        <v>0.109596615637329</v>
      </c>
      <c r="K80" s="97">
        <v>6.3236993342614704E-3</v>
      </c>
      <c r="L80" s="97">
        <v>4.7878565413813799E-3</v>
      </c>
      <c r="M80" s="97">
        <v>6.5871542958665805E-2</v>
      </c>
      <c r="N80" s="97">
        <v>6.01091692670942E-5</v>
      </c>
      <c r="O80" s="97">
        <v>6.7477178868215497E-3</v>
      </c>
      <c r="P80" s="97">
        <v>3.29174993949729</v>
      </c>
      <c r="Q80" s="97">
        <v>0.28590051052667298</v>
      </c>
      <c r="R80" s="97">
        <v>2.1355904603986901E-2</v>
      </c>
      <c r="S80" s="97">
        <v>1.6254967218082401E-2</v>
      </c>
      <c r="T80" s="97">
        <v>2.1159768094590199E-2</v>
      </c>
      <c r="U80" s="97">
        <v>1.6334795914239399E-2</v>
      </c>
    </row>
    <row r="81" spans="1:21" s="98" customFormat="1" ht="13" x14ac:dyDescent="0.15">
      <c r="A81" s="96" t="s">
        <v>140</v>
      </c>
      <c r="B81" s="97">
        <v>1.1565301883707701E-2</v>
      </c>
      <c r="C81" s="97">
        <v>2.00624297904982E-3</v>
      </c>
      <c r="D81" s="97">
        <v>12.4487797565415</v>
      </c>
      <c r="E81" s="97">
        <v>0.22057676215795</v>
      </c>
      <c r="F81" s="97">
        <v>2.0062314629735001</v>
      </c>
      <c r="G81" s="97">
        <v>0.97137574734782595</v>
      </c>
      <c r="H81" s="97">
        <v>-2.60199427476213E-3</v>
      </c>
      <c r="I81" s="97">
        <v>5.80981189186748E-2</v>
      </c>
      <c r="J81" s="97">
        <v>3.1071052944054201E-2</v>
      </c>
      <c r="K81" s="97">
        <v>1.28912564302394E-3</v>
      </c>
      <c r="L81" s="97">
        <v>3.0956977322891799E-3</v>
      </c>
      <c r="M81" s="97">
        <v>1.8270391923603801E-2</v>
      </c>
      <c r="N81" s="97">
        <v>6.2132881700581504E-5</v>
      </c>
      <c r="O81" s="97">
        <v>4.0642462027282904E-3</v>
      </c>
      <c r="P81" s="97">
        <v>0.71924309041603096</v>
      </c>
      <c r="Q81" s="97">
        <v>0.23189168524032799</v>
      </c>
      <c r="R81" s="97">
        <v>9.7050327732148192E-3</v>
      </c>
      <c r="S81" s="97">
        <v>5.4260682647355798E-3</v>
      </c>
      <c r="T81" s="97">
        <v>9.5290007109052402E-3</v>
      </c>
      <c r="U81" s="97">
        <v>4.9324436635919703E-3</v>
      </c>
    </row>
    <row r="82" spans="1:21" s="98" customFormat="1" ht="13" x14ac:dyDescent="0.15">
      <c r="A82" s="96" t="s">
        <v>140</v>
      </c>
      <c r="B82" s="97">
        <v>1.15980517126116E-2</v>
      </c>
      <c r="C82" s="97">
        <v>1.0898420017591601E-2</v>
      </c>
      <c r="D82" s="97">
        <v>12.3849158561849</v>
      </c>
      <c r="E82" s="97">
        <v>0.24452843357491899</v>
      </c>
      <c r="F82" s="97">
        <v>2.0587080200830998</v>
      </c>
      <c r="G82" s="97">
        <v>0.96831931627381596</v>
      </c>
      <c r="H82" s="97">
        <v>-2.8450211071140599E-3</v>
      </c>
      <c r="I82" s="97">
        <v>6.0332474788669203E-2</v>
      </c>
      <c r="J82" s="97">
        <v>2.8173779144791501E-2</v>
      </c>
      <c r="K82" s="97">
        <v>1.19166753632484E-3</v>
      </c>
      <c r="L82" s="97">
        <v>2.99617973709854E-3</v>
      </c>
      <c r="M82" s="97">
        <v>1.8464337436680599E-2</v>
      </c>
      <c r="N82" s="97">
        <v>9.5453070928434698E-5</v>
      </c>
      <c r="O82" s="97">
        <v>4.9361314529007497E-3</v>
      </c>
      <c r="P82" s="97">
        <v>0.66796025515322399</v>
      </c>
      <c r="Q82" s="97">
        <v>0.231315964977448</v>
      </c>
      <c r="R82" s="97">
        <v>9.7650387744619305E-3</v>
      </c>
      <c r="S82" s="97">
        <v>4.9048076240584401E-3</v>
      </c>
      <c r="T82" s="97">
        <v>9.8299330798413999E-3</v>
      </c>
      <c r="U82" s="97">
        <v>5.1974766812887801E-3</v>
      </c>
    </row>
    <row r="83" spans="1:21" s="98" customFormat="1" ht="13" x14ac:dyDescent="0.15">
      <c r="A83" s="96" t="s">
        <v>141</v>
      </c>
      <c r="B83" s="97">
        <v>5.5319886814923901E-3</v>
      </c>
      <c r="C83" s="97">
        <v>4.2700610876295203E-3</v>
      </c>
      <c r="D83" s="97">
        <v>1.6810862305722101</v>
      </c>
      <c r="E83" s="97">
        <v>9.1580557934157994E-2</v>
      </c>
      <c r="F83" s="97">
        <v>0.92532719546554498</v>
      </c>
      <c r="G83" s="97">
        <v>0.25255878023388501</v>
      </c>
      <c r="H83" s="97">
        <v>-1.80199343219313E-3</v>
      </c>
      <c r="I83" s="97">
        <v>3.8103998790096801E-2</v>
      </c>
      <c r="J83" s="97">
        <v>2.3784297542115099E-2</v>
      </c>
      <c r="K83" s="97">
        <v>2.9489189428977502E-4</v>
      </c>
      <c r="L83" s="97">
        <v>1.23591735219662E-3</v>
      </c>
      <c r="M83" s="97">
        <v>1.2229009294259199E-2</v>
      </c>
      <c r="N83" s="97">
        <v>2.9962417666160801E-5</v>
      </c>
      <c r="O83" s="97">
        <v>1.03088162524638E-2</v>
      </c>
      <c r="P83" s="97">
        <v>0.48176297588427203</v>
      </c>
      <c r="Q83" s="97">
        <v>3.7339416618948899E-2</v>
      </c>
      <c r="R83" s="97">
        <v>3.8117281406923401E-3</v>
      </c>
      <c r="S83" s="97">
        <v>1.5748601767247999E-3</v>
      </c>
      <c r="T83" s="97">
        <v>3.20316466611655E-3</v>
      </c>
      <c r="U83" s="97">
        <v>1.87748113633381E-3</v>
      </c>
    </row>
    <row r="84" spans="1:21" s="98" customFormat="1" ht="13" x14ac:dyDescent="0.15">
      <c r="A84" s="96" t="s">
        <v>141</v>
      </c>
      <c r="B84" s="97">
        <v>5.62025019671191E-3</v>
      </c>
      <c r="C84" s="97">
        <v>3.2496201319397899E-4</v>
      </c>
      <c r="D84" s="97">
        <v>1.45168842669739</v>
      </c>
      <c r="E84" s="97">
        <v>8.1799670345790498E-2</v>
      </c>
      <c r="F84" s="97">
        <v>0.92924968693391197</v>
      </c>
      <c r="G84" s="97">
        <v>0.25756969960256099</v>
      </c>
      <c r="H84" s="97">
        <v>-5.1077970083616402E-3</v>
      </c>
      <c r="I84" s="97">
        <v>3.84176573025726E-2</v>
      </c>
      <c r="J84" s="97">
        <v>1.9261679843497002E-2</v>
      </c>
      <c r="K84" s="97">
        <v>2.2247972959977099E-4</v>
      </c>
      <c r="L84" s="97">
        <v>1.1578694885060799E-3</v>
      </c>
      <c r="M84" s="97">
        <v>7.9061254745258994E-3</v>
      </c>
      <c r="N84" s="97">
        <v>3.7460122058102602E-5</v>
      </c>
      <c r="O84" s="97">
        <v>4.9925858551450502E-3</v>
      </c>
      <c r="P84" s="97">
        <v>0.47772019775206698</v>
      </c>
      <c r="Q84" s="97">
        <v>3.8717398207825902E-2</v>
      </c>
      <c r="R84" s="97">
        <v>2.5878650980772598E-3</v>
      </c>
      <c r="S84" s="97">
        <v>1.7749455705567E-3</v>
      </c>
      <c r="T84" s="97">
        <v>2.7476645746642701E-3</v>
      </c>
      <c r="U84" s="97">
        <v>1.47735550836446E-3</v>
      </c>
    </row>
    <row r="85" spans="1:21" s="98" customFormat="1" ht="13" x14ac:dyDescent="0.15">
      <c r="A85" s="96" t="s">
        <v>142</v>
      </c>
      <c r="B85" s="97">
        <v>7.3821128844046404E-3</v>
      </c>
      <c r="C85" s="97">
        <v>0.109897787989877</v>
      </c>
      <c r="D85" s="97">
        <v>39.3846679745796</v>
      </c>
      <c r="E85" s="97">
        <v>0.68349203854840501</v>
      </c>
      <c r="F85" s="97">
        <v>0.20341693385162599</v>
      </c>
      <c r="G85" s="97">
        <v>1.3857548855712001</v>
      </c>
      <c r="H85" s="97">
        <v>-1.8590015646653101E-3</v>
      </c>
      <c r="I85" s="97">
        <v>0.10783556602535101</v>
      </c>
      <c r="J85" s="97">
        <v>1.19828751013053E-2</v>
      </c>
      <c r="K85" s="97">
        <v>2.4594660907856099E-3</v>
      </c>
      <c r="L85" s="97">
        <v>1.73978676982495E-3</v>
      </c>
      <c r="M85" s="97">
        <v>9.0426426294863999E-2</v>
      </c>
      <c r="N85" s="97">
        <v>2.8037290227382898E-4</v>
      </c>
      <c r="O85" s="97">
        <v>7.4275486493661797E-3</v>
      </c>
      <c r="P85" s="97">
        <v>1.1361123942111799</v>
      </c>
      <c r="Q85" s="97">
        <v>0.23946029229447599</v>
      </c>
      <c r="R85" s="97">
        <v>4.0923340404643099E-2</v>
      </c>
      <c r="S85" s="97">
        <v>4.07083881637103E-2</v>
      </c>
      <c r="T85" s="97">
        <v>3.7116685323084299E-2</v>
      </c>
      <c r="U85" s="97">
        <v>3.49427266050698E-2</v>
      </c>
    </row>
    <row r="86" spans="1:21" s="98" customFormat="1" ht="13" x14ac:dyDescent="0.15">
      <c r="A86" s="96" t="s">
        <v>142</v>
      </c>
      <c r="B86" s="97">
        <v>6.9561557873121698E-3</v>
      </c>
      <c r="C86" s="97">
        <v>0.10489801742266799</v>
      </c>
      <c r="D86" s="97">
        <v>39.001766640464503</v>
      </c>
      <c r="E86" s="97">
        <v>0.68023627495678896</v>
      </c>
      <c r="F86" s="97">
        <v>0.20031779240378</v>
      </c>
      <c r="G86" s="97">
        <v>1.3851704939434399</v>
      </c>
      <c r="H86" s="97">
        <v>-2.8600929209694698E-3</v>
      </c>
      <c r="I86" s="97">
        <v>0.107158746828761</v>
      </c>
      <c r="J86" s="97">
        <v>6.3312941836387504E-3</v>
      </c>
      <c r="K86" s="97">
        <v>2.0974815269860299E-3</v>
      </c>
      <c r="L86" s="97">
        <v>1.7368119462892E-3</v>
      </c>
      <c r="M86" s="97">
        <v>8.7194408057622005E-2</v>
      </c>
      <c r="N86" s="97">
        <v>3.13644195244225E-4</v>
      </c>
      <c r="O86" s="97">
        <v>5.7472060531106898E-3</v>
      </c>
      <c r="P86" s="97">
        <v>1.1164738418999001</v>
      </c>
      <c r="Q86" s="97">
        <v>0.24325775091132401</v>
      </c>
      <c r="R86" s="97">
        <v>3.8255303792431403E-2</v>
      </c>
      <c r="S86" s="97">
        <v>4.23654471716301E-2</v>
      </c>
      <c r="T86" s="97">
        <v>3.76333320950126E-2</v>
      </c>
      <c r="U86" s="97">
        <v>3.5149466288310803E-2</v>
      </c>
    </row>
    <row r="87" spans="1:21" s="98" customFormat="1" ht="13" x14ac:dyDescent="0.15">
      <c r="A87" s="96" t="s">
        <v>143</v>
      </c>
      <c r="B87" s="97">
        <v>1.35103088511415E-2</v>
      </c>
      <c r="C87" s="97">
        <v>1.40294179713386E-2</v>
      </c>
      <c r="D87" s="97">
        <v>11.3383914804723</v>
      </c>
      <c r="E87" s="97">
        <v>0.316955929809</v>
      </c>
      <c r="F87" s="97">
        <v>4.3023629383340802</v>
      </c>
      <c r="G87" s="97">
        <v>1.87567080995932</v>
      </c>
      <c r="H87" s="97">
        <v>8.4291595278028096E-4</v>
      </c>
      <c r="I87" s="97">
        <v>8.4108753085478799E-2</v>
      </c>
      <c r="J87" s="97">
        <v>4.4641086268983297E-2</v>
      </c>
      <c r="K87" s="97">
        <v>1.9780467829074101E-2</v>
      </c>
      <c r="L87" s="97">
        <v>2.36152438959918E-3</v>
      </c>
      <c r="M87" s="97">
        <v>3.3432924327961598E-2</v>
      </c>
      <c r="N87" s="97">
        <v>4.7089021285671398E-4</v>
      </c>
      <c r="O87" s="97">
        <v>1.01659611026245E-2</v>
      </c>
      <c r="P87" s="97">
        <v>1.1551184128500001</v>
      </c>
      <c r="Q87" s="97">
        <v>0.229548261434353</v>
      </c>
      <c r="R87" s="97">
        <v>3.2607916329719398E-2</v>
      </c>
      <c r="S87" s="97">
        <v>2.45070265949297E-2</v>
      </c>
      <c r="T87" s="97">
        <v>3.04251025461134E-2</v>
      </c>
      <c r="U87" s="97">
        <v>2.44028595226084E-2</v>
      </c>
    </row>
    <row r="88" spans="1:21" s="98" customFormat="1" ht="13" x14ac:dyDescent="0.15">
      <c r="A88" s="96" t="s">
        <v>143</v>
      </c>
      <c r="B88" s="97">
        <v>1.3363982032983401E-2</v>
      </c>
      <c r="C88" s="97">
        <v>4.34095140260366E-2</v>
      </c>
      <c r="D88" s="97">
        <v>11.1582661132122</v>
      </c>
      <c r="E88" s="97">
        <v>0.35938472372487601</v>
      </c>
      <c r="F88" s="97">
        <v>4.4410115590520496</v>
      </c>
      <c r="G88" s="97">
        <v>1.91344490583059</v>
      </c>
      <c r="H88" s="97">
        <v>4.4596662300021902E-4</v>
      </c>
      <c r="I88" s="97">
        <v>8.5474599898215695E-2</v>
      </c>
      <c r="J88" s="97">
        <v>3.9968029322785703E-2</v>
      </c>
      <c r="K88" s="97">
        <v>2.1086573364148101E-2</v>
      </c>
      <c r="L88" s="97">
        <v>2.3680255271090302E-3</v>
      </c>
      <c r="M88" s="97">
        <v>3.3159317122975401E-2</v>
      </c>
      <c r="N88" s="97">
        <v>5.2100329513958901E-4</v>
      </c>
      <c r="O88" s="97">
        <v>7.3698710537881996E-3</v>
      </c>
      <c r="P88" s="97">
        <v>1.1191158372761001</v>
      </c>
      <c r="Q88" s="97">
        <v>0.22562203863653199</v>
      </c>
      <c r="R88" s="97">
        <v>3.1522572409434499E-2</v>
      </c>
      <c r="S88" s="97">
        <v>2.51420685862867E-2</v>
      </c>
      <c r="T88" s="97">
        <v>3.1719326318300302E-2</v>
      </c>
      <c r="U88" s="97">
        <v>2.3978999555392601E-2</v>
      </c>
    </row>
    <row r="89" spans="1:21" s="98" customFormat="1" ht="13" x14ac:dyDescent="0.15">
      <c r="A89" s="96" t="s">
        <v>144</v>
      </c>
      <c r="B89" s="97">
        <v>9.40788868602376E-3</v>
      </c>
      <c r="C89" s="97">
        <v>8.5809448773733199E-2</v>
      </c>
      <c r="D89" s="97">
        <v>19.159226009892102</v>
      </c>
      <c r="E89" s="97">
        <v>0.53132206283431205</v>
      </c>
      <c r="F89" s="97">
        <v>1.4067610723614199</v>
      </c>
      <c r="G89" s="97">
        <v>1.34272172759706</v>
      </c>
      <c r="H89" s="97">
        <v>1.2431101559498201E-3</v>
      </c>
      <c r="I89" s="97">
        <v>0.18547803039692901</v>
      </c>
      <c r="J89" s="97">
        <v>1.71512110848633E-2</v>
      </c>
      <c r="K89" s="97">
        <v>2.7971254681424299E-3</v>
      </c>
      <c r="L89" s="97">
        <v>8.3938617034541307E-3</v>
      </c>
      <c r="M89" s="97">
        <v>6.6059188623196999E-2</v>
      </c>
      <c r="N89" s="97">
        <v>1.3595566268917201E-4</v>
      </c>
      <c r="O89" s="97">
        <v>8.0473757144127207E-3</v>
      </c>
      <c r="P89" s="97">
        <v>1.2830607634281801</v>
      </c>
      <c r="Q89" s="97">
        <v>5.6089379760630997</v>
      </c>
      <c r="R89" s="97">
        <v>8.1692005536381798E-2</v>
      </c>
      <c r="S89" s="97">
        <v>8.00906416036999E-2</v>
      </c>
      <c r="T89" s="97">
        <v>8.3838747240487094E-2</v>
      </c>
      <c r="U89" s="97">
        <v>7.6537566711900304E-2</v>
      </c>
    </row>
    <row r="90" spans="1:21" s="98" customFormat="1" ht="13" x14ac:dyDescent="0.15">
      <c r="A90" s="96" t="s">
        <v>144</v>
      </c>
      <c r="B90" s="97">
        <v>9.2363797359926308E-3</v>
      </c>
      <c r="C90" s="97">
        <v>9.2791238264166701E-2</v>
      </c>
      <c r="D90" s="97">
        <v>19.2153287228642</v>
      </c>
      <c r="E90" s="97">
        <v>0.53059962909614</v>
      </c>
      <c r="F90" s="97">
        <v>1.4291027912155501</v>
      </c>
      <c r="G90" s="97">
        <v>1.3639140023377601</v>
      </c>
      <c r="H90" s="97">
        <v>8.0633135521986196E-4</v>
      </c>
      <c r="I90" s="97">
        <v>0.19033616770415401</v>
      </c>
      <c r="J90" s="97">
        <v>1.3183922545473299E-2</v>
      </c>
      <c r="K90" s="97">
        <v>3.0260843692522898E-3</v>
      </c>
      <c r="L90" s="97">
        <v>8.1604792506156792E-3</v>
      </c>
      <c r="M90" s="97">
        <v>6.5654048761199998E-2</v>
      </c>
      <c r="N90" s="97">
        <v>1.07063916290108E-4</v>
      </c>
      <c r="O90" s="97">
        <v>8.9739856198237603E-3</v>
      </c>
      <c r="P90" s="97">
        <v>1.31299128301599</v>
      </c>
      <c r="Q90" s="97">
        <v>5.6280348696503602</v>
      </c>
      <c r="R90" s="97">
        <v>8.00532386149269E-2</v>
      </c>
      <c r="S90" s="97">
        <v>8.3352186341045797E-2</v>
      </c>
      <c r="T90" s="97">
        <v>8.2360094262116407E-2</v>
      </c>
      <c r="U90" s="97">
        <v>7.5906826172376998E-2</v>
      </c>
    </row>
    <row r="91" spans="1:21" s="98" customFormat="1" ht="13" x14ac:dyDescent="0.15">
      <c r="A91" s="96" t="s">
        <v>145</v>
      </c>
      <c r="B91" s="97">
        <v>8.6319848550282397E-3</v>
      </c>
      <c r="C91" s="97">
        <v>4.1481715424894101E-2</v>
      </c>
      <c r="D91" s="97">
        <v>12.195659896947699</v>
      </c>
      <c r="E91" s="97">
        <v>0.31542501195752198</v>
      </c>
      <c r="F91" s="97">
        <v>2.7561762193381401</v>
      </c>
      <c r="G91" s="97">
        <v>1.26024733386194</v>
      </c>
      <c r="H91" s="97">
        <v>3.8176982799757199E-4</v>
      </c>
      <c r="I91" s="97">
        <v>0.28091732405188702</v>
      </c>
      <c r="J91" s="97">
        <v>2.2365023755407599E-2</v>
      </c>
      <c r="K91" s="97">
        <v>2.7776003598463401E-3</v>
      </c>
      <c r="L91" s="97">
        <v>5.8875542924884802E-3</v>
      </c>
      <c r="M91" s="97">
        <v>2.71342942692737E-2</v>
      </c>
      <c r="N91" s="97">
        <v>7.6921163567596098E-4</v>
      </c>
      <c r="O91" s="97">
        <v>7.5670916751840404E-3</v>
      </c>
      <c r="P91" s="97">
        <v>1.1347270278068999</v>
      </c>
      <c r="Q91" s="97">
        <v>1.23442754622059</v>
      </c>
      <c r="R91" s="97">
        <v>1.8887071341995201E-2</v>
      </c>
      <c r="S91" s="97">
        <v>1.4887316146342E-2</v>
      </c>
      <c r="T91" s="97">
        <v>1.8768831270966901E-2</v>
      </c>
      <c r="U91" s="97">
        <v>1.35362774037661E-2</v>
      </c>
    </row>
    <row r="92" spans="1:21" s="98" customFormat="1" ht="13" x14ac:dyDescent="0.15">
      <c r="A92" s="96" t="s">
        <v>145</v>
      </c>
      <c r="B92" s="97">
        <v>8.6485725630936396E-3</v>
      </c>
      <c r="C92" s="97">
        <v>4.2616340266227098E-2</v>
      </c>
      <c r="D92" s="97">
        <v>12.019917912062899</v>
      </c>
      <c r="E92" s="97">
        <v>0.30271377405751598</v>
      </c>
      <c r="F92" s="97">
        <v>2.74819896949024</v>
      </c>
      <c r="G92" s="97">
        <v>1.2421719753848099</v>
      </c>
      <c r="H92" s="97">
        <v>5.0596227730362699E-4</v>
      </c>
      <c r="I92" s="97">
        <v>0.281604593137043</v>
      </c>
      <c r="J92" s="97">
        <v>5.1643848572879798E-2</v>
      </c>
      <c r="K92" s="97">
        <v>2.4677744493430999E-3</v>
      </c>
      <c r="L92" s="97">
        <v>6.3509671678757401E-3</v>
      </c>
      <c r="M92" s="97">
        <v>2.61164827065823E-2</v>
      </c>
      <c r="N92" s="97">
        <v>7.74695041727763E-4</v>
      </c>
      <c r="O92" s="97">
        <v>7.9753617090973696E-3</v>
      </c>
      <c r="P92" s="97">
        <v>1.08139197698109</v>
      </c>
      <c r="Q92" s="97">
        <v>1.2352236966026999</v>
      </c>
      <c r="R92" s="97">
        <v>1.9177395229603E-2</v>
      </c>
      <c r="S92" s="97">
        <v>1.3831048249418399E-2</v>
      </c>
      <c r="T92" s="97">
        <v>1.6875041535236501E-2</v>
      </c>
      <c r="U92" s="97">
        <v>1.33747845473233E-2</v>
      </c>
    </row>
    <row r="93" spans="1:21" s="98" customFormat="1" ht="13" x14ac:dyDescent="0.15">
      <c r="A93" s="96" t="s">
        <v>146</v>
      </c>
      <c r="B93" s="97">
        <v>2.15714202653727E-2</v>
      </c>
      <c r="C93" s="97">
        <v>8.0349814022598706E-2</v>
      </c>
      <c r="D93" s="97">
        <v>31.031863128476601</v>
      </c>
      <c r="E93" s="97">
        <v>1.4160926292483</v>
      </c>
      <c r="F93" s="97">
        <v>3.14293682857648</v>
      </c>
      <c r="G93" s="97">
        <v>3.1559983319867801</v>
      </c>
      <c r="H93" s="97">
        <v>3.9646341561411303E-3</v>
      </c>
      <c r="I93" s="97">
        <v>0.15078223890977099</v>
      </c>
      <c r="J93" s="97">
        <v>0.116212008906905</v>
      </c>
      <c r="K93" s="97">
        <v>4.4165754344910402E-3</v>
      </c>
      <c r="L93" s="97">
        <v>2.7498475358271098E-3</v>
      </c>
      <c r="M93" s="97">
        <v>9.2589443354884601E-2</v>
      </c>
      <c r="N93" s="97">
        <v>1.8734760447978299E-4</v>
      </c>
      <c r="O93" s="97">
        <v>2.1013886465695301E-2</v>
      </c>
      <c r="P93" s="97">
        <v>1.12992253463347</v>
      </c>
      <c r="Q93" s="97">
        <v>0.13781772562743899</v>
      </c>
      <c r="R93" s="97">
        <v>4.3664460950509298E-2</v>
      </c>
      <c r="S93" s="97">
        <v>3.8026940666484398E-2</v>
      </c>
      <c r="T93" s="97">
        <v>4.4104298609643301E-2</v>
      </c>
      <c r="U93" s="97">
        <v>3.5742031505256198E-2</v>
      </c>
    </row>
    <row r="94" spans="1:21" s="98" customFormat="1" ht="13" x14ac:dyDescent="0.15">
      <c r="A94" s="96" t="s">
        <v>146</v>
      </c>
      <c r="B94" s="97">
        <v>2.0915406493080699E-2</v>
      </c>
      <c r="C94" s="97">
        <v>7.9730996775013593E-2</v>
      </c>
      <c r="D94" s="97">
        <v>32.318850011462096</v>
      </c>
      <c r="E94" s="97">
        <v>1.4418274211845601</v>
      </c>
      <c r="F94" s="97">
        <v>3.1388333521879401</v>
      </c>
      <c r="G94" s="97">
        <v>3.1922314295231899</v>
      </c>
      <c r="H94" s="97">
        <v>3.62191842479585E-3</v>
      </c>
      <c r="I94" s="97">
        <v>0.15061676544813599</v>
      </c>
      <c r="J94" s="97">
        <v>0.12195844280708699</v>
      </c>
      <c r="K94" s="97">
        <v>3.7231872954881502E-3</v>
      </c>
      <c r="L94" s="97">
        <v>2.91388999118541E-3</v>
      </c>
      <c r="M94" s="97">
        <v>9.2529502079598605E-2</v>
      </c>
      <c r="N94" s="97">
        <v>1.6392151853881999E-4</v>
      </c>
      <c r="O94" s="97">
        <v>1.85209796530445E-2</v>
      </c>
      <c r="P94" s="97">
        <v>1.11645927002195</v>
      </c>
      <c r="Q94" s="97">
        <v>0.14425819977669199</v>
      </c>
      <c r="R94" s="97">
        <v>4.5551025404320003E-2</v>
      </c>
      <c r="S94" s="97">
        <v>3.7759214366777601E-2</v>
      </c>
      <c r="T94" s="97">
        <v>4.2652693302515102E-2</v>
      </c>
      <c r="U94" s="97">
        <v>3.7814706585867601E-2</v>
      </c>
    </row>
    <row r="95" spans="1:21" s="98" customFormat="1" ht="13" x14ac:dyDescent="0.15">
      <c r="A95" s="96" t="s">
        <v>147</v>
      </c>
      <c r="B95" s="97">
        <v>4.9659318164863801E-3</v>
      </c>
      <c r="C95" s="97">
        <v>6.8862698284814098E-3</v>
      </c>
      <c r="D95" s="97">
        <v>13.7057963291915</v>
      </c>
      <c r="E95" s="97">
        <v>0.14800146423014701</v>
      </c>
      <c r="F95" s="97">
        <v>2.8570780165965801</v>
      </c>
      <c r="G95" s="97">
        <v>0.29865275378270001</v>
      </c>
      <c r="H95" s="97">
        <v>-3.8376094930762098E-4</v>
      </c>
      <c r="I95" s="97">
        <v>0.20084159082091199</v>
      </c>
      <c r="J95" s="97">
        <v>1.7874016202493001E-2</v>
      </c>
      <c r="K95" s="97">
        <v>1.56474978121495E-3</v>
      </c>
      <c r="L95" s="97">
        <v>4.7896707194930999E-3</v>
      </c>
      <c r="M95" s="97">
        <v>2.10830281334209E-2</v>
      </c>
      <c r="N95" s="97">
        <v>1.06325205806265E-4</v>
      </c>
      <c r="O95" s="97">
        <v>8.0740892258583195E-3</v>
      </c>
      <c r="P95" s="97">
        <v>0.39090944280498002</v>
      </c>
      <c r="Q95" s="97">
        <v>0.82061601288785002</v>
      </c>
      <c r="R95" s="97">
        <v>1.1094443739743399E-2</v>
      </c>
      <c r="S95" s="97">
        <v>7.4477818335454303E-3</v>
      </c>
      <c r="T95" s="97">
        <v>1.010067845679E-2</v>
      </c>
      <c r="U95" s="97">
        <v>7.6981205232491898E-3</v>
      </c>
    </row>
    <row r="96" spans="1:21" s="98" customFormat="1" ht="13" x14ac:dyDescent="0.15">
      <c r="A96" s="96" t="s">
        <v>147</v>
      </c>
      <c r="B96" s="97">
        <v>5.2325392490227404E-3</v>
      </c>
      <c r="C96" s="97">
        <v>6.4393046108310297E-3</v>
      </c>
      <c r="D96" s="97">
        <v>14.598797259204201</v>
      </c>
      <c r="E96" s="97">
        <v>0.141631179275376</v>
      </c>
      <c r="F96" s="97">
        <v>2.9067176031994699</v>
      </c>
      <c r="G96" s="97">
        <v>0.29235613381388398</v>
      </c>
      <c r="H96" s="97">
        <v>-2.8684004974729202E-4</v>
      </c>
      <c r="I96" s="97">
        <v>0.202912026711419</v>
      </c>
      <c r="J96" s="97">
        <v>1.94571195063655E-2</v>
      </c>
      <c r="K96" s="97">
        <v>1.4107591346510301E-3</v>
      </c>
      <c r="L96" s="97">
        <v>4.7338720801228104E-3</v>
      </c>
      <c r="M96" s="97">
        <v>2.15734523435453E-2</v>
      </c>
      <c r="N96" s="97">
        <v>1.2503477383957301E-4</v>
      </c>
      <c r="O96" s="97">
        <v>6.2538986615992102E-3</v>
      </c>
      <c r="P96" s="97">
        <v>0.38925634497077699</v>
      </c>
      <c r="Q96" s="97">
        <v>0.81029018712547696</v>
      </c>
      <c r="R96" s="97">
        <v>1.1000408592420701E-2</v>
      </c>
      <c r="S96" s="97">
        <v>7.0267205089408801E-3</v>
      </c>
      <c r="T96" s="97">
        <v>9.6258023990562994E-3</v>
      </c>
      <c r="U96" s="97">
        <v>7.3115223628469799E-3</v>
      </c>
    </row>
    <row r="97" spans="1:21" s="98" customFormat="1" ht="13" x14ac:dyDescent="0.15">
      <c r="A97" s="96" t="s">
        <v>148</v>
      </c>
      <c r="B97" s="97">
        <v>1.37446641425802E-3</v>
      </c>
      <c r="C97" s="97">
        <v>7.3002449272403002E-3</v>
      </c>
      <c r="D97" s="97">
        <v>1.57544113159204</v>
      </c>
      <c r="E97" s="97">
        <v>9.5871660808282994E-2</v>
      </c>
      <c r="F97" s="97">
        <v>0.54904110880179002</v>
      </c>
      <c r="G97" s="97">
        <v>0.37843800959817397</v>
      </c>
      <c r="H97" s="97">
        <v>-9.8211803017108495E-4</v>
      </c>
      <c r="I97" s="97">
        <v>1.2604610840584399E-2</v>
      </c>
      <c r="J97" s="97">
        <v>3.1646375446596898E-3</v>
      </c>
      <c r="K97" s="97">
        <v>1.1453443771802399E-3</v>
      </c>
      <c r="L97" s="97">
        <v>7.6565022703047601E-4</v>
      </c>
      <c r="M97" s="97">
        <v>7.0096907626749898E-3</v>
      </c>
      <c r="N97" s="97">
        <v>4.3258226234986302E-5</v>
      </c>
      <c r="O97" s="97">
        <v>3.5601060292070499E-3</v>
      </c>
      <c r="P97" s="97">
        <v>0.17854172531745499</v>
      </c>
      <c r="Q97" s="97">
        <v>4.6835970815170699E-2</v>
      </c>
      <c r="R97" s="97">
        <v>1.75667721384695E-3</v>
      </c>
      <c r="S97" s="97">
        <v>5.0241059325161397E-4</v>
      </c>
      <c r="T97" s="97">
        <v>1.45958296530563E-3</v>
      </c>
      <c r="U97" s="97">
        <v>7.0064456781528497E-4</v>
      </c>
    </row>
    <row r="98" spans="1:21" s="98" customFormat="1" ht="13" x14ac:dyDescent="0.15">
      <c r="A98" s="96" t="s">
        <v>148</v>
      </c>
      <c r="B98" s="97">
        <v>1.6332684826447499E-3</v>
      </c>
      <c r="C98" s="97">
        <v>5.2497442542807403E-3</v>
      </c>
      <c r="D98" s="97">
        <v>1.5706595841128299</v>
      </c>
      <c r="E98" s="97">
        <v>9.2885654145218793E-2</v>
      </c>
      <c r="F98" s="97">
        <v>0.55176108373008603</v>
      </c>
      <c r="G98" s="97">
        <v>0.38069392178045303</v>
      </c>
      <c r="H98" s="97">
        <v>-6.1221876076079495E-4</v>
      </c>
      <c r="I98" s="97">
        <v>1.30215005785755E-2</v>
      </c>
      <c r="J98" s="97">
        <v>2.9395040250206101E-3</v>
      </c>
      <c r="K98" s="97">
        <v>1.23847391457315E-3</v>
      </c>
      <c r="L98" s="97">
        <v>7.1408539628246804E-4</v>
      </c>
      <c r="M98" s="97">
        <v>5.1461007495750104E-3</v>
      </c>
      <c r="N98" s="97">
        <v>5.0575746974668199E-5</v>
      </c>
      <c r="O98" s="97">
        <v>2.2165236176051599E-3</v>
      </c>
      <c r="P98" s="97">
        <v>0.182534519892146</v>
      </c>
      <c r="Q98" s="97">
        <v>4.8275568548340003E-2</v>
      </c>
      <c r="R98" s="97">
        <v>1.10195549608529E-3</v>
      </c>
      <c r="S98" s="97">
        <v>8.5252728873086805E-4</v>
      </c>
      <c r="T98" s="97">
        <v>1.4688573622554399E-3</v>
      </c>
      <c r="U98" s="97">
        <v>4.8466240950990398E-4</v>
      </c>
    </row>
    <row r="99" spans="1:21" s="98" customFormat="1" ht="13" x14ac:dyDescent="0.15">
      <c r="A99" s="96" t="s">
        <v>149</v>
      </c>
      <c r="B99" s="97">
        <v>1.55089858084612E-2</v>
      </c>
      <c r="C99" s="97">
        <v>3.1308774512628201E-2</v>
      </c>
      <c r="D99" s="97">
        <v>22.941222211428801</v>
      </c>
      <c r="E99" s="97">
        <v>0.47991184599907399</v>
      </c>
      <c r="F99" s="97">
        <v>3.5992255816643</v>
      </c>
      <c r="G99" s="97">
        <v>1.37764206892112</v>
      </c>
      <c r="H99" s="97">
        <v>1.6642614866427801E-3</v>
      </c>
      <c r="I99" s="97">
        <v>0.115564563486</v>
      </c>
      <c r="J99" s="97">
        <v>1.8772923007073901E-2</v>
      </c>
      <c r="K99" s="97">
        <v>3.6313810932352098E-3</v>
      </c>
      <c r="L99" s="97">
        <v>2.3758167921483601E-3</v>
      </c>
      <c r="M99" s="97">
        <v>3.1057280101846E-2</v>
      </c>
      <c r="N99" s="97">
        <v>3.5476733935591303E-4</v>
      </c>
      <c r="O99" s="97">
        <v>6.9838529485445897E-3</v>
      </c>
      <c r="P99" s="97">
        <v>2.0841214026483499</v>
      </c>
      <c r="Q99" s="97">
        <v>0.19209064155501199</v>
      </c>
      <c r="R99" s="97">
        <v>4.27354131405423E-2</v>
      </c>
      <c r="S99" s="97">
        <v>3.9612427423070501E-2</v>
      </c>
      <c r="T99" s="97">
        <v>4.2700987190167197E-2</v>
      </c>
      <c r="U99" s="97">
        <v>3.7942801478386599E-2</v>
      </c>
    </row>
    <row r="100" spans="1:21" s="98" customFormat="1" ht="13" x14ac:dyDescent="0.15">
      <c r="A100" s="96" t="s">
        <v>149</v>
      </c>
      <c r="B100" s="97">
        <v>1.49713076615412E-2</v>
      </c>
      <c r="C100" s="97">
        <v>3.4125800559359501E-2</v>
      </c>
      <c r="D100" s="97">
        <v>22.5161724503876</v>
      </c>
      <c r="E100" s="97">
        <v>0.47782459670781002</v>
      </c>
      <c r="F100" s="97">
        <v>3.60702357344057</v>
      </c>
      <c r="G100" s="97">
        <v>1.39590269349203</v>
      </c>
      <c r="H100" s="97">
        <v>1.54027780354019E-3</v>
      </c>
      <c r="I100" s="97">
        <v>0.115099577754045</v>
      </c>
      <c r="J100" s="97">
        <v>2.0620538808716799E-2</v>
      </c>
      <c r="K100" s="97">
        <v>3.77042601669427E-3</v>
      </c>
      <c r="L100" s="97">
        <v>2.3299475707466502E-3</v>
      </c>
      <c r="M100" s="97">
        <v>3.05014711299916E-2</v>
      </c>
      <c r="N100" s="97">
        <v>3.0620017338446397E-4</v>
      </c>
      <c r="O100" s="97">
        <v>6.8726122825917601E-3</v>
      </c>
      <c r="P100" s="97">
        <v>2.1010288840244402</v>
      </c>
      <c r="Q100" s="97">
        <v>0.199721751493143</v>
      </c>
      <c r="R100" s="97">
        <v>4.2260690909951E-2</v>
      </c>
      <c r="S100" s="97">
        <v>3.9769683632156397E-2</v>
      </c>
      <c r="T100" s="97">
        <v>4.1109956764432E-2</v>
      </c>
      <c r="U100" s="97">
        <v>3.7401963224028202E-2</v>
      </c>
    </row>
    <row r="101" spans="1:21" s="98" customFormat="1" ht="13" x14ac:dyDescent="0.15">
      <c r="A101" s="96" t="s">
        <v>150</v>
      </c>
      <c r="B101" s="97">
        <v>1.12735917402012E-2</v>
      </c>
      <c r="C101" s="97">
        <v>2.9552816173675001E-2</v>
      </c>
      <c r="D101" s="97">
        <v>20.398855249869801</v>
      </c>
      <c r="E101" s="97">
        <v>0.35480142049915198</v>
      </c>
      <c r="F101" s="97">
        <v>2.2623330634091898</v>
      </c>
      <c r="G101" s="97">
        <v>2.3251362211780902</v>
      </c>
      <c r="H101" s="97">
        <v>2.15024416104265E-4</v>
      </c>
      <c r="I101" s="97">
        <v>0.160960977019694</v>
      </c>
      <c r="J101" s="97">
        <v>1.88203240732106E-2</v>
      </c>
      <c r="K101" s="97">
        <v>3.8618771956929398E-3</v>
      </c>
      <c r="L101" s="97">
        <v>5.8764264372693402E-3</v>
      </c>
      <c r="M101" s="97">
        <v>2.75520409611698E-2</v>
      </c>
      <c r="N101" s="97">
        <v>1.27339179022865E-4</v>
      </c>
      <c r="O101" s="97">
        <v>8.8467695715641597E-3</v>
      </c>
      <c r="P101" s="97">
        <v>0.89856319789848205</v>
      </c>
      <c r="Q101" s="97">
        <v>0.82458075634318195</v>
      </c>
      <c r="R101" s="97">
        <v>2.9154831642218802E-2</v>
      </c>
      <c r="S101" s="97">
        <v>2.64254874979429E-2</v>
      </c>
      <c r="T101" s="97">
        <v>2.8872882637182198E-2</v>
      </c>
      <c r="U101" s="97">
        <v>2.5243526563864499E-2</v>
      </c>
    </row>
    <row r="102" spans="1:21" s="98" customFormat="1" ht="13" x14ac:dyDescent="0.15">
      <c r="A102" s="96" t="s">
        <v>150</v>
      </c>
      <c r="B102" s="97">
        <v>1.1303042415458601E-2</v>
      </c>
      <c r="C102" s="97">
        <v>2.80680718491019E-2</v>
      </c>
      <c r="D102" s="97">
        <v>21.430692767129099</v>
      </c>
      <c r="E102" s="97">
        <v>0.35548295577158301</v>
      </c>
      <c r="F102" s="97">
        <v>2.3008298883352301</v>
      </c>
      <c r="G102" s="97">
        <v>2.3463046696399799</v>
      </c>
      <c r="H102" s="97">
        <v>5.4722330448166503E-4</v>
      </c>
      <c r="I102" s="97">
        <v>0.163478634286774</v>
      </c>
      <c r="J102" s="97">
        <v>1.9000984535278199E-2</v>
      </c>
      <c r="K102" s="97">
        <v>3.7260061129873998E-3</v>
      </c>
      <c r="L102" s="97">
        <v>5.7235081332358499E-3</v>
      </c>
      <c r="M102" s="97">
        <v>2.8812767148899202E-2</v>
      </c>
      <c r="N102" s="97">
        <v>9.0933698920286397E-5</v>
      </c>
      <c r="O102" s="97">
        <v>6.1968443905690397E-3</v>
      </c>
      <c r="P102" s="97">
        <v>0.91013712590697604</v>
      </c>
      <c r="Q102" s="97">
        <v>0.82968319819164105</v>
      </c>
      <c r="R102" s="97">
        <v>2.8089101338219302E-2</v>
      </c>
      <c r="S102" s="97">
        <v>2.61684095999269E-2</v>
      </c>
      <c r="T102" s="97">
        <v>2.8017684014415799E-2</v>
      </c>
      <c r="U102" s="97">
        <v>2.5059482669562899E-2</v>
      </c>
    </row>
    <row r="103" spans="1:21" s="98" customFormat="1" ht="13" x14ac:dyDescent="0.15">
      <c r="A103" s="96" t="s">
        <v>151</v>
      </c>
      <c r="B103" s="97">
        <v>2.0010566992187701E-2</v>
      </c>
      <c r="C103" s="97">
        <v>2.4577431070172399E-2</v>
      </c>
      <c r="D103" s="97">
        <v>19.2237296465775</v>
      </c>
      <c r="E103" s="97">
        <v>0.791020929001236</v>
      </c>
      <c r="F103" s="97">
        <v>4.2272901223876902</v>
      </c>
      <c r="G103" s="97">
        <v>3.2468011057536601</v>
      </c>
      <c r="H103" s="97">
        <v>6.2328238140914305E-4</v>
      </c>
      <c r="I103" s="97">
        <v>0.137234601480447</v>
      </c>
      <c r="J103" s="97">
        <v>4.2703928704978203E-2</v>
      </c>
      <c r="K103" s="97">
        <v>2.6710961851112401E-3</v>
      </c>
      <c r="L103" s="97">
        <v>3.6164616046632301E-3</v>
      </c>
      <c r="M103" s="97">
        <v>4.0303017899665901E-2</v>
      </c>
      <c r="N103" s="97">
        <v>2.5894593743092098E-4</v>
      </c>
      <c r="O103" s="97">
        <v>6.6777375787105001E-3</v>
      </c>
      <c r="P103" s="97">
        <v>1.76708222718574</v>
      </c>
      <c r="Q103" s="97">
        <v>0.15030063431652199</v>
      </c>
      <c r="R103" s="97">
        <v>1.4122204378538899E-2</v>
      </c>
      <c r="S103" s="97">
        <v>7.2622069938934703E-3</v>
      </c>
      <c r="T103" s="97">
        <v>1.33725964841112E-2</v>
      </c>
      <c r="U103" s="97">
        <v>8.1092540587444795E-3</v>
      </c>
    </row>
    <row r="104" spans="1:21" s="98" customFormat="1" ht="13" x14ac:dyDescent="0.15">
      <c r="A104" s="96" t="s">
        <v>151</v>
      </c>
      <c r="B104" s="97">
        <v>1.9277140953407601E-2</v>
      </c>
      <c r="C104" s="97">
        <v>2.0777972916534299E-2</v>
      </c>
      <c r="D104" s="97">
        <v>18.658085098440001</v>
      </c>
      <c r="E104" s="97">
        <v>0.76590040900683598</v>
      </c>
      <c r="F104" s="97">
        <v>4.1432323070995203</v>
      </c>
      <c r="G104" s="97">
        <v>3.1970658667407399</v>
      </c>
      <c r="H104" s="97">
        <v>4.4630211053198502E-4</v>
      </c>
      <c r="I104" s="97">
        <v>0.133556458155841</v>
      </c>
      <c r="J104" s="97">
        <v>4.4482486994576298E-2</v>
      </c>
      <c r="K104" s="97">
        <v>2.3163301270624401E-3</v>
      </c>
      <c r="L104" s="97">
        <v>3.30952316135059E-3</v>
      </c>
      <c r="M104" s="97">
        <v>3.9053440230367303E-2</v>
      </c>
      <c r="N104" s="97">
        <v>2.51923604416514E-4</v>
      </c>
      <c r="O104" s="97">
        <v>6.8279205364820796E-3</v>
      </c>
      <c r="P104" s="97">
        <v>1.7633421798726401</v>
      </c>
      <c r="Q104" s="97">
        <v>0.15581647441052099</v>
      </c>
      <c r="R104" s="97">
        <v>1.23220024980256E-2</v>
      </c>
      <c r="S104" s="97">
        <v>7.1219975031285099E-3</v>
      </c>
      <c r="T104" s="97">
        <v>1.22937576461473E-2</v>
      </c>
      <c r="U104" s="97">
        <v>7.61055432813786E-3</v>
      </c>
    </row>
    <row r="105" spans="1:21" s="98" customFormat="1" ht="13" x14ac:dyDescent="0.15">
      <c r="A105" s="96" t="s">
        <v>152</v>
      </c>
      <c r="B105" s="97">
        <v>5.7263694078009304E-3</v>
      </c>
      <c r="C105" s="97">
        <v>2.06483700481771E-2</v>
      </c>
      <c r="D105" s="97">
        <v>10.1152183708954</v>
      </c>
      <c r="E105" s="97">
        <v>0.26804461279033398</v>
      </c>
      <c r="F105" s="97">
        <v>0.51334065171357102</v>
      </c>
      <c r="G105" s="97">
        <v>1.5675596699393599</v>
      </c>
      <c r="H105" s="97">
        <v>3.1769439114063399E-3</v>
      </c>
      <c r="I105" s="97">
        <v>0.12318443999897</v>
      </c>
      <c r="J105" s="97">
        <v>9.80870808831945E-3</v>
      </c>
      <c r="K105" s="97">
        <v>2.8270186804803502E-3</v>
      </c>
      <c r="L105" s="97">
        <v>4.6164653907592298E-3</v>
      </c>
      <c r="M105" s="97">
        <v>1.30061802665796E-2</v>
      </c>
      <c r="N105" s="97">
        <v>7.1821414965422405E-5</v>
      </c>
      <c r="O105" s="97">
        <v>8.7346376046823198E-3</v>
      </c>
      <c r="P105" s="97">
        <v>0.79603657856058196</v>
      </c>
      <c r="Q105" s="97">
        <v>0.31504612827995598</v>
      </c>
      <c r="R105" s="97">
        <v>1.1943026230186801E-2</v>
      </c>
      <c r="S105" s="97">
        <v>1.0067192779450901E-2</v>
      </c>
      <c r="T105" s="97">
        <v>1.04906841027922E-2</v>
      </c>
      <c r="U105" s="97">
        <v>8.9289486656250906E-3</v>
      </c>
    </row>
    <row r="106" spans="1:21" s="98" customFormat="1" ht="13" x14ac:dyDescent="0.15">
      <c r="A106" s="96" t="s">
        <v>152</v>
      </c>
      <c r="B106" s="97">
        <v>5.8846508656625503E-3</v>
      </c>
      <c r="C106" s="97">
        <v>3.7986467377371602E-2</v>
      </c>
      <c r="D106" s="97">
        <v>9.9863837161397004</v>
      </c>
      <c r="E106" s="97">
        <v>0.268676074733672</v>
      </c>
      <c r="F106" s="97">
        <v>0.52822417383827103</v>
      </c>
      <c r="G106" s="97">
        <v>1.5580090380945399</v>
      </c>
      <c r="H106" s="97">
        <v>2.96579467025818E-3</v>
      </c>
      <c r="I106" s="97">
        <v>0.123594312367886</v>
      </c>
      <c r="J106" s="97">
        <v>9.9466339142542694E-3</v>
      </c>
      <c r="K106" s="97">
        <v>2.9200893030499799E-3</v>
      </c>
      <c r="L106" s="97">
        <v>4.4856566709231297E-3</v>
      </c>
      <c r="M106" s="97">
        <v>1.29331247727813E-2</v>
      </c>
      <c r="N106" s="97">
        <v>6.8710892955537405E-5</v>
      </c>
      <c r="O106" s="97">
        <v>3.70445263748959E-2</v>
      </c>
      <c r="P106" s="97">
        <v>0.78938574862405797</v>
      </c>
      <c r="Q106" s="97">
        <v>0.31105782764189299</v>
      </c>
      <c r="R106" s="97">
        <v>1.11391560249233E-2</v>
      </c>
      <c r="S106" s="97">
        <v>9.0065599785809896E-3</v>
      </c>
      <c r="T106" s="97">
        <v>1.0932328620506899E-2</v>
      </c>
      <c r="U106" s="97">
        <v>8.2779922595563205E-3</v>
      </c>
    </row>
    <row r="107" spans="1:21" s="98" customFormat="1" ht="13" x14ac:dyDescent="0.15">
      <c r="A107" s="96" t="s">
        <v>153</v>
      </c>
      <c r="B107" s="97">
        <v>7.3186082294833801E-3</v>
      </c>
      <c r="C107" s="97">
        <v>1.5632779263512302E-2</v>
      </c>
      <c r="D107" s="97">
        <v>8.5022922417530609</v>
      </c>
      <c r="E107" s="97">
        <v>0.61259199277017895</v>
      </c>
      <c r="F107" s="97">
        <v>1.5511783680209901</v>
      </c>
      <c r="G107" s="97">
        <v>1.09947840022746</v>
      </c>
      <c r="H107" s="97">
        <v>3.0107018145249698E-3</v>
      </c>
      <c r="I107" s="97">
        <v>0.238508211304789</v>
      </c>
      <c r="J107" s="97">
        <v>2.4172692921551098E-2</v>
      </c>
      <c r="K107" s="97">
        <v>1.70071813980079E-3</v>
      </c>
      <c r="L107" s="97">
        <v>5.8308834607396897E-3</v>
      </c>
      <c r="M107" s="97">
        <v>3.0219997820809402E-2</v>
      </c>
      <c r="N107" s="97">
        <v>2.0493253080710599E-4</v>
      </c>
      <c r="O107" s="97">
        <v>7.23587708649153E-3</v>
      </c>
      <c r="P107" s="97">
        <v>1.58605061120299</v>
      </c>
      <c r="Q107" s="97">
        <v>0.31027317554869499</v>
      </c>
      <c r="R107" s="97">
        <v>4.9481064627001102E-2</v>
      </c>
      <c r="S107" s="97">
        <v>4.8133244529307402E-2</v>
      </c>
      <c r="T107" s="97">
        <v>4.9896066008488102E-2</v>
      </c>
      <c r="U107" s="97">
        <v>4.7360147097420903E-2</v>
      </c>
    </row>
    <row r="108" spans="1:21" s="98" customFormat="1" ht="13" x14ac:dyDescent="0.15">
      <c r="A108" s="96" t="s">
        <v>153</v>
      </c>
      <c r="B108" s="97">
        <v>7.9662594102854097E-3</v>
      </c>
      <c r="C108" s="97">
        <v>1.5370963702667601E-2</v>
      </c>
      <c r="D108" s="97">
        <v>8.9563561922620796</v>
      </c>
      <c r="E108" s="97">
        <v>0.63189016457639602</v>
      </c>
      <c r="F108" s="97">
        <v>1.5712990995437299</v>
      </c>
      <c r="G108" s="97">
        <v>1.11470330968403</v>
      </c>
      <c r="H108" s="97">
        <v>3.78714150972637E-3</v>
      </c>
      <c r="I108" s="97">
        <v>0.243327814602565</v>
      </c>
      <c r="J108" s="97">
        <v>0.11313558181168799</v>
      </c>
      <c r="K108" s="97">
        <v>1.49411141678081E-3</v>
      </c>
      <c r="L108" s="97">
        <v>6.2827255029474297E-3</v>
      </c>
      <c r="M108" s="97">
        <v>3.0646417757433299E-2</v>
      </c>
      <c r="N108" s="97">
        <v>1.82914418757516E-4</v>
      </c>
      <c r="O108" s="97">
        <v>2.3512806896705801E-2</v>
      </c>
      <c r="P108" s="97">
        <v>1.5526073849840301</v>
      </c>
      <c r="Q108" s="97">
        <v>0.31356353496796102</v>
      </c>
      <c r="R108" s="97">
        <v>5.00876636871707E-2</v>
      </c>
      <c r="S108" s="97">
        <v>4.9255505200262499E-2</v>
      </c>
      <c r="T108" s="97">
        <v>4.7677505052699902E-2</v>
      </c>
      <c r="U108" s="97">
        <v>4.7544164158275198E-2</v>
      </c>
    </row>
    <row r="109" spans="1:21" s="98" customFormat="1" ht="13" x14ac:dyDescent="0.15">
      <c r="A109" s="96" t="s">
        <v>154</v>
      </c>
      <c r="B109" s="97">
        <v>3.87604693470781E-3</v>
      </c>
      <c r="C109" s="97">
        <v>1.04466435247366E-2</v>
      </c>
      <c r="D109" s="97">
        <v>0.745079654910484</v>
      </c>
      <c r="E109" s="97">
        <v>0.128845309197194</v>
      </c>
      <c r="F109" s="97">
        <v>0.53974043355900403</v>
      </c>
      <c r="G109" s="97">
        <v>0.24051415824936601</v>
      </c>
      <c r="H109" s="97">
        <v>-7.1052567905237698E-4</v>
      </c>
      <c r="I109" s="97">
        <v>4.3611303623584299E-2</v>
      </c>
      <c r="J109" s="97">
        <v>1.28477346721345E-2</v>
      </c>
      <c r="K109" s="97">
        <v>4.01100818717488E-4</v>
      </c>
      <c r="L109" s="97">
        <v>1.75434487165826E-3</v>
      </c>
      <c r="M109" s="97">
        <v>4.3733787898835403E-3</v>
      </c>
      <c r="N109" s="97">
        <v>4.5386603886392398E-5</v>
      </c>
      <c r="O109" s="97">
        <v>3.2051084798871698E-3</v>
      </c>
      <c r="P109" s="97">
        <v>0.36036428212296401</v>
      </c>
      <c r="Q109" s="97">
        <v>0.117804632375667</v>
      </c>
      <c r="R109" s="97">
        <v>4.4778260062413302E-3</v>
      </c>
      <c r="S109" s="97">
        <v>2.6523785612993099E-3</v>
      </c>
      <c r="T109" s="97">
        <v>3.2278056135466001E-3</v>
      </c>
      <c r="U109" s="97">
        <v>2.5650443225252498E-3</v>
      </c>
    </row>
    <row r="110" spans="1:21" s="98" customFormat="1" ht="13" x14ac:dyDescent="0.15">
      <c r="A110" s="96" t="s">
        <v>154</v>
      </c>
      <c r="B110" s="97">
        <v>3.6977039137652298E-3</v>
      </c>
      <c r="C110" s="97">
        <v>1.02272125582094E-2</v>
      </c>
      <c r="D110" s="97">
        <v>0.73976683327062098</v>
      </c>
      <c r="E110" s="97">
        <v>0.12859311315170099</v>
      </c>
      <c r="F110" s="97">
        <v>0.53656515706969399</v>
      </c>
      <c r="G110" s="97">
        <v>0.23613794506990601</v>
      </c>
      <c r="H110" s="97">
        <v>-7.7898676003993199E-4</v>
      </c>
      <c r="I110" s="97">
        <v>4.30722540901953E-2</v>
      </c>
      <c r="J110" s="97">
        <v>1.2146526007927001E-2</v>
      </c>
      <c r="K110" s="97">
        <v>1.79387110113987E-4</v>
      </c>
      <c r="L110" s="97">
        <v>1.76108155755563E-3</v>
      </c>
      <c r="M110" s="97">
        <v>4.4952790350030096E-3</v>
      </c>
      <c r="N110" s="97">
        <v>4.0290173125982099E-5</v>
      </c>
      <c r="O110" s="97">
        <v>3.2105495652496601E-3</v>
      </c>
      <c r="P110" s="97">
        <v>0.34649988777028901</v>
      </c>
      <c r="Q110" s="97">
        <v>0.11538508007543601</v>
      </c>
      <c r="R110" s="97">
        <v>2.9176354742104301E-3</v>
      </c>
      <c r="S110" s="97">
        <v>3.1220165324861398E-3</v>
      </c>
      <c r="T110" s="97">
        <v>3.6836903082846499E-3</v>
      </c>
      <c r="U110" s="97">
        <v>3.0089016527736702E-3</v>
      </c>
    </row>
    <row r="111" spans="1:21" s="98" customFormat="1" ht="13" x14ac:dyDescent="0.15">
      <c r="A111" s="96" t="s">
        <v>155</v>
      </c>
      <c r="B111" s="97">
        <v>1.6599488030273502E-2</v>
      </c>
      <c r="C111" s="97">
        <v>5.3865672040092696E-3</v>
      </c>
      <c r="D111" s="97">
        <v>12.874070621885799</v>
      </c>
      <c r="E111" s="97">
        <v>0.321663489447229</v>
      </c>
      <c r="F111" s="97">
        <v>3.55941309632242</v>
      </c>
      <c r="G111" s="97">
        <v>0.59631849056090203</v>
      </c>
      <c r="H111" s="97">
        <v>5.0840047767930204E-4</v>
      </c>
      <c r="I111" s="97">
        <v>0.123135175222483</v>
      </c>
      <c r="J111" s="97">
        <v>4.1990885477420997E-2</v>
      </c>
      <c r="K111" s="97">
        <v>3.4519364055409802E-3</v>
      </c>
      <c r="L111" s="97">
        <v>2.6688546462451902E-3</v>
      </c>
      <c r="M111" s="97">
        <v>2.2760625336693201E-2</v>
      </c>
      <c r="N111" s="97">
        <v>6.7439299346050603E-4</v>
      </c>
      <c r="O111" s="97">
        <v>5.2250590777652099E-3</v>
      </c>
      <c r="P111" s="97">
        <v>1.0817431554227599</v>
      </c>
      <c r="Q111" s="97">
        <v>0.12968530209722301</v>
      </c>
      <c r="R111" s="97">
        <v>1.06128219341929E-2</v>
      </c>
      <c r="S111" s="97">
        <v>5.1515830566768103E-3</v>
      </c>
      <c r="T111" s="97">
        <v>1.04463709750694E-2</v>
      </c>
      <c r="U111" s="97">
        <v>4.3849432837442604E-3</v>
      </c>
    </row>
    <row r="112" spans="1:21" s="98" customFormat="1" ht="13" x14ac:dyDescent="0.15">
      <c r="A112" s="96" t="s">
        <v>155</v>
      </c>
      <c r="B112" s="97">
        <v>2.1320815779127401E-2</v>
      </c>
      <c r="C112" s="97">
        <v>1.11247169815488E-2</v>
      </c>
      <c r="D112" s="97">
        <v>23.972293844096001</v>
      </c>
      <c r="E112" s="97">
        <v>0.33525750812328398</v>
      </c>
      <c r="F112" s="97">
        <v>3.5922201164769101</v>
      </c>
      <c r="G112" s="97">
        <v>0.58930801728907301</v>
      </c>
      <c r="H112" s="97">
        <v>1.86389178005753E-3</v>
      </c>
      <c r="I112" s="97">
        <v>0.11833983803776101</v>
      </c>
      <c r="J112" s="97">
        <v>4.2974355094100303E-2</v>
      </c>
      <c r="K112" s="97">
        <v>2.8133936558268498E-3</v>
      </c>
      <c r="L112" s="97">
        <v>2.6239452660157302E-3</v>
      </c>
      <c r="M112" s="97">
        <v>2.3708632418594999E-2</v>
      </c>
      <c r="N112" s="97">
        <v>6.3934940171029902E-4</v>
      </c>
      <c r="O112" s="97">
        <v>9.06099557082643E-3</v>
      </c>
      <c r="P112" s="97">
        <v>1.10602602687165</v>
      </c>
      <c r="Q112" s="97">
        <v>0.124997897436133</v>
      </c>
      <c r="R112" s="97">
        <v>1.05435612302238E-2</v>
      </c>
      <c r="S112" s="97">
        <v>4.76392726769453E-3</v>
      </c>
      <c r="T112" s="97">
        <v>1.14171316936558E-2</v>
      </c>
      <c r="U112" s="97">
        <v>5.0488855241547304E-3</v>
      </c>
    </row>
    <row r="113" spans="1:21" s="98" customFormat="1" ht="13" x14ac:dyDescent="0.15">
      <c r="A113" s="96" t="s">
        <v>156</v>
      </c>
      <c r="B113" s="97">
        <v>1.35186110264667E-2</v>
      </c>
      <c r="C113" s="97">
        <v>4.2221078991262401E-2</v>
      </c>
      <c r="D113" s="97">
        <v>13.227007167563499</v>
      </c>
      <c r="E113" s="97">
        <v>0.38742682470803302</v>
      </c>
      <c r="F113" s="97">
        <v>5.0159306897620501</v>
      </c>
      <c r="G113" s="97">
        <v>2.3699476941887601</v>
      </c>
      <c r="H113" s="97">
        <v>2.9120678095739799E-3</v>
      </c>
      <c r="I113" s="97">
        <v>0.40038246679134598</v>
      </c>
      <c r="J113" s="97">
        <v>2.7470322786814098E-2</v>
      </c>
      <c r="K113" s="97">
        <v>4.7782448969555698E-3</v>
      </c>
      <c r="L113" s="97">
        <v>6.28569752526539E-3</v>
      </c>
      <c r="M113" s="97">
        <v>3.0699010462119501E-2</v>
      </c>
      <c r="N113" s="97">
        <v>5.1321940124325399E-4</v>
      </c>
      <c r="O113" s="97">
        <v>9.14363073412338E-2</v>
      </c>
      <c r="P113" s="97">
        <v>1.60939149406224</v>
      </c>
      <c r="Q113" s="97">
        <v>0.37876444525965502</v>
      </c>
      <c r="R113" s="97">
        <v>3.3576525626193399E-2</v>
      </c>
      <c r="S113" s="97">
        <v>2.86174329919072E-2</v>
      </c>
      <c r="T113" s="97">
        <v>3.4865578796366703E-2</v>
      </c>
      <c r="U113" s="97">
        <v>2.8661425384639599E-2</v>
      </c>
    </row>
    <row r="114" spans="1:21" s="98" customFormat="1" ht="13" x14ac:dyDescent="0.15">
      <c r="A114" s="96" t="s">
        <v>156</v>
      </c>
      <c r="B114" s="97">
        <v>1.16598863789605E-2</v>
      </c>
      <c r="C114" s="97">
        <v>3.4498741614987199E-2</v>
      </c>
      <c r="D114" s="97">
        <v>5.9940082983054701</v>
      </c>
      <c r="E114" s="97">
        <v>0.37597358734756497</v>
      </c>
      <c r="F114" s="97">
        <v>4.9600372744707899</v>
      </c>
      <c r="G114" s="97">
        <v>2.3402350827260001</v>
      </c>
      <c r="H114" s="97">
        <v>-9.5037870615498807E-5</v>
      </c>
      <c r="I114" s="97">
        <v>0.39988888825491098</v>
      </c>
      <c r="J114" s="97">
        <v>2.6661129102394099E-2</v>
      </c>
      <c r="K114" s="97">
        <v>4.3775337029268299E-3</v>
      </c>
      <c r="L114" s="97">
        <v>6.2876460540721001E-3</v>
      </c>
      <c r="M114" s="97">
        <v>2.9090884484767699E-2</v>
      </c>
      <c r="N114" s="97">
        <v>4.79649202000444E-4</v>
      </c>
      <c r="O114" s="97">
        <v>8.8684017410617794E-2</v>
      </c>
      <c r="P114" s="97">
        <v>1.61666270025165</v>
      </c>
      <c r="Q114" s="97">
        <v>0.37333438121239898</v>
      </c>
      <c r="R114" s="97">
        <v>3.31539780449224E-2</v>
      </c>
      <c r="S114" s="97">
        <v>2.8513952390535498E-2</v>
      </c>
      <c r="T114" s="97">
        <v>3.4639192563551399E-2</v>
      </c>
      <c r="U114" s="97">
        <v>2.82372305624672E-2</v>
      </c>
    </row>
    <row r="115" spans="1:21" s="98" customFormat="1" ht="13" x14ac:dyDescent="0.15">
      <c r="A115" s="96" t="s">
        <v>157</v>
      </c>
      <c r="B115" s="97">
        <v>6.6946502545893903E-3</v>
      </c>
      <c r="C115" s="97">
        <v>4.0842131991484804E-3</v>
      </c>
      <c r="D115" s="97">
        <v>5.2796453960752796</v>
      </c>
      <c r="E115" s="97">
        <v>0.15423745457767801</v>
      </c>
      <c r="F115" s="97">
        <v>1.1683988534754799</v>
      </c>
      <c r="G115" s="97">
        <v>0.78054657746595801</v>
      </c>
      <c r="H115" s="97">
        <v>-5.06096976747862E-4</v>
      </c>
      <c r="I115" s="97">
        <v>6.38092590739789E-2</v>
      </c>
      <c r="J115" s="97">
        <v>8.5052132556677207E-3</v>
      </c>
      <c r="K115" s="97">
        <v>4.1877030390955302E-4</v>
      </c>
      <c r="L115" s="97">
        <v>3.8323319258531901E-3</v>
      </c>
      <c r="M115" s="97">
        <v>1.57354996326225E-2</v>
      </c>
      <c r="N115" s="97">
        <v>6.6678318161413896E-5</v>
      </c>
      <c r="O115" s="97">
        <v>2.73907021632557E-3</v>
      </c>
      <c r="P115" s="97">
        <v>0.74741837757347895</v>
      </c>
      <c r="Q115" s="97">
        <v>0.241375996925665</v>
      </c>
      <c r="R115" s="97">
        <v>1.1040472214822E-2</v>
      </c>
      <c r="S115" s="97">
        <v>7.7494719786399598E-3</v>
      </c>
      <c r="T115" s="97">
        <v>1.06779570613334E-2</v>
      </c>
      <c r="U115" s="97">
        <v>8.1812079377747392E-3</v>
      </c>
    </row>
    <row r="116" spans="1:21" s="98" customFormat="1" ht="13" x14ac:dyDescent="0.15">
      <c r="A116" s="96" t="s">
        <v>157</v>
      </c>
      <c r="B116" s="97">
        <v>6.6362083691613996E-3</v>
      </c>
      <c r="C116" s="97">
        <v>4.2771281354916698E-3</v>
      </c>
      <c r="D116" s="97">
        <v>5.2576316961495699</v>
      </c>
      <c r="E116" s="97">
        <v>0.15416453133848401</v>
      </c>
      <c r="F116" s="97">
        <v>1.15726841851886</v>
      </c>
      <c r="G116" s="97">
        <v>0.78454759934606499</v>
      </c>
      <c r="H116" s="97">
        <v>-3.9982313705735803E-4</v>
      </c>
      <c r="I116" s="97">
        <v>6.4387282243823396E-2</v>
      </c>
      <c r="J116" s="97">
        <v>1.6951860595786999E-2</v>
      </c>
      <c r="K116" s="97">
        <v>5.4175400961585702E-4</v>
      </c>
      <c r="L116" s="97">
        <v>3.6969458278813998E-3</v>
      </c>
      <c r="M116" s="97">
        <v>1.6152964582116802E-2</v>
      </c>
      <c r="N116" s="97">
        <v>6.7877346246414299E-5</v>
      </c>
      <c r="O116" s="97">
        <v>3.00257331877792E-3</v>
      </c>
      <c r="P116" s="97">
        <v>0.78441750520194997</v>
      </c>
      <c r="Q116" s="97">
        <v>0.25276370282724098</v>
      </c>
      <c r="R116" s="97">
        <v>1.24817702220325E-2</v>
      </c>
      <c r="S116" s="97">
        <v>7.7011116613901103E-3</v>
      </c>
      <c r="T116" s="97">
        <v>1.0401502902217301E-2</v>
      </c>
      <c r="U116" s="97">
        <v>8.3082471919577808E-3</v>
      </c>
    </row>
    <row r="117" spans="1:21" s="98" customFormat="1" ht="13" x14ac:dyDescent="0.15">
      <c r="A117" s="96" t="s">
        <v>158</v>
      </c>
      <c r="B117" s="97">
        <v>9.1658793884425108E-3</v>
      </c>
      <c r="C117" s="97">
        <v>3.9559382727068999E-2</v>
      </c>
      <c r="D117" s="97">
        <v>10.8423406557703</v>
      </c>
      <c r="E117" s="97">
        <v>0.188474922768957</v>
      </c>
      <c r="F117" s="97">
        <v>2.7322927735640801</v>
      </c>
      <c r="G117" s="97">
        <v>0.33572481265745002</v>
      </c>
      <c r="H117" s="97">
        <v>2.83123190088086E-3</v>
      </c>
      <c r="I117" s="97">
        <v>9.9121271648443907E-2</v>
      </c>
      <c r="J117" s="97">
        <v>2.4399292870085E-2</v>
      </c>
      <c r="K117" s="97">
        <v>5.8210960861845504E-4</v>
      </c>
      <c r="L117" s="97">
        <v>2.5840805150798801E-3</v>
      </c>
      <c r="M117" s="97">
        <v>1.9008161427987901E-2</v>
      </c>
      <c r="N117" s="97">
        <v>1.07106715027376E-4</v>
      </c>
      <c r="O117" s="97">
        <v>6.4146349814283802E-3</v>
      </c>
      <c r="P117" s="97">
        <v>0.58542612066107502</v>
      </c>
      <c r="Q117" s="97">
        <v>0.249109853816877</v>
      </c>
      <c r="R117" s="97">
        <v>1.6423798120237899E-2</v>
      </c>
      <c r="S117" s="97">
        <v>1.3579878423067701E-2</v>
      </c>
      <c r="T117" s="97">
        <v>1.48655407326884E-2</v>
      </c>
      <c r="U117" s="97">
        <v>1.28571302866808E-2</v>
      </c>
    </row>
    <row r="118" spans="1:21" s="98" customFormat="1" ht="13" x14ac:dyDescent="0.15">
      <c r="A118" s="96" t="s">
        <v>159</v>
      </c>
      <c r="B118" s="97">
        <v>7.5279640239761603E-3</v>
      </c>
      <c r="C118" s="97">
        <v>3.6497104401676E-2</v>
      </c>
      <c r="D118" s="97">
        <v>32.4767819910493</v>
      </c>
      <c r="E118" s="97">
        <v>0.28519764896050098</v>
      </c>
      <c r="F118" s="97">
        <v>2.2394602600081002</v>
      </c>
      <c r="G118" s="97">
        <v>1.77612890923127</v>
      </c>
      <c r="H118" s="97">
        <v>1.9473252083804301E-3</v>
      </c>
      <c r="I118" s="97">
        <v>0.189737552161131</v>
      </c>
      <c r="J118" s="97">
        <v>1.2093476386490699E-2</v>
      </c>
      <c r="K118" s="97">
        <v>1.3892053340028901E-2</v>
      </c>
      <c r="L118" s="97">
        <v>3.0115583060106401E-3</v>
      </c>
      <c r="M118" s="97">
        <v>1.03055127316971E-2</v>
      </c>
      <c r="N118" s="97">
        <v>6.7782044306425096E-4</v>
      </c>
      <c r="O118" s="97">
        <v>3.2869459804332401E-3</v>
      </c>
      <c r="P118" s="97">
        <v>1.2947443774354901</v>
      </c>
      <c r="Q118" s="97">
        <v>0.51585727500713296</v>
      </c>
      <c r="R118" s="97">
        <v>1.37154729811827E-2</v>
      </c>
      <c r="S118" s="97">
        <v>9.2619244111394102E-3</v>
      </c>
      <c r="T118" s="97">
        <v>1.17014751336141E-2</v>
      </c>
      <c r="U118" s="97">
        <v>8.4224837618940597E-3</v>
      </c>
    </row>
    <row r="119" spans="1:21" s="98" customFormat="1" ht="13" x14ac:dyDescent="0.15">
      <c r="A119" s="96" t="s">
        <v>160</v>
      </c>
      <c r="B119" s="97">
        <v>7.6210521273082201E-3</v>
      </c>
      <c r="C119" s="97">
        <v>2.3935136270049701E-2</v>
      </c>
      <c r="D119" s="97">
        <v>7.6110890447532897</v>
      </c>
      <c r="E119" s="97">
        <v>0.33845210381650798</v>
      </c>
      <c r="F119" s="97">
        <v>0.95378949056788098</v>
      </c>
      <c r="G119" s="97">
        <v>0.80038635889464904</v>
      </c>
      <c r="H119" s="97">
        <v>1.3677874139245E-3</v>
      </c>
      <c r="I119" s="97">
        <v>0.241831179240143</v>
      </c>
      <c r="J119" s="97">
        <v>1.2282977230252901E-2</v>
      </c>
      <c r="K119" s="97">
        <v>1.0051382452532099E-3</v>
      </c>
      <c r="L119" s="97">
        <v>1.11810141372688E-2</v>
      </c>
      <c r="M119" s="97">
        <v>2.1169720422474302E-2</v>
      </c>
      <c r="N119" s="97">
        <v>1.9560527809921001E-4</v>
      </c>
      <c r="O119" s="97">
        <v>3.3201049104217401E-3</v>
      </c>
      <c r="P119" s="97">
        <v>1.7817594266008701</v>
      </c>
      <c r="Q119" s="97">
        <v>0.14523401303797501</v>
      </c>
      <c r="R119" s="97">
        <v>1.7298043139223802E-2</v>
      </c>
      <c r="S119" s="97">
        <v>1.3998796208968101E-2</v>
      </c>
      <c r="T119" s="97">
        <v>1.53897553110588E-2</v>
      </c>
      <c r="U119" s="97">
        <v>1.31072767728644E-2</v>
      </c>
    </row>
    <row r="120" spans="1:21" s="98" customFormat="1" ht="13" x14ac:dyDescent="0.15">
      <c r="A120" s="96" t="s">
        <v>161</v>
      </c>
      <c r="B120" s="97">
        <v>1.50566497993811E-2</v>
      </c>
      <c r="C120" s="97">
        <v>6.1801939718370502E-2</v>
      </c>
      <c r="D120" s="97">
        <v>8.4707877980041708</v>
      </c>
      <c r="E120" s="97">
        <v>0.519303365339434</v>
      </c>
      <c r="F120" s="97">
        <v>0.92599526580837999</v>
      </c>
      <c r="G120" s="97">
        <v>1.03411425769196</v>
      </c>
      <c r="H120" s="97">
        <v>1.6603546278588499E-3</v>
      </c>
      <c r="I120" s="97">
        <v>0.16216571806276001</v>
      </c>
      <c r="J120" s="97">
        <v>1.27102370161132E-2</v>
      </c>
      <c r="K120" s="97">
        <v>8.52262066707831E-4</v>
      </c>
      <c r="L120" s="97">
        <v>3.4533818419913102E-3</v>
      </c>
      <c r="M120" s="97">
        <v>3.3914235309763001E-2</v>
      </c>
      <c r="N120" s="97">
        <v>1.24634451420274E-4</v>
      </c>
      <c r="O120" s="97">
        <v>5.0675558104637903E-3</v>
      </c>
      <c r="P120" s="97">
        <v>1.2258070111644399</v>
      </c>
      <c r="Q120" s="97">
        <v>0.12892112227591901</v>
      </c>
      <c r="R120" s="97">
        <v>1.5763061422183901E-2</v>
      </c>
      <c r="S120" s="97">
        <v>1.27224109462838E-2</v>
      </c>
      <c r="T120" s="97">
        <v>1.40229813409233E-2</v>
      </c>
      <c r="U120" s="97">
        <v>1.16383786116295E-2</v>
      </c>
    </row>
    <row r="121" spans="1:21" s="98" customFormat="1" ht="13" x14ac:dyDescent="0.15">
      <c r="A121" s="96" t="s">
        <v>162</v>
      </c>
      <c r="B121" s="97">
        <v>6.3412318004245601E-3</v>
      </c>
      <c r="C121" s="97">
        <v>2.73693967168297E-2</v>
      </c>
      <c r="D121" s="97">
        <v>5.9519811646212597</v>
      </c>
      <c r="E121" s="97">
        <v>0.26010397369319499</v>
      </c>
      <c r="F121" s="97">
        <v>2.7809900123141298</v>
      </c>
      <c r="G121" s="97">
        <v>0.68474333435186896</v>
      </c>
      <c r="H121" s="97">
        <v>9.5641905049791999E-4</v>
      </c>
      <c r="I121" s="97">
        <v>7.6806830811143395E-2</v>
      </c>
      <c r="J121" s="97">
        <v>5.3981482200576199E-2</v>
      </c>
      <c r="K121" s="97">
        <v>9.0306374999154604E-4</v>
      </c>
      <c r="L121" s="97">
        <v>3.0576131795881601E-3</v>
      </c>
      <c r="M121" s="97">
        <v>1.44334317929422E-2</v>
      </c>
      <c r="N121" s="97">
        <v>5.9738504194513901E-5</v>
      </c>
      <c r="O121" s="97">
        <v>1.2281251864533699E-3</v>
      </c>
      <c r="P121" s="97">
        <v>0.83211488687497903</v>
      </c>
      <c r="Q121" s="97">
        <v>1.8863829156171801</v>
      </c>
      <c r="R121" s="97">
        <v>1.25647092446644E-2</v>
      </c>
      <c r="S121" s="97">
        <v>9.71712287124386E-3</v>
      </c>
      <c r="T121" s="97">
        <v>1.17147935649538E-2</v>
      </c>
      <c r="U121" s="97">
        <v>9.0259881116989508E-3</v>
      </c>
    </row>
    <row r="122" spans="1:21" s="98" customFormat="1" ht="13" x14ac:dyDescent="0.15">
      <c r="A122" s="96" t="s">
        <v>163</v>
      </c>
      <c r="B122" s="97">
        <v>7.8113737737495496E-3</v>
      </c>
      <c r="C122" s="97">
        <v>0.13048375163254999</v>
      </c>
      <c r="D122" s="97">
        <v>15.584024016788399</v>
      </c>
      <c r="E122" s="97">
        <v>0.44921679719433999</v>
      </c>
      <c r="F122" s="97">
        <v>2.9407865842624599</v>
      </c>
      <c r="G122" s="97">
        <v>2.5472495684348999</v>
      </c>
      <c r="H122" s="97">
        <v>4.2575751558224101E-3</v>
      </c>
      <c r="I122" s="97">
        <v>0.110631042466404</v>
      </c>
      <c r="J122" s="97">
        <v>6.16610574341507E-2</v>
      </c>
      <c r="K122" s="97">
        <v>2.2109515838583901E-3</v>
      </c>
      <c r="L122" s="97">
        <v>3.10975368090439E-3</v>
      </c>
      <c r="M122" s="97">
        <v>1.7481005048249301E-2</v>
      </c>
      <c r="N122" s="97">
        <v>1.45253780957857E-4</v>
      </c>
      <c r="O122" s="97">
        <v>1.1310586868187001E-2</v>
      </c>
      <c r="P122" s="97">
        <v>1.65007570119164</v>
      </c>
      <c r="Q122" s="97">
        <v>0.36496480483625898</v>
      </c>
      <c r="R122" s="97">
        <v>1.23238961003409E-2</v>
      </c>
      <c r="S122" s="97">
        <v>8.6393700338646805E-3</v>
      </c>
      <c r="T122" s="97">
        <v>1.1074583001234E-2</v>
      </c>
      <c r="U122" s="97">
        <v>6.3366479670827897E-3</v>
      </c>
    </row>
    <row r="123" spans="1:21" s="98" customFormat="1" ht="13" x14ac:dyDescent="0.15">
      <c r="A123" s="96" t="s">
        <v>164</v>
      </c>
      <c r="B123" s="97">
        <v>3.5789177711937101E-3</v>
      </c>
      <c r="C123" s="97">
        <v>1.0710655125311301E-2</v>
      </c>
      <c r="D123" s="97">
        <v>3.26600302811794</v>
      </c>
      <c r="E123" s="97">
        <v>9.0394208886672794E-2</v>
      </c>
      <c r="F123" s="97">
        <v>0.84942774546820399</v>
      </c>
      <c r="G123" s="97">
        <v>0.50048940910301498</v>
      </c>
      <c r="H123" s="97">
        <v>5.9377856341908601E-4</v>
      </c>
      <c r="I123" s="97">
        <v>3.6354467515871999E-2</v>
      </c>
      <c r="J123" s="97">
        <v>6.6739112901205103E-3</v>
      </c>
      <c r="K123" s="97">
        <v>4.8701441773523803E-4</v>
      </c>
      <c r="L123" s="97">
        <v>1.4906247712123701E-3</v>
      </c>
      <c r="M123" s="97">
        <v>1.22304286039007E-2</v>
      </c>
      <c r="N123" s="97">
        <v>2.09534328632095E-5</v>
      </c>
      <c r="O123" s="97">
        <v>-4.05819330586945E-4</v>
      </c>
      <c r="P123" s="97">
        <v>0.22431853655831699</v>
      </c>
      <c r="Q123" s="97">
        <v>7.7193656903414801E-2</v>
      </c>
      <c r="R123" s="97">
        <v>5.9127836079054799E-3</v>
      </c>
      <c r="S123" s="97">
        <v>4.1073992192446496E-3</v>
      </c>
      <c r="T123" s="97">
        <v>4.3354214456964796E-3</v>
      </c>
      <c r="U123" s="97">
        <v>3.9779438230003704E-3</v>
      </c>
    </row>
    <row r="124" spans="1:21" s="98" customFormat="1" ht="13" x14ac:dyDescent="0.15">
      <c r="A124" s="96" t="s">
        <v>165</v>
      </c>
      <c r="B124" s="97">
        <v>3.2294933854604899E-3</v>
      </c>
      <c r="C124" s="97">
        <v>3.3773244820924801E-2</v>
      </c>
      <c r="D124" s="97">
        <v>15.4588497507072</v>
      </c>
      <c r="E124" s="97">
        <v>0.15542427464309599</v>
      </c>
      <c r="F124" s="97">
        <v>0.242234133862375</v>
      </c>
      <c r="G124" s="97">
        <v>0.27710534988892899</v>
      </c>
      <c r="H124" s="97">
        <v>6.7703119546805605E-4</v>
      </c>
      <c r="I124" s="97">
        <v>3.76553242152892E-2</v>
      </c>
      <c r="J124" s="97">
        <v>3.76704805314138E-3</v>
      </c>
      <c r="K124" s="97">
        <v>7.1964242307333195E-4</v>
      </c>
      <c r="L124" s="97">
        <v>1.0372072034514001E-3</v>
      </c>
      <c r="M124" s="97">
        <v>6.0084595239802401E-3</v>
      </c>
      <c r="N124" s="97">
        <v>7.4349688175212199E-5</v>
      </c>
      <c r="O124" s="97">
        <v>1.4336108256574E-3</v>
      </c>
      <c r="P124" s="97">
        <v>0.28603243614950202</v>
      </c>
      <c r="Q124" s="97">
        <v>0.11750816937636099</v>
      </c>
      <c r="R124" s="97">
        <v>1.41271874081165E-2</v>
      </c>
      <c r="S124" s="97">
        <v>1.4210570426427101E-2</v>
      </c>
      <c r="T124" s="97">
        <v>1.3815452748213801E-2</v>
      </c>
      <c r="U124" s="97">
        <v>1.27918262628371E-2</v>
      </c>
    </row>
    <row r="125" spans="1:21" s="98" customFormat="1" ht="13" x14ac:dyDescent="0.15">
      <c r="A125" s="96" t="s">
        <v>166</v>
      </c>
      <c r="B125" s="97">
        <v>3.4314313716132798E-2</v>
      </c>
      <c r="C125" s="97">
        <v>0.10926189223065499</v>
      </c>
      <c r="D125" s="97">
        <v>12.841708942669401</v>
      </c>
      <c r="E125" s="97">
        <v>0.48075263116959599</v>
      </c>
      <c r="F125" s="97">
        <v>2.43913592994108</v>
      </c>
      <c r="G125" s="97">
        <v>0.73852309648300496</v>
      </c>
      <c r="H125" s="97">
        <v>2.5815300338827298E-3</v>
      </c>
      <c r="I125" s="97">
        <v>0.21016586667495801</v>
      </c>
      <c r="J125" s="97">
        <v>7.25126121126725E-2</v>
      </c>
      <c r="K125" s="97">
        <v>3.9548796772663101E-4</v>
      </c>
      <c r="L125" s="97">
        <v>3.3897746618528502E-3</v>
      </c>
      <c r="M125" s="97">
        <v>9.8877291585987796E-3</v>
      </c>
      <c r="N125" s="97">
        <v>4.68810010106496E-5</v>
      </c>
      <c r="O125" s="97">
        <v>2.6283733712692402E-2</v>
      </c>
      <c r="P125" s="97">
        <v>1.1081089571506799</v>
      </c>
      <c r="Q125" s="97">
        <v>0.33837614170891001</v>
      </c>
      <c r="R125" s="97">
        <v>6.4470695338799998E-3</v>
      </c>
      <c r="S125" s="97">
        <v>3.6065750585645199E-3</v>
      </c>
      <c r="T125" s="97">
        <v>5.7965451288646101E-3</v>
      </c>
      <c r="U125" s="97">
        <v>3.5764857413330699E-3</v>
      </c>
    </row>
    <row r="126" spans="1:21" s="98" customFormat="1" ht="13" x14ac:dyDescent="0.15">
      <c r="A126" s="96" t="s">
        <v>167</v>
      </c>
      <c r="B126" s="97">
        <v>7.8054466730247702E-3</v>
      </c>
      <c r="C126" s="97">
        <v>3.7938165966373297E-2</v>
      </c>
      <c r="D126" s="97">
        <v>19.006785169260901</v>
      </c>
      <c r="E126" s="97">
        <v>0.35090558502968</v>
      </c>
      <c r="F126" s="97">
        <v>2.6287529039673898</v>
      </c>
      <c r="G126" s="97">
        <v>0.36276541675839602</v>
      </c>
      <c r="H126" s="97">
        <v>8.6206626787410797E-4</v>
      </c>
      <c r="I126" s="97">
        <v>8.3265024487345601E-2</v>
      </c>
      <c r="J126" s="97">
        <v>2.8186869490773699E-2</v>
      </c>
      <c r="K126" s="97">
        <v>4.8839939616549997E-4</v>
      </c>
      <c r="L126" s="97">
        <v>3.4355896473122999E-3</v>
      </c>
      <c r="M126" s="97">
        <v>5.0026944940748204E-3</v>
      </c>
      <c r="N126" s="97">
        <v>9.0392446169378296E-5</v>
      </c>
      <c r="O126" s="97">
        <v>4.0822164397588201E-3</v>
      </c>
      <c r="P126" s="97">
        <v>4.2058571351209899</v>
      </c>
      <c r="Q126" s="97">
        <v>3.6941519583407598</v>
      </c>
      <c r="R126" s="97">
        <v>1.20164806046156E-2</v>
      </c>
      <c r="S126" s="97">
        <v>1.37638297177862E-2</v>
      </c>
      <c r="T126" s="97">
        <v>1.24024076090008E-2</v>
      </c>
      <c r="U126" s="97">
        <v>1.00055799013115E-2</v>
      </c>
    </row>
    <row r="127" spans="1:21" s="98" customFormat="1" ht="13" x14ac:dyDescent="0.15">
      <c r="A127" s="96" t="s">
        <v>168</v>
      </c>
      <c r="B127" s="97">
        <v>5.3345637434180403E-3</v>
      </c>
      <c r="C127" s="97">
        <v>1.7755687684228E-2</v>
      </c>
      <c r="D127" s="97">
        <v>3.3825361314596698</v>
      </c>
      <c r="E127" s="97">
        <v>0.14236991561127599</v>
      </c>
      <c r="F127" s="97">
        <v>0.76072838189007097</v>
      </c>
      <c r="G127" s="97">
        <v>2.1262200849612101</v>
      </c>
      <c r="H127" s="97">
        <v>3.59209238801842E-4</v>
      </c>
      <c r="I127" s="97">
        <v>4.5868768915202703E-2</v>
      </c>
      <c r="J127" s="97">
        <v>7.6810404616724001E-3</v>
      </c>
      <c r="K127" s="97">
        <v>3.3095686156348698E-4</v>
      </c>
      <c r="L127" s="97">
        <v>2.9692870893219801E-3</v>
      </c>
      <c r="M127" s="97">
        <v>9.3822489665518795E-3</v>
      </c>
      <c r="N127" s="97">
        <v>5.8025210209998999E-5</v>
      </c>
      <c r="O127" s="97">
        <v>2.2378679737260899E-3</v>
      </c>
      <c r="P127" s="97">
        <v>0.49070764388071603</v>
      </c>
      <c r="Q127" s="97">
        <v>0.195890166620899</v>
      </c>
      <c r="R127" s="97">
        <v>7.8256644378356909E-3</v>
      </c>
      <c r="S127" s="97">
        <v>5.4875029082393596E-3</v>
      </c>
      <c r="T127" s="97">
        <v>7.2923115993752197E-3</v>
      </c>
      <c r="U127" s="97">
        <v>5.6781901342369302E-3</v>
      </c>
    </row>
    <row r="128" spans="1:21" s="98" customFormat="1" ht="13" x14ac:dyDescent="0.15">
      <c r="A128" s="96" t="s">
        <v>168</v>
      </c>
      <c r="B128" s="97">
        <v>5.9942398434550802E-3</v>
      </c>
      <c r="C128" s="97">
        <v>1.7848820502423202E-2</v>
      </c>
      <c r="D128" s="97">
        <v>3.24740628510644</v>
      </c>
      <c r="E128" s="97">
        <v>0.141800847837181</v>
      </c>
      <c r="F128" s="97">
        <v>0.74982713645502497</v>
      </c>
      <c r="G128" s="97">
        <v>2.1080942347729899</v>
      </c>
      <c r="H128" s="97">
        <v>3.1485400055973199E-4</v>
      </c>
      <c r="I128" s="97">
        <v>4.5507125713037201E-2</v>
      </c>
      <c r="J128" s="97">
        <v>1.0600477184872699E-2</v>
      </c>
      <c r="K128" s="97">
        <v>4.0248362131816399E-4</v>
      </c>
      <c r="L128" s="97">
        <v>2.7113641305523402E-3</v>
      </c>
      <c r="M128" s="97">
        <v>9.5544299907354205E-3</v>
      </c>
      <c r="N128" s="97">
        <v>3.0653279560746703E-5</v>
      </c>
      <c r="O128" s="97">
        <v>1.7493645551126299E-3</v>
      </c>
      <c r="P128" s="97">
        <v>0.49481499561817999</v>
      </c>
      <c r="Q128" s="97">
        <v>0.193190218643572</v>
      </c>
      <c r="R128" s="97">
        <v>7.6343206419309103E-3</v>
      </c>
      <c r="S128" s="97">
        <v>5.4627540376968103E-3</v>
      </c>
      <c r="T128" s="97">
        <v>6.4683190441257397E-3</v>
      </c>
      <c r="U128" s="97">
        <v>5.3832289151224304E-3</v>
      </c>
    </row>
    <row r="129" spans="1:21" s="98" customFormat="1" ht="13" x14ac:dyDescent="0.15">
      <c r="A129" s="96" t="s">
        <v>169</v>
      </c>
      <c r="B129" s="97">
        <v>9.9524529886121094E-3</v>
      </c>
      <c r="C129" s="97">
        <v>9.5752777979300693E-2</v>
      </c>
      <c r="D129" s="97">
        <v>7.1623200024131197</v>
      </c>
      <c r="E129" s="97">
        <v>1.5219095503606901</v>
      </c>
      <c r="F129" s="97">
        <v>2.9521649164863502</v>
      </c>
      <c r="G129" s="97">
        <v>1.6812999428042099</v>
      </c>
      <c r="H129" s="97">
        <v>2.2921513172108202E-3</v>
      </c>
      <c r="I129" s="97">
        <v>0.15194559038805699</v>
      </c>
      <c r="J129" s="97">
        <v>0.129053408211809</v>
      </c>
      <c r="K129" s="97">
        <v>2.59440390227101E-3</v>
      </c>
      <c r="L129" s="97">
        <v>2.4918320738967902E-2</v>
      </c>
      <c r="M129" s="97">
        <v>2.08183557821945E-2</v>
      </c>
      <c r="N129" s="97">
        <v>1.5430723804827999E-4</v>
      </c>
      <c r="O129" s="97">
        <v>3.7948033501404399E-3</v>
      </c>
      <c r="P129" s="97">
        <v>0.79038933090970598</v>
      </c>
      <c r="Q129" s="97">
        <v>0.493093924870533</v>
      </c>
      <c r="R129" s="97">
        <v>1.7439918425429399E-2</v>
      </c>
      <c r="S129" s="97">
        <v>1.2569491613688E-2</v>
      </c>
      <c r="T129" s="97">
        <v>1.58998117859393E-2</v>
      </c>
      <c r="U129" s="97">
        <v>1.23710739843443E-2</v>
      </c>
    </row>
    <row r="130" spans="1:21" s="98" customFormat="1" ht="13" x14ac:dyDescent="0.15">
      <c r="A130" s="96" t="s">
        <v>169</v>
      </c>
      <c r="B130" s="97">
        <v>1.0568068729379199E-2</v>
      </c>
      <c r="C130" s="97">
        <v>9.9280943125426305E-2</v>
      </c>
      <c r="D130" s="97">
        <v>7.1228472141933104</v>
      </c>
      <c r="E130" s="97">
        <v>1.5352245767378201</v>
      </c>
      <c r="F130" s="97">
        <v>2.8877588355143402</v>
      </c>
      <c r="G130" s="97">
        <v>1.6469126476215501</v>
      </c>
      <c r="H130" s="97">
        <v>2.6174585623453899E-3</v>
      </c>
      <c r="I130" s="97">
        <v>0.15110700253742601</v>
      </c>
      <c r="J130" s="97">
        <v>0.12878833840485299</v>
      </c>
      <c r="K130" s="97">
        <v>2.70433761781156E-3</v>
      </c>
      <c r="L130" s="97">
        <v>2.4663497505941399E-2</v>
      </c>
      <c r="M130" s="97">
        <v>2.3720425040898201E-2</v>
      </c>
      <c r="N130" s="97">
        <v>1.5593016074673499E-4</v>
      </c>
      <c r="O130" s="97">
        <v>4.5670150994614597E-3</v>
      </c>
      <c r="P130" s="97">
        <v>0.786783028654227</v>
      </c>
      <c r="Q130" s="97">
        <v>0.48605183454846501</v>
      </c>
      <c r="R130" s="97">
        <v>1.7061715892951398E-2</v>
      </c>
      <c r="S130" s="97">
        <v>1.25693204445119E-2</v>
      </c>
      <c r="T130" s="97">
        <v>1.6021202832176899E-2</v>
      </c>
      <c r="U130" s="97">
        <v>1.26903140535816E-2</v>
      </c>
    </row>
    <row r="131" spans="1:21" s="98" customFormat="1" ht="13" x14ac:dyDescent="0.15">
      <c r="A131" s="96" t="s">
        <v>170</v>
      </c>
      <c r="B131" s="97">
        <v>1.1348085755648499E-2</v>
      </c>
      <c r="C131" s="97">
        <v>0.18440322295278899</v>
      </c>
      <c r="D131" s="97">
        <v>5.8444980286111203</v>
      </c>
      <c r="E131" s="97">
        <v>0.38096860957252698</v>
      </c>
      <c r="F131" s="97">
        <v>3.4798423865859598</v>
      </c>
      <c r="G131" s="97">
        <v>0.77277229259365798</v>
      </c>
      <c r="H131" s="97">
        <v>4.6975245025432599E-4</v>
      </c>
      <c r="I131" s="97">
        <v>0.52912010495496897</v>
      </c>
      <c r="J131" s="97">
        <v>6.3929582949267399E-2</v>
      </c>
      <c r="K131" s="97">
        <v>7.2448795182924195E-4</v>
      </c>
      <c r="L131" s="97">
        <v>5.7099572712052899E-3</v>
      </c>
      <c r="M131" s="97">
        <v>1.53267882458196E-2</v>
      </c>
      <c r="N131" s="97">
        <v>1.93951145103864E-4</v>
      </c>
      <c r="O131" s="97">
        <v>1.7027555039234501E-3</v>
      </c>
      <c r="P131" s="97">
        <v>1.2648214357962499</v>
      </c>
      <c r="Q131" s="97">
        <v>0.78376126354147002</v>
      </c>
      <c r="R131" s="97">
        <v>1.42072703968935E-2</v>
      </c>
      <c r="S131" s="97">
        <v>9.1575990569524503E-3</v>
      </c>
      <c r="T131" s="97">
        <v>1.30433033595432E-2</v>
      </c>
      <c r="U131" s="97">
        <v>9.1332002081399195E-3</v>
      </c>
    </row>
    <row r="132" spans="1:21" s="98" customFormat="1" ht="13" x14ac:dyDescent="0.15">
      <c r="A132" s="96" t="s">
        <v>170</v>
      </c>
      <c r="B132" s="97">
        <v>1.19318521145243E-2</v>
      </c>
      <c r="C132" s="97">
        <v>0.19102620286368299</v>
      </c>
      <c r="D132" s="97">
        <v>5.8094274818235903</v>
      </c>
      <c r="E132" s="97">
        <v>0.39026831323975197</v>
      </c>
      <c r="F132" s="97">
        <v>3.49410311360176</v>
      </c>
      <c r="G132" s="97">
        <v>0.76506718366403104</v>
      </c>
      <c r="H132" s="97">
        <v>5.717279671373E-4</v>
      </c>
      <c r="I132" s="97">
        <v>0.52712577224300206</v>
      </c>
      <c r="J132" s="97">
        <v>5.4909315407339697E-2</v>
      </c>
      <c r="K132" s="97">
        <v>8.1004215046495199E-4</v>
      </c>
      <c r="L132" s="97">
        <v>5.1890254084443399E-3</v>
      </c>
      <c r="M132" s="97">
        <v>1.5719036022180201E-2</v>
      </c>
      <c r="N132" s="97">
        <v>2.1678873565566501E-4</v>
      </c>
      <c r="O132" s="97">
        <v>2.0053414259576302E-3</v>
      </c>
      <c r="P132" s="97">
        <v>1.25761765605788</v>
      </c>
      <c r="Q132" s="97">
        <v>0.783947019486402</v>
      </c>
      <c r="R132" s="97">
        <v>1.3121268134339699E-2</v>
      </c>
      <c r="S132" s="97">
        <v>9.5329373074970903E-3</v>
      </c>
      <c r="T132" s="97">
        <v>1.25800520978627E-2</v>
      </c>
      <c r="U132" s="97">
        <v>8.9458293183522098E-3</v>
      </c>
    </row>
    <row r="133" spans="1:21" s="98" customFormat="1" ht="13" x14ac:dyDescent="0.15">
      <c r="A133" s="96" t="s">
        <v>171</v>
      </c>
      <c r="B133" s="97">
        <v>2.0716511506846599E-3</v>
      </c>
      <c r="C133" s="97">
        <v>1.49876346292419E-2</v>
      </c>
      <c r="D133" s="97">
        <v>1.49714304049543</v>
      </c>
      <c r="E133" s="97">
        <v>9.1641486713715095E-2</v>
      </c>
      <c r="F133" s="97">
        <v>1.2923621335589499</v>
      </c>
      <c r="G133" s="97">
        <v>0.23328564329499299</v>
      </c>
      <c r="H133" s="97">
        <v>1.0313080732453101E-3</v>
      </c>
      <c r="I133" s="97">
        <v>5.17160479630282E-2</v>
      </c>
      <c r="J133" s="97">
        <v>1.96365228683089E-2</v>
      </c>
      <c r="K133" s="97">
        <v>3.77220228615908E-3</v>
      </c>
      <c r="L133" s="97">
        <v>2.3713798493420501E-3</v>
      </c>
      <c r="M133" s="97">
        <v>7.1424576163405503E-3</v>
      </c>
      <c r="N133" s="97">
        <v>8.4020235041275693E-5</v>
      </c>
      <c r="O133" s="97">
        <v>4.2224305664191998E-3</v>
      </c>
      <c r="P133" s="97">
        <v>0.27678597530384202</v>
      </c>
      <c r="Q133" s="97">
        <v>0.77670872194429896</v>
      </c>
      <c r="R133" s="97">
        <v>5.45698426248658E-3</v>
      </c>
      <c r="S133" s="97">
        <v>4.0393409088010203E-3</v>
      </c>
      <c r="T133" s="97">
        <v>4.7120300066640199E-3</v>
      </c>
      <c r="U133" s="97">
        <v>4.2304830307768396E-3</v>
      </c>
    </row>
    <row r="134" spans="1:21" s="98" customFormat="1" ht="13" x14ac:dyDescent="0.15">
      <c r="A134" s="96" t="s">
        <v>171</v>
      </c>
      <c r="B134" s="97">
        <v>2.0916266302117301E-3</v>
      </c>
      <c r="C134" s="97">
        <v>1.8255770205859102E-2</v>
      </c>
      <c r="D134" s="97">
        <v>1.57828123405508</v>
      </c>
      <c r="E134" s="97">
        <v>9.3847736887975805E-2</v>
      </c>
      <c r="F134" s="97">
        <v>1.29665298081251</v>
      </c>
      <c r="G134" s="97">
        <v>0.23053677203490699</v>
      </c>
      <c r="H134" s="97">
        <v>5.4174221449423098E-4</v>
      </c>
      <c r="I134" s="97">
        <v>5.1733376000709298E-2</v>
      </c>
      <c r="J134" s="97">
        <v>2.2583652133238499E-2</v>
      </c>
      <c r="K134" s="97">
        <v>3.4976088972162901E-3</v>
      </c>
      <c r="L134" s="97">
        <v>2.2846994233582199E-3</v>
      </c>
      <c r="M134" s="97">
        <v>8.9245864265512908E-3</v>
      </c>
      <c r="N134" s="97">
        <v>1.19248333323169E-4</v>
      </c>
      <c r="O134" s="97">
        <v>4.6113814246323097E-3</v>
      </c>
      <c r="P134" s="97">
        <v>0.27365804585513798</v>
      </c>
      <c r="Q134" s="97">
        <v>0.78718440364268405</v>
      </c>
      <c r="R134" s="97">
        <v>5.4393749382352502E-3</v>
      </c>
      <c r="S134" s="97">
        <v>4.4562280178258602E-3</v>
      </c>
      <c r="T134" s="97">
        <v>4.7174834184548998E-3</v>
      </c>
      <c r="U134" s="97">
        <v>4.1826558940813796E-3</v>
      </c>
    </row>
    <row r="135" spans="1:21" s="98" customFormat="1" ht="13" x14ac:dyDescent="0.15">
      <c r="A135" s="96" t="s">
        <v>172</v>
      </c>
      <c r="B135" s="97">
        <v>1.0159077631175399E-2</v>
      </c>
      <c r="C135" s="97">
        <v>8.9608314389804003E-2</v>
      </c>
      <c r="D135" s="97">
        <v>16.636117818183799</v>
      </c>
      <c r="E135" s="97">
        <v>0.40361232699789001</v>
      </c>
      <c r="F135" s="97">
        <v>3.2499997430079</v>
      </c>
      <c r="G135" s="97">
        <v>1.34491780161564</v>
      </c>
      <c r="H135" s="97">
        <v>1.53872774342077E-3</v>
      </c>
      <c r="I135" s="97">
        <v>0.22077725601769899</v>
      </c>
      <c r="J135" s="97">
        <v>6.6966996136845106E-2</v>
      </c>
      <c r="K135" s="97">
        <v>1.80347003541125E-3</v>
      </c>
      <c r="L135" s="97">
        <v>1.90042665883929E-3</v>
      </c>
      <c r="M135" s="97">
        <v>1.81919966747069E-2</v>
      </c>
      <c r="N135" s="97">
        <v>7.2227052947092997E-5</v>
      </c>
      <c r="O135" s="97">
        <v>3.05729086719881E-2</v>
      </c>
      <c r="P135" s="97">
        <v>1.8836711735937199</v>
      </c>
      <c r="Q135" s="97">
        <v>0.115602734155569</v>
      </c>
      <c r="R135" s="97">
        <v>7.8945197255291099E-3</v>
      </c>
      <c r="S135" s="97">
        <v>7.7122669285111904E-3</v>
      </c>
      <c r="T135" s="97">
        <v>6.7097573149860496E-3</v>
      </c>
      <c r="U135" s="97">
        <v>3.6320439171146799E-3</v>
      </c>
    </row>
    <row r="136" spans="1:21" s="98" customFormat="1" ht="13" x14ac:dyDescent="0.15">
      <c r="A136" s="96" t="s">
        <v>172</v>
      </c>
      <c r="B136" s="97">
        <v>1.0185604235739699E-2</v>
      </c>
      <c r="C136" s="97">
        <v>8.8252918705739106E-2</v>
      </c>
      <c r="D136" s="97">
        <v>16.871804022320699</v>
      </c>
      <c r="E136" s="97">
        <v>0.37424186686502903</v>
      </c>
      <c r="F136" s="97">
        <v>3.3145767283040901</v>
      </c>
      <c r="G136" s="97">
        <v>1.38867140739712</v>
      </c>
      <c r="H136" s="97">
        <v>1.1205773052643301E-3</v>
      </c>
      <c r="I136" s="97">
        <v>0.22620163852887001</v>
      </c>
      <c r="J136" s="97">
        <v>6.6991331909127594E-2</v>
      </c>
      <c r="K136" s="97">
        <v>2.2187366651282001E-3</v>
      </c>
      <c r="L136" s="97">
        <v>1.7701066084294401E-3</v>
      </c>
      <c r="M136" s="97">
        <v>1.39553918309634E-2</v>
      </c>
      <c r="N136" s="97">
        <v>8.6997237879821005E-5</v>
      </c>
      <c r="O136" s="97">
        <v>2.9322532947649801E-2</v>
      </c>
      <c r="P136" s="97">
        <v>1.95035077087621</v>
      </c>
      <c r="Q136" s="97">
        <v>0.120845437719453</v>
      </c>
      <c r="R136" s="97">
        <v>7.5762885625993799E-3</v>
      </c>
      <c r="S136" s="97">
        <v>3.3690317715896001E-3</v>
      </c>
      <c r="T136" s="97">
        <v>6.3266452343848298E-3</v>
      </c>
      <c r="U136" s="97">
        <v>3.3225882326873299E-3</v>
      </c>
    </row>
    <row r="137" spans="1:21" s="98" customFormat="1" ht="13" x14ac:dyDescent="0.15">
      <c r="A137" s="96" t="s">
        <v>173</v>
      </c>
      <c r="B137" s="97">
        <v>2.29142172934581E-3</v>
      </c>
      <c r="C137" s="97">
        <v>1.42057802437398E-2</v>
      </c>
      <c r="D137" s="97">
        <v>15.9737395774349</v>
      </c>
      <c r="E137" s="97">
        <v>0.11833136056969699</v>
      </c>
      <c r="F137" s="97">
        <v>0.23442828967256901</v>
      </c>
      <c r="G137" s="97">
        <v>0.83726457495733497</v>
      </c>
      <c r="H137" s="97">
        <v>1.60610368925694E-4</v>
      </c>
      <c r="I137" s="97">
        <v>4.1730493862978002E-2</v>
      </c>
      <c r="J137" s="97">
        <v>7.97905070134859E-3</v>
      </c>
      <c r="K137" s="97">
        <v>8.7252964654572097E-4</v>
      </c>
      <c r="L137" s="97">
        <v>1.02080639645753E-3</v>
      </c>
      <c r="M137" s="97">
        <v>6.0964210597923198E-3</v>
      </c>
      <c r="N137" s="97">
        <v>5.7157373228548797E-5</v>
      </c>
      <c r="O137" s="97">
        <v>9.0732577642575092E-3</v>
      </c>
      <c r="P137" s="97">
        <v>0.32343165271783197</v>
      </c>
      <c r="Q137" s="97">
        <v>2.8836697502003E-2</v>
      </c>
      <c r="R137" s="97">
        <v>3.2820914450357999E-3</v>
      </c>
      <c r="S137" s="97">
        <v>1.4004828510888799E-3</v>
      </c>
      <c r="T137" s="97">
        <v>2.5572451584098699E-3</v>
      </c>
      <c r="U137" s="97">
        <v>1.57383951430597E-3</v>
      </c>
    </row>
    <row r="138" spans="1:21" s="98" customFormat="1" ht="13" x14ac:dyDescent="0.15">
      <c r="A138" s="96" t="s">
        <v>173</v>
      </c>
      <c r="B138" s="97">
        <v>2.2534585642401302E-3</v>
      </c>
      <c r="C138" s="97">
        <v>1.6442938488730002E-2</v>
      </c>
      <c r="D138" s="97">
        <v>28.9825924802579</v>
      </c>
      <c r="E138" s="97">
        <v>0.124799911395835</v>
      </c>
      <c r="F138" s="97">
        <v>0.245971163885841</v>
      </c>
      <c r="G138" s="97">
        <v>0.86540069001575104</v>
      </c>
      <c r="H138" s="97">
        <v>4.0943467431627699E-4</v>
      </c>
      <c r="I138" s="97">
        <v>4.2526083610776498E-2</v>
      </c>
      <c r="J138" s="97">
        <v>1.10533976121219E-2</v>
      </c>
      <c r="K138" s="97">
        <v>1.07706937490183E-3</v>
      </c>
      <c r="L138" s="97">
        <v>1.1244679546318101E-3</v>
      </c>
      <c r="M138" s="97">
        <v>7.0629950325985999E-3</v>
      </c>
      <c r="N138" s="97">
        <v>7.6792549780563203E-5</v>
      </c>
      <c r="O138" s="97">
        <v>1.27090966514786E-2</v>
      </c>
      <c r="P138" s="97">
        <v>0.32042456035905198</v>
      </c>
      <c r="Q138" s="97">
        <v>2.74991525952266E-2</v>
      </c>
      <c r="R138" s="97">
        <v>3.23722937269251E-3</v>
      </c>
      <c r="S138" s="97">
        <v>2.0306858009022499E-3</v>
      </c>
      <c r="T138" s="97">
        <v>2.7110092259926902E-3</v>
      </c>
      <c r="U138" s="97">
        <v>1.7099794448497501E-3</v>
      </c>
    </row>
    <row r="139" spans="1:21" s="98" customFormat="1" ht="13" x14ac:dyDescent="0.15">
      <c r="A139" s="96" t="s">
        <v>174</v>
      </c>
      <c r="B139" s="97">
        <v>7.78399557956565E-3</v>
      </c>
      <c r="C139" s="97">
        <v>0.13904191791942699</v>
      </c>
      <c r="D139" s="97">
        <v>7.8798817844532101</v>
      </c>
      <c r="E139" s="97">
        <v>0.28803667492288199</v>
      </c>
      <c r="F139" s="97">
        <v>1.8186931554372801</v>
      </c>
      <c r="G139" s="97">
        <v>0.67363652719777001</v>
      </c>
      <c r="H139" s="97">
        <v>7.7321726576048695E-4</v>
      </c>
      <c r="I139" s="97">
        <v>5.5596097195429697E-2</v>
      </c>
      <c r="J139" s="97">
        <v>1.6984820690790201E-2</v>
      </c>
      <c r="K139" s="97">
        <v>7.5081630858941299E-4</v>
      </c>
      <c r="L139" s="97">
        <v>1.2537922632132701E-3</v>
      </c>
      <c r="M139" s="97">
        <v>8.6130739368542198E-3</v>
      </c>
      <c r="N139" s="97">
        <v>2.08620911917031E-4</v>
      </c>
      <c r="O139" s="97">
        <v>6.5974082590635301E-3</v>
      </c>
      <c r="P139" s="97">
        <v>0.57656389572112399</v>
      </c>
      <c r="Q139" s="97">
        <v>6.4777506106842395E-2</v>
      </c>
      <c r="R139" s="97">
        <v>1.50748739016548E-2</v>
      </c>
      <c r="S139" s="97">
        <v>1.24387895705585E-2</v>
      </c>
      <c r="T139" s="97">
        <v>1.43934474679807E-2</v>
      </c>
      <c r="U139" s="97">
        <v>1.23534244646929E-2</v>
      </c>
    </row>
    <row r="140" spans="1:21" s="98" customFormat="1" ht="13" x14ac:dyDescent="0.15">
      <c r="A140" s="96" t="s">
        <v>174</v>
      </c>
      <c r="B140" s="97">
        <v>7.9783733277247505E-3</v>
      </c>
      <c r="C140" s="97">
        <v>0.143813181044883</v>
      </c>
      <c r="D140" s="97">
        <v>8.0733422925481708</v>
      </c>
      <c r="E140" s="97">
        <v>0.29704443770518502</v>
      </c>
      <c r="F140" s="97">
        <v>1.84835723773825</v>
      </c>
      <c r="G140" s="97">
        <v>0.68535622481506198</v>
      </c>
      <c r="H140" s="97">
        <v>8.8232321338959805E-4</v>
      </c>
      <c r="I140" s="97">
        <v>5.5479959292823698E-2</v>
      </c>
      <c r="J140" s="97">
        <v>1.90235466928876E-2</v>
      </c>
      <c r="K140" s="97">
        <v>1.0855604879436E-3</v>
      </c>
      <c r="L140" s="97">
        <v>1.1954978593102599E-3</v>
      </c>
      <c r="M140" s="97">
        <v>1.09268019996289E-2</v>
      </c>
      <c r="N140" s="97">
        <v>2.2526845385702901E-4</v>
      </c>
      <c r="O140" s="97">
        <v>8.7352019284098192E-3</v>
      </c>
      <c r="P140" s="97">
        <v>0.589604780189665</v>
      </c>
      <c r="Q140" s="97">
        <v>6.6681057073337005E-2</v>
      </c>
      <c r="R140" s="97">
        <v>1.59819810405765E-2</v>
      </c>
      <c r="S140" s="97">
        <v>1.2696730761795999E-2</v>
      </c>
      <c r="T140" s="97">
        <v>1.3833998527696499E-2</v>
      </c>
      <c r="U140" s="97">
        <v>1.1750313848444599E-2</v>
      </c>
    </row>
    <row r="141" spans="1:21" s="98" customFormat="1" ht="13" x14ac:dyDescent="0.15">
      <c r="A141" s="96" t="s">
        <v>175</v>
      </c>
      <c r="B141" s="97">
        <v>6.0869806091177203E-3</v>
      </c>
      <c r="C141" s="97">
        <v>5.1350121719253697E-2</v>
      </c>
      <c r="D141" s="97">
        <v>14.0791340027847</v>
      </c>
      <c r="E141" s="97">
        <v>0.30144984340596198</v>
      </c>
      <c r="F141" s="97">
        <v>3.4617308459701799</v>
      </c>
      <c r="G141" s="97">
        <v>1.26250112538119</v>
      </c>
      <c r="H141" s="97">
        <v>1.01658694107908E-3</v>
      </c>
      <c r="I141" s="97">
        <v>9.1455963407806401E-2</v>
      </c>
      <c r="J141" s="97">
        <v>1.6260311357727399E-2</v>
      </c>
      <c r="K141" s="97">
        <v>2.1319949120670902E-3</v>
      </c>
      <c r="L141" s="97">
        <v>5.6695290306217998E-3</v>
      </c>
      <c r="M141" s="97">
        <v>1.0299234824124299E-2</v>
      </c>
      <c r="N141" s="97">
        <v>9.5524619847528694E-5</v>
      </c>
      <c r="O141" s="97">
        <v>7.64376574524316E-3</v>
      </c>
      <c r="P141" s="97">
        <v>1.07752154532163</v>
      </c>
      <c r="Q141" s="97">
        <v>1.0575987287048001</v>
      </c>
      <c r="R141" s="97">
        <v>1.22012314268422E-2</v>
      </c>
      <c r="S141" s="97">
        <v>8.3851391450925298E-3</v>
      </c>
      <c r="T141" s="97">
        <v>1.0296560369052601E-2</v>
      </c>
      <c r="U141" s="97">
        <v>7.6513798961759796E-3</v>
      </c>
    </row>
    <row r="142" spans="1:21" s="98" customFormat="1" ht="13" x14ac:dyDescent="0.15">
      <c r="A142" s="96" t="s">
        <v>175</v>
      </c>
      <c r="B142" s="97">
        <v>5.9800358625896801E-3</v>
      </c>
      <c r="C142" s="97">
        <v>5.3410018655220298E-2</v>
      </c>
      <c r="D142" s="97">
        <v>14.450668429292</v>
      </c>
      <c r="E142" s="97">
        <v>0.31060696069822702</v>
      </c>
      <c r="F142" s="97">
        <v>3.55005387276826</v>
      </c>
      <c r="G142" s="97">
        <v>1.2984243360595</v>
      </c>
      <c r="H142" s="97">
        <v>1.0603176925962699E-3</v>
      </c>
      <c r="I142" s="97">
        <v>9.27468537811907E-2</v>
      </c>
      <c r="J142" s="97">
        <v>1.6757529746850099E-2</v>
      </c>
      <c r="K142" s="97">
        <v>2.11926935883615E-3</v>
      </c>
      <c r="L142" s="97">
        <v>5.7541224504000102E-3</v>
      </c>
      <c r="M142" s="97">
        <v>1.06301421140197E-2</v>
      </c>
      <c r="N142" s="97">
        <v>1.3788565796125099E-4</v>
      </c>
      <c r="O142" s="97">
        <v>1.0258597346867401E-2</v>
      </c>
      <c r="P142" s="97">
        <v>1.12500074257519</v>
      </c>
      <c r="Q142" s="97">
        <v>1.0944584847532399</v>
      </c>
      <c r="R142" s="97">
        <v>1.2884059712704701E-2</v>
      </c>
      <c r="S142" s="97">
        <v>7.8839591512635393E-3</v>
      </c>
      <c r="T142" s="97">
        <v>1.0548313413335999E-2</v>
      </c>
      <c r="U142" s="97">
        <v>8.4086604396685204E-3</v>
      </c>
    </row>
    <row r="143" spans="1:21" s="98" customFormat="1" ht="13" x14ac:dyDescent="0.15">
      <c r="A143" s="96" t="s">
        <v>176</v>
      </c>
      <c r="B143" s="97">
        <v>5.1512289940299398E-3</v>
      </c>
      <c r="C143" s="97">
        <v>2.9557715331091802E-2</v>
      </c>
      <c r="D143" s="97">
        <v>11.205645929049499</v>
      </c>
      <c r="E143" s="97">
        <v>0.241882572211434</v>
      </c>
      <c r="F143" s="97">
        <v>1.0185526546574799</v>
      </c>
      <c r="G143" s="97">
        <v>0.602905364002569</v>
      </c>
      <c r="H143" s="97">
        <v>5.5536117550491104E-4</v>
      </c>
      <c r="I143" s="97">
        <v>7.1504919140232798E-2</v>
      </c>
      <c r="J143" s="97">
        <v>2.23545295389538E-2</v>
      </c>
      <c r="K143" s="97">
        <v>8.6381104182125395E-4</v>
      </c>
      <c r="L143" s="97">
        <v>1.8507689823483099E-3</v>
      </c>
      <c r="M143" s="97">
        <v>1.17960134061218E-2</v>
      </c>
      <c r="N143" s="97">
        <v>4.3789625383629597E-5</v>
      </c>
      <c r="O143" s="97">
        <v>6.4534358787910698E-3</v>
      </c>
      <c r="P143" s="97">
        <v>0.48486371338635098</v>
      </c>
      <c r="Q143" s="97">
        <v>5.2631921086656E-2</v>
      </c>
      <c r="R143" s="97">
        <v>9.7005113823874292E-3</v>
      </c>
      <c r="S143" s="97">
        <v>6.75174589494723E-3</v>
      </c>
      <c r="T143" s="97">
        <v>8.6267503272633699E-3</v>
      </c>
      <c r="U143" s="97">
        <v>6.24803855375011E-3</v>
      </c>
    </row>
    <row r="144" spans="1:21" s="98" customFormat="1" ht="13" x14ac:dyDescent="0.15">
      <c r="A144" s="96" t="s">
        <v>176</v>
      </c>
      <c r="B144" s="97">
        <v>4.7764826219510396E-3</v>
      </c>
      <c r="C144" s="97">
        <v>2.9229527695857901E-2</v>
      </c>
      <c r="D144" s="97">
        <v>11.1645090554816</v>
      </c>
      <c r="E144" s="97">
        <v>0.23482324837722199</v>
      </c>
      <c r="F144" s="97">
        <v>1.01428617031687</v>
      </c>
      <c r="G144" s="97">
        <v>0.59633828295552105</v>
      </c>
      <c r="H144" s="97">
        <v>4.5982425740187603E-4</v>
      </c>
      <c r="I144" s="97">
        <v>6.9651165271084198E-2</v>
      </c>
      <c r="J144" s="97">
        <v>1.5831123835938699E-2</v>
      </c>
      <c r="K144" s="97">
        <v>7.2422615836060004E-4</v>
      </c>
      <c r="L144" s="97">
        <v>1.9016756184016301E-3</v>
      </c>
      <c r="M144" s="97">
        <v>1.21069020946655E-2</v>
      </c>
      <c r="N144" s="97">
        <v>4.4321564517360203E-5</v>
      </c>
      <c r="O144" s="97">
        <v>5.0215158404698602E-3</v>
      </c>
      <c r="P144" s="97">
        <v>0.46136182757789301</v>
      </c>
      <c r="Q144" s="97">
        <v>5.3733101986518199E-2</v>
      </c>
      <c r="R144" s="97">
        <v>9.8755280794770497E-3</v>
      </c>
      <c r="S144" s="97">
        <v>7.3421904012435498E-3</v>
      </c>
      <c r="T144" s="97">
        <v>8.6997476117035202E-3</v>
      </c>
      <c r="U144" s="97">
        <v>6.6718698030294099E-3</v>
      </c>
    </row>
    <row r="145" spans="1:21" s="98" customFormat="1" ht="13" x14ac:dyDescent="0.15">
      <c r="A145" s="96" t="s">
        <v>177</v>
      </c>
      <c r="B145" s="97">
        <v>1.3338229098737999E-3</v>
      </c>
      <c r="C145" s="97">
        <v>7.5428620435634003E-3</v>
      </c>
      <c r="D145" s="97">
        <v>3.1534685475004398</v>
      </c>
      <c r="E145" s="97">
        <v>6.7893588414394399E-2</v>
      </c>
      <c r="F145" s="97">
        <v>0.217688802868828</v>
      </c>
      <c r="G145" s="97">
        <v>0.30654057636444598</v>
      </c>
      <c r="H145" s="97">
        <v>-9.5029482577360506E-5</v>
      </c>
      <c r="I145" s="97">
        <v>3.4206890352155003E-2</v>
      </c>
      <c r="J145" s="97">
        <v>3.6692019905248301E-3</v>
      </c>
      <c r="K145" s="97">
        <v>2.2554598883174799E-4</v>
      </c>
      <c r="L145" s="97">
        <v>8.25469780765657E-4</v>
      </c>
      <c r="M145" s="97">
        <v>3.3849918424758499E-3</v>
      </c>
      <c r="N145" s="97">
        <v>3.4228175718617701E-5</v>
      </c>
      <c r="O145" s="97">
        <v>4.6110778661166203E-4</v>
      </c>
      <c r="P145" s="97">
        <v>0.307335169626823</v>
      </c>
      <c r="Q145" s="97">
        <v>7.1492804285887099E-2</v>
      </c>
      <c r="R145" s="97">
        <v>2.0137409858594002E-3</v>
      </c>
      <c r="S145" s="97">
        <v>9.4063200466019297E-4</v>
      </c>
      <c r="T145" s="97">
        <v>1.63364835788404E-3</v>
      </c>
      <c r="U145" s="97">
        <v>8.6336781400188605E-4</v>
      </c>
    </row>
    <row r="146" spans="1:21" s="98" customFormat="1" ht="13" x14ac:dyDescent="0.15">
      <c r="A146" s="96" t="s">
        <v>177</v>
      </c>
      <c r="B146" s="97">
        <v>1.5067579447836201E-3</v>
      </c>
      <c r="C146" s="97">
        <v>8.6270152672599104E-3</v>
      </c>
      <c r="D146" s="97">
        <v>3.02550036169949</v>
      </c>
      <c r="E146" s="97">
        <v>6.6062279162413001E-2</v>
      </c>
      <c r="F146" s="97">
        <v>0.210392575410462</v>
      </c>
      <c r="G146" s="97">
        <v>0.28900098920304601</v>
      </c>
      <c r="H146" s="97">
        <v>-9.5411111863534506E-5</v>
      </c>
      <c r="I146" s="97">
        <v>3.2518648886848703E-2</v>
      </c>
      <c r="J146" s="97">
        <v>3.70831703012542E-3</v>
      </c>
      <c r="K146" s="97">
        <v>2.4276241302239099E-4</v>
      </c>
      <c r="L146" s="97">
        <v>7.4178181297403602E-4</v>
      </c>
      <c r="M146" s="97">
        <v>3.3553014771942999E-3</v>
      </c>
      <c r="N146" s="97">
        <v>1.6734875376859002E-5</v>
      </c>
      <c r="O146" s="97">
        <v>7.71630688958177E-4</v>
      </c>
      <c r="P146" s="97">
        <v>0.29320705753180798</v>
      </c>
      <c r="Q146" s="97">
        <v>6.6255043195559707E-2</v>
      </c>
      <c r="R146" s="97">
        <v>1.8100220266588499E-3</v>
      </c>
      <c r="S146" s="97">
        <v>7.8302522339936196E-4</v>
      </c>
      <c r="T146" s="97">
        <v>1.5709972104276E-3</v>
      </c>
      <c r="U146" s="97">
        <v>9.4027003494700796E-4</v>
      </c>
    </row>
    <row r="147" spans="1:21" s="98" customFormat="1" ht="13" x14ac:dyDescent="0.15">
      <c r="A147" s="96" t="s">
        <v>178</v>
      </c>
      <c r="B147" s="97">
        <v>4.9288147527897204E-3</v>
      </c>
      <c r="C147" s="97">
        <v>1.8090579879361701E-2</v>
      </c>
      <c r="D147" s="97">
        <v>16.083408203617701</v>
      </c>
      <c r="E147" s="97">
        <v>0.30107884251024097</v>
      </c>
      <c r="F147" s="97">
        <v>1.92296479895839</v>
      </c>
      <c r="G147" s="97">
        <v>0.22682554056811299</v>
      </c>
      <c r="H147" s="97">
        <v>8.9634402080554804E-3</v>
      </c>
      <c r="I147" s="97">
        <v>8.4775587922507098E-2</v>
      </c>
      <c r="J147" s="97">
        <v>2.04226918145985E-2</v>
      </c>
      <c r="K147" s="97">
        <v>1.41745890571305E-3</v>
      </c>
      <c r="L147" s="97">
        <v>2.6861416770511699E-3</v>
      </c>
      <c r="M147" s="97">
        <v>2.7627228766237501E-2</v>
      </c>
      <c r="N147" s="97">
        <v>1.94488138029142E-3</v>
      </c>
      <c r="O147" s="97">
        <v>1.53244890013844E-3</v>
      </c>
      <c r="P147" s="97">
        <v>0.94497129820791104</v>
      </c>
      <c r="Q147" s="97">
        <v>0.31400184072769199</v>
      </c>
      <c r="R147" s="97">
        <v>7.8190577911167406E-3</v>
      </c>
      <c r="S147" s="97">
        <v>6.2118583133342897E-3</v>
      </c>
      <c r="T147" s="97">
        <v>7.8955636431844497E-3</v>
      </c>
      <c r="U147" s="97">
        <v>5.5271414493976902E-3</v>
      </c>
    </row>
    <row r="148" spans="1:21" s="98" customFormat="1" ht="13" x14ac:dyDescent="0.15">
      <c r="A148" s="96" t="s">
        <v>178</v>
      </c>
      <c r="B148" s="97">
        <v>5.4904686258145799E-3</v>
      </c>
      <c r="C148" s="97">
        <v>1.83181109387235E-2</v>
      </c>
      <c r="D148" s="97">
        <v>15.698134622828199</v>
      </c>
      <c r="E148" s="97">
        <v>0.29812806640352002</v>
      </c>
      <c r="F148" s="97">
        <v>1.86108097421427</v>
      </c>
      <c r="G148" s="97">
        <v>0.21844893610810101</v>
      </c>
      <c r="H148" s="97">
        <v>9.6074721120245204E-3</v>
      </c>
      <c r="I148" s="97">
        <v>8.1001501716774907E-2</v>
      </c>
      <c r="J148" s="97">
        <v>1.67645600859978E-2</v>
      </c>
      <c r="K148" s="97">
        <v>9.4782708383773996E-4</v>
      </c>
      <c r="L148" s="97">
        <v>2.51573979002832E-3</v>
      </c>
      <c r="M148" s="97">
        <v>2.6344101893584201E-2</v>
      </c>
      <c r="N148" s="97">
        <v>1.76506537761951E-3</v>
      </c>
      <c r="O148" s="97">
        <v>1.10277064300673E-3</v>
      </c>
      <c r="P148" s="97">
        <v>0.91723895434832903</v>
      </c>
      <c r="Q148" s="97">
        <v>0.31074765689643602</v>
      </c>
      <c r="R148" s="97">
        <v>8.1867445118074499E-3</v>
      </c>
      <c r="S148" s="97">
        <v>5.8203080886062696E-3</v>
      </c>
      <c r="T148" s="97">
        <v>6.9498024147888002E-3</v>
      </c>
      <c r="U148" s="97">
        <v>5.6396380765511801E-3</v>
      </c>
    </row>
    <row r="149" spans="1:21" s="98" customFormat="1" ht="13" x14ac:dyDescent="0.15">
      <c r="A149" s="96" t="s">
        <v>179</v>
      </c>
      <c r="B149" s="97">
        <v>2.82814251520098E-3</v>
      </c>
      <c r="C149" s="97">
        <v>1.37408794654507E-2</v>
      </c>
      <c r="D149" s="97">
        <v>5.3705866772625201</v>
      </c>
      <c r="E149" s="97">
        <v>0.13918749189516799</v>
      </c>
      <c r="F149" s="97">
        <v>0.496846423475028</v>
      </c>
      <c r="G149" s="97">
        <v>0.42324860891512001</v>
      </c>
      <c r="H149" s="97">
        <v>1.0396079393592999E-4</v>
      </c>
      <c r="I149" s="97">
        <v>4.6703557406877198E-2</v>
      </c>
      <c r="J149" s="97">
        <v>1.3842384758596201E-2</v>
      </c>
      <c r="K149" s="97">
        <v>8.8169703177801904E-5</v>
      </c>
      <c r="L149" s="97">
        <v>3.2213086228113602E-3</v>
      </c>
      <c r="M149" s="97">
        <v>4.8583266770188798E-3</v>
      </c>
      <c r="N149" s="97">
        <v>1.0635274848332299E-5</v>
      </c>
      <c r="O149" s="97">
        <v>9.6610820107716699E-4</v>
      </c>
      <c r="P149" s="97">
        <v>0.70724273353262401</v>
      </c>
      <c r="Q149" s="97">
        <v>0.156581321574183</v>
      </c>
      <c r="R149" s="97">
        <v>5.6317042991951604E-3</v>
      </c>
      <c r="S149" s="97">
        <v>5.2757343353566103E-3</v>
      </c>
      <c r="T149" s="97">
        <v>5.79951714752866E-3</v>
      </c>
      <c r="U149" s="97">
        <v>4.9727847733627897E-3</v>
      </c>
    </row>
    <row r="150" spans="1:21" s="98" customFormat="1" ht="15" customHeight="1" x14ac:dyDescent="0.15">
      <c r="A150" s="96" t="s">
        <v>179</v>
      </c>
      <c r="B150" s="97">
        <v>2.92518345854267E-3</v>
      </c>
      <c r="C150" s="97">
        <v>1.4794338527442301E-2</v>
      </c>
      <c r="D150" s="97">
        <v>5.5074268310940004</v>
      </c>
      <c r="E150" s="97">
        <v>0.14740639891472501</v>
      </c>
      <c r="F150" s="97">
        <v>0.50343484690037299</v>
      </c>
      <c r="G150" s="97">
        <v>0.42983161926133401</v>
      </c>
      <c r="H150" s="97">
        <v>-1.7894628134439801E-4</v>
      </c>
      <c r="I150" s="97">
        <v>4.7285875527372297E-2</v>
      </c>
      <c r="J150" s="97">
        <v>1.3070918755074301E-2</v>
      </c>
      <c r="K150" s="97">
        <v>1.06588466570546E-4</v>
      </c>
      <c r="L150" s="97">
        <v>2.81138802708301E-3</v>
      </c>
      <c r="M150" s="97">
        <v>5.4304255624070402E-3</v>
      </c>
      <c r="N150" s="97">
        <v>3.4904979859652098E-6</v>
      </c>
      <c r="O150" s="97">
        <v>1.1397169327532601E-3</v>
      </c>
      <c r="P150" s="97">
        <v>0.74629120627220702</v>
      </c>
      <c r="Q150" s="97">
        <v>0.156734774614748</v>
      </c>
      <c r="R150" s="97">
        <v>6.5074904219497402E-3</v>
      </c>
      <c r="S150" s="97">
        <v>4.88498568139738E-3</v>
      </c>
      <c r="T150" s="97">
        <v>5.4796398806901203E-3</v>
      </c>
      <c r="U150" s="97">
        <v>4.9552418880634804E-3</v>
      </c>
    </row>
    <row r="151" spans="1:21" s="98" customFormat="1" ht="15" customHeight="1" x14ac:dyDescent="0.15">
      <c r="A151" s="96" t="s">
        <v>180</v>
      </c>
      <c r="B151" s="97">
        <v>9.0914310443509592E-3</v>
      </c>
      <c r="C151" s="97">
        <v>7.7831665865364399E-2</v>
      </c>
      <c r="D151" s="97">
        <v>15.940073623431401</v>
      </c>
      <c r="E151" s="97">
        <v>0.30143505556060102</v>
      </c>
      <c r="F151" s="97">
        <v>2.0315499555951799</v>
      </c>
      <c r="G151" s="97">
        <v>1.19446260568426</v>
      </c>
      <c r="H151" s="97">
        <v>1.3909571589656999E-3</v>
      </c>
      <c r="I151" s="97">
        <v>0.10728400012545</v>
      </c>
      <c r="J151" s="97">
        <v>6.6793914067421994E-2</v>
      </c>
      <c r="K151" s="97">
        <v>9.3518982111503697E-4</v>
      </c>
      <c r="L151" s="97">
        <v>2.7719950074572902E-3</v>
      </c>
      <c r="M151" s="97">
        <v>2.5441208997333799E-2</v>
      </c>
      <c r="N151" s="97">
        <v>7.3706938351840499E-5</v>
      </c>
      <c r="O151" s="97">
        <v>9.7762196138666598E-3</v>
      </c>
      <c r="P151" s="97">
        <v>1.0181816967592401</v>
      </c>
      <c r="Q151" s="97">
        <v>0.115367701602309</v>
      </c>
      <c r="R151" s="97">
        <v>2.4786324728524201E-2</v>
      </c>
      <c r="S151" s="97">
        <v>2.0857032764399298E-2</v>
      </c>
      <c r="T151" s="97">
        <v>2.2527290001460702E-2</v>
      </c>
      <c r="U151" s="97">
        <v>1.9912748805974899E-2</v>
      </c>
    </row>
    <row r="152" spans="1:21" s="98" customFormat="1" ht="15" customHeight="1" x14ac:dyDescent="0.15">
      <c r="A152" s="96" t="s">
        <v>180</v>
      </c>
      <c r="B152" s="97">
        <v>9.4001341355193797E-3</v>
      </c>
      <c r="C152" s="97">
        <v>8.4101337062363807E-2</v>
      </c>
      <c r="D152" s="97">
        <v>16.1409705199511</v>
      </c>
      <c r="E152" s="97">
        <v>0.31104336385412801</v>
      </c>
      <c r="F152" s="97">
        <v>2.0568166069627898</v>
      </c>
      <c r="G152" s="97">
        <v>1.23063255662251</v>
      </c>
      <c r="H152" s="97">
        <v>1.46573004393427E-3</v>
      </c>
      <c r="I152" s="97">
        <v>0.10813232955225199</v>
      </c>
      <c r="J152" s="97">
        <v>0.13568438887766801</v>
      </c>
      <c r="K152" s="97">
        <v>8.2308261330674897E-4</v>
      </c>
      <c r="L152" s="97">
        <v>3.1316704634696E-3</v>
      </c>
      <c r="M152" s="97">
        <v>2.52196014365784E-2</v>
      </c>
      <c r="N152" s="97">
        <v>9.0165101609520793E-5</v>
      </c>
      <c r="O152" s="97">
        <v>1.0467419902805799E-2</v>
      </c>
      <c r="P152" s="97">
        <v>1.0429770534073499</v>
      </c>
      <c r="Q152" s="97">
        <v>0.118645313842309</v>
      </c>
      <c r="R152" s="97">
        <v>2.3488873505245401E-2</v>
      </c>
      <c r="S152" s="97">
        <v>2.1065423672024498E-2</v>
      </c>
      <c r="T152" s="97">
        <v>2.3269009569770498E-2</v>
      </c>
      <c r="U152" s="97">
        <v>2.13252057045859E-2</v>
      </c>
    </row>
    <row r="153" spans="1:21" s="98" customFormat="1" ht="15" customHeight="1" x14ac:dyDescent="0.15">
      <c r="A153" s="96" t="s">
        <v>181</v>
      </c>
      <c r="B153" s="97">
        <v>1.4023993756267301E-2</v>
      </c>
      <c r="C153" s="97">
        <v>5.1838366239337699E-2</v>
      </c>
      <c r="D153" s="97">
        <v>7.4612884021883499</v>
      </c>
      <c r="E153" s="97">
        <v>0.295361786378038</v>
      </c>
      <c r="F153" s="97">
        <v>4.11455652407823</v>
      </c>
      <c r="G153" s="97">
        <v>0.63656369528005596</v>
      </c>
      <c r="H153" s="97">
        <v>4.1785744353025798E-5</v>
      </c>
      <c r="I153" s="97">
        <v>0.20178669993717899</v>
      </c>
      <c r="J153" s="97">
        <v>0.82991401388445196</v>
      </c>
      <c r="K153" s="97">
        <v>6.4134220211445802E-4</v>
      </c>
      <c r="L153" s="97">
        <v>1.69726218127044E-3</v>
      </c>
      <c r="M153" s="97">
        <v>1.5484074318088801E-2</v>
      </c>
      <c r="N153" s="97">
        <v>3.4252093657966402E-5</v>
      </c>
      <c r="O153" s="97">
        <v>3.9857815949689897E-3</v>
      </c>
      <c r="P153" s="97">
        <v>1.19426822282658</v>
      </c>
      <c r="Q153" s="97">
        <v>0.292735511952462</v>
      </c>
      <c r="R153" s="97">
        <v>7.6137795569412997E-3</v>
      </c>
      <c r="S153" s="97">
        <v>3.2926375343409302E-3</v>
      </c>
      <c r="T153" s="97">
        <v>5.5074743351820202E-3</v>
      </c>
      <c r="U153" s="97">
        <v>3.6246829009765002E-3</v>
      </c>
    </row>
    <row r="154" spans="1:21" s="98" customFormat="1" ht="15" customHeight="1" x14ac:dyDescent="0.15">
      <c r="A154" s="96" t="s">
        <v>181</v>
      </c>
      <c r="B154" s="97">
        <v>1.34266851075699E-2</v>
      </c>
      <c r="C154" s="97">
        <v>5.4493845765631398E-2</v>
      </c>
      <c r="D154" s="97">
        <v>9.7603661228016598</v>
      </c>
      <c r="E154" s="97">
        <v>0.29327731424740899</v>
      </c>
      <c r="F154" s="97">
        <v>4.1281347296777096</v>
      </c>
      <c r="G154" s="97">
        <v>0.64164715565242603</v>
      </c>
      <c r="H154" s="97">
        <v>3.8875148565351101E-4</v>
      </c>
      <c r="I154" s="97">
        <v>0.200817725769043</v>
      </c>
      <c r="J154" s="97">
        <v>0.821299888444321</v>
      </c>
      <c r="K154" s="97">
        <v>5.1541466397909302E-4</v>
      </c>
      <c r="L154" s="97">
        <v>1.7526891416455E-3</v>
      </c>
      <c r="M154" s="97">
        <v>1.5771074733869801E-2</v>
      </c>
      <c r="N154" s="97">
        <v>5.60361128450958E-5</v>
      </c>
      <c r="O154" s="97">
        <v>4.6205352975514204E-3</v>
      </c>
      <c r="P154" s="97">
        <v>1.1679120712584099</v>
      </c>
      <c r="Q154" s="97">
        <v>0.29175665656113697</v>
      </c>
      <c r="R154" s="97">
        <v>7.54410675362011E-3</v>
      </c>
      <c r="S154" s="97">
        <v>2.9127461925328398E-3</v>
      </c>
      <c r="T154" s="97">
        <v>6.3055904171316797E-3</v>
      </c>
      <c r="U154" s="97">
        <v>3.2421456115635E-3</v>
      </c>
    </row>
    <row r="155" spans="1:21" s="98" customFormat="1" ht="15" customHeight="1" x14ac:dyDescent="0.15">
      <c r="A155" s="96" t="s">
        <v>182</v>
      </c>
      <c r="B155" s="97">
        <v>5.2054287234871597E-3</v>
      </c>
      <c r="C155" s="97">
        <v>2.7796218530374499E-2</v>
      </c>
      <c r="D155" s="97">
        <v>9.6639305717463007</v>
      </c>
      <c r="E155" s="97">
        <v>0.14210268626158601</v>
      </c>
      <c r="F155" s="97">
        <v>1.5692506792723899</v>
      </c>
      <c r="G155" s="97">
        <v>0.57806910745754803</v>
      </c>
      <c r="H155" s="97">
        <v>3.3694327156313502E-4</v>
      </c>
      <c r="I155" s="97">
        <v>6.1822801612198899E-2</v>
      </c>
      <c r="J155" s="97">
        <v>4.8018704898558598E-2</v>
      </c>
      <c r="K155" s="97">
        <v>4.8846046786565304E-4</v>
      </c>
      <c r="L155" s="97">
        <v>1.0514890695358201E-3</v>
      </c>
      <c r="M155" s="97">
        <v>4.9800920261692302E-3</v>
      </c>
      <c r="N155" s="97">
        <v>2.5107730673620599E-5</v>
      </c>
      <c r="O155" s="97">
        <v>2.0409008096901999E-3</v>
      </c>
      <c r="P155" s="97">
        <v>0.63811221046785305</v>
      </c>
      <c r="Q155" s="97">
        <v>4.90048417011257E-2</v>
      </c>
      <c r="R155" s="97">
        <v>4.9940766429969396E-3</v>
      </c>
      <c r="S155" s="97">
        <v>2.2462665160049799E-3</v>
      </c>
      <c r="T155" s="97">
        <v>4.6199760758853202E-3</v>
      </c>
      <c r="U155" s="97">
        <v>2.1609475145591799E-3</v>
      </c>
    </row>
    <row r="156" spans="1:21" s="98" customFormat="1" ht="15" customHeight="1" x14ac:dyDescent="0.15">
      <c r="A156" s="96" t="s">
        <v>182</v>
      </c>
      <c r="B156" s="97">
        <v>5.2983257943151297E-3</v>
      </c>
      <c r="C156" s="97">
        <v>2.61485761849818E-2</v>
      </c>
      <c r="D156" s="97">
        <v>9.6096592512960299</v>
      </c>
      <c r="E156" s="97">
        <v>0.143571879935734</v>
      </c>
      <c r="F156" s="97">
        <v>1.5700152386753301</v>
      </c>
      <c r="G156" s="97">
        <v>0.57952166441861597</v>
      </c>
      <c r="H156" s="97">
        <v>8.3826828010782504E-4</v>
      </c>
      <c r="I156" s="97">
        <v>6.07638099986854E-2</v>
      </c>
      <c r="J156" s="97">
        <v>4.6912024418128501E-2</v>
      </c>
      <c r="K156" s="97">
        <v>4.4010415250862902E-4</v>
      </c>
      <c r="L156" s="97">
        <v>1.1350004587062099E-3</v>
      </c>
      <c r="M156" s="97">
        <v>5.0320931879472798E-3</v>
      </c>
      <c r="N156" s="97">
        <v>4.4284139465337199E-5</v>
      </c>
      <c r="O156" s="97">
        <v>1.24687796262236E-2</v>
      </c>
      <c r="P156" s="97">
        <v>0.62620801925215697</v>
      </c>
      <c r="Q156" s="97">
        <v>5.0002797694623603E-2</v>
      </c>
      <c r="R156" s="97">
        <v>5.2754266296739299E-3</v>
      </c>
      <c r="S156" s="97">
        <v>2.5454605023239501E-3</v>
      </c>
      <c r="T156" s="97">
        <v>4.1521663769214798E-3</v>
      </c>
      <c r="U156" s="97">
        <v>2.32562360913396E-3</v>
      </c>
    </row>
    <row r="157" spans="1:21" s="98" customFormat="1" ht="15" customHeight="1" x14ac:dyDescent="0.15">
      <c r="A157" s="96" t="s">
        <v>183</v>
      </c>
      <c r="B157" s="97">
        <v>1.6624987552031199E-2</v>
      </c>
      <c r="C157" s="97">
        <v>0.12547387124033599</v>
      </c>
      <c r="D157" s="97">
        <v>39.847717888817101</v>
      </c>
      <c r="E157" s="97">
        <v>0.59652535627234105</v>
      </c>
      <c r="F157" s="97">
        <v>1.38761274063863</v>
      </c>
      <c r="G157" s="97">
        <v>7.8132053712383902</v>
      </c>
      <c r="H157" s="97">
        <v>5.2062180083456699E-3</v>
      </c>
      <c r="I157" s="97">
        <v>0.13079181814233101</v>
      </c>
      <c r="J157" s="97">
        <v>1.90036605374483E-2</v>
      </c>
      <c r="K157" s="97">
        <v>4.1823956503470603E-3</v>
      </c>
      <c r="L157" s="97">
        <v>6.6938897930098303E-3</v>
      </c>
      <c r="M157" s="97">
        <v>8.8989254452966293E-2</v>
      </c>
      <c r="N157" s="97">
        <v>5.4091259361597696E-4</v>
      </c>
      <c r="O157" s="97">
        <v>0.50571430640412096</v>
      </c>
      <c r="P157" s="97">
        <v>5.8168590883751898</v>
      </c>
      <c r="Q157" s="97">
        <v>0.118107951879504</v>
      </c>
      <c r="R157" s="97">
        <v>8.6294592359722394E-2</v>
      </c>
      <c r="S157" s="97">
        <v>8.5121511667170802E-2</v>
      </c>
      <c r="T157" s="97">
        <v>8.3004350262336907E-2</v>
      </c>
      <c r="U157" s="97">
        <v>8.4265466603099595E-2</v>
      </c>
    </row>
    <row r="158" spans="1:21" s="98" customFormat="1" ht="15" customHeight="1" x14ac:dyDescent="0.15">
      <c r="A158" s="96" t="s">
        <v>183</v>
      </c>
      <c r="B158" s="97">
        <v>1.6484971099010402E-2</v>
      </c>
      <c r="C158" s="97">
        <v>0.12995580878976801</v>
      </c>
      <c r="D158" s="97">
        <v>40.336390655290501</v>
      </c>
      <c r="E158" s="97">
        <v>0.59987936128639596</v>
      </c>
      <c r="F158" s="97">
        <v>1.3994125622506099</v>
      </c>
      <c r="G158" s="97">
        <v>8.0247377744685995</v>
      </c>
      <c r="H158" s="97">
        <v>5.5319565069867904E-3</v>
      </c>
      <c r="I158" s="97">
        <v>0.12834106802776801</v>
      </c>
      <c r="J158" s="97">
        <v>1.87359028641918E-2</v>
      </c>
      <c r="K158" s="97">
        <v>4.5893130839884397E-3</v>
      </c>
      <c r="L158" s="97">
        <v>6.1957311105634103E-3</v>
      </c>
      <c r="M158" s="97">
        <v>8.8051628912230104E-2</v>
      </c>
      <c r="N158" s="97">
        <v>4.1708092636260399E-4</v>
      </c>
      <c r="O158" s="97">
        <v>0.26710820805368402</v>
      </c>
      <c r="P158" s="97">
        <v>5.8472396972669802</v>
      </c>
      <c r="Q158" s="97">
        <v>0.122713737513979</v>
      </c>
      <c r="R158" s="97">
        <v>8.4826318787035102E-2</v>
      </c>
      <c r="S158" s="97">
        <v>8.3535282299621899E-2</v>
      </c>
      <c r="T158" s="97">
        <v>8.2556805525047502E-2</v>
      </c>
      <c r="U158" s="97">
        <v>8.3487870429505201E-2</v>
      </c>
    </row>
    <row r="159" spans="1:21" s="98" customFormat="1" ht="15" customHeight="1" x14ac:dyDescent="0.15">
      <c r="A159" s="96" t="s">
        <v>184</v>
      </c>
      <c r="B159" s="97">
        <v>1.06237310045325E-2</v>
      </c>
      <c r="C159" s="97">
        <v>7.4335267194263602E-2</v>
      </c>
      <c r="D159" s="97">
        <v>27.076799367146702</v>
      </c>
      <c r="E159" s="97">
        <v>0.53657995022947602</v>
      </c>
      <c r="F159" s="97">
        <v>2.3097276089374601</v>
      </c>
      <c r="G159" s="97">
        <v>2.1270951521399599</v>
      </c>
      <c r="H159" s="97">
        <v>2.3652829330443699E-3</v>
      </c>
      <c r="I159" s="97">
        <v>0.168288812465926</v>
      </c>
      <c r="J159" s="97">
        <v>3.7881097448774798E-2</v>
      </c>
      <c r="K159" s="97">
        <v>2.22905252358671E-3</v>
      </c>
      <c r="L159" s="97">
        <v>4.1009331373205596E-3</v>
      </c>
      <c r="M159" s="97">
        <v>2.32846458755421E-2</v>
      </c>
      <c r="N159" s="97">
        <v>2.153998800934E-3</v>
      </c>
      <c r="O159" s="97">
        <v>2.7741721118750401E-3</v>
      </c>
      <c r="P159" s="97">
        <v>2.3729478795108601</v>
      </c>
      <c r="Q159" s="97">
        <v>0.30562201362993002</v>
      </c>
      <c r="R159" s="97">
        <v>4.2023974800650697E-2</v>
      </c>
      <c r="S159" s="97">
        <v>4.0077142735445902E-2</v>
      </c>
      <c r="T159" s="97">
        <v>4.1147337456157403E-2</v>
      </c>
      <c r="U159" s="97">
        <v>3.8862415887841603E-2</v>
      </c>
    </row>
    <row r="160" spans="1:21" s="98" customFormat="1" ht="15" customHeight="1" x14ac:dyDescent="0.15">
      <c r="A160" s="96" t="s">
        <v>184</v>
      </c>
      <c r="B160" s="97">
        <v>1.01268359884823E-2</v>
      </c>
      <c r="C160" s="97">
        <v>7.6549667666472199E-2</v>
      </c>
      <c r="D160" s="97">
        <v>27.487847698902701</v>
      </c>
      <c r="E160" s="97">
        <v>0.55104186123488497</v>
      </c>
      <c r="F160" s="97">
        <v>2.3754318881241399</v>
      </c>
      <c r="G160" s="97">
        <v>2.1482228128102601</v>
      </c>
      <c r="H160" s="97">
        <v>2.2486711014342901E-3</v>
      </c>
      <c r="I160" s="97">
        <v>0.17072543507209301</v>
      </c>
      <c r="J160" s="97">
        <v>3.7720094009595702E-2</v>
      </c>
      <c r="K160" s="97">
        <v>2.6494844671450502E-3</v>
      </c>
      <c r="L160" s="97">
        <v>4.2702288448935102E-3</v>
      </c>
      <c r="M160" s="97">
        <v>2.3087801778356402E-2</v>
      </c>
      <c r="N160" s="97">
        <v>2.1511413268530699E-3</v>
      </c>
      <c r="O160" s="97">
        <v>3.7540066497547299E-3</v>
      </c>
      <c r="P160" s="97">
        <v>2.43286303720713</v>
      </c>
      <c r="Q160" s="97">
        <v>0.30626594738053597</v>
      </c>
      <c r="R160" s="97">
        <v>4.3490805434646097E-2</v>
      </c>
      <c r="S160" s="97">
        <v>4.0582089743151098E-2</v>
      </c>
      <c r="T160" s="97">
        <v>4.1151246591800902E-2</v>
      </c>
      <c r="U160" s="97">
        <v>3.8689070811986401E-2</v>
      </c>
    </row>
    <row r="161" spans="1:21" s="98" customFormat="1" ht="15" customHeight="1" x14ac:dyDescent="0.15">
      <c r="A161" s="96" t="s">
        <v>185</v>
      </c>
      <c r="B161" s="97">
        <v>2.6477619725893398E-2</v>
      </c>
      <c r="C161" s="97">
        <v>3.55693263645738E-2</v>
      </c>
      <c r="D161" s="97">
        <v>20.224041539940401</v>
      </c>
      <c r="E161" s="97">
        <v>0.29839166978287601</v>
      </c>
      <c r="F161" s="97">
        <v>1.10339906906389</v>
      </c>
      <c r="G161" s="97">
        <v>0.40796586777435401</v>
      </c>
      <c r="H161" s="97">
        <v>1.67676541811402E-3</v>
      </c>
      <c r="I161" s="97">
        <v>9.6816230561056094E-2</v>
      </c>
      <c r="J161" s="97">
        <v>3.1122338914180901E-2</v>
      </c>
      <c r="K161" s="97">
        <v>2.5701617071574801E-4</v>
      </c>
      <c r="L161" s="97">
        <v>3.5965200586983099E-3</v>
      </c>
      <c r="M161" s="97">
        <v>1.2938878734445099E-2</v>
      </c>
      <c r="N161" s="97">
        <v>5.9360752333066702E-5</v>
      </c>
      <c r="O161" s="97">
        <v>1.7244095681569901E-3</v>
      </c>
      <c r="P161" s="97">
        <v>2.7423898548752699</v>
      </c>
      <c r="Q161" s="97">
        <v>0.206199874809183</v>
      </c>
      <c r="R161" s="97">
        <v>1.26545189614366E-2</v>
      </c>
      <c r="S161" s="97">
        <v>9.2216847900927507E-3</v>
      </c>
      <c r="T161" s="97">
        <v>1.15616612281206E-2</v>
      </c>
      <c r="U161" s="97">
        <v>9.1684830060989007E-3</v>
      </c>
    </row>
    <row r="162" spans="1:21" s="98" customFormat="1" ht="15" customHeight="1" x14ac:dyDescent="0.15">
      <c r="A162" s="96" t="s">
        <v>186</v>
      </c>
      <c r="B162" s="97">
        <v>5.2131939591088501E-3</v>
      </c>
      <c r="C162" s="97">
        <v>1.65239172192755E-2</v>
      </c>
      <c r="D162" s="97">
        <v>3.5651260211969502</v>
      </c>
      <c r="E162" s="97">
        <v>0.10994781222319799</v>
      </c>
      <c r="F162" s="97">
        <v>1.2536695420623001</v>
      </c>
      <c r="G162" s="97">
        <v>0.398614831358448</v>
      </c>
      <c r="H162" s="97">
        <v>9.21725061854777E-5</v>
      </c>
      <c r="I162" s="97">
        <v>4.9302568572835902E-2</v>
      </c>
      <c r="J162" s="97">
        <v>4.0518654663525298E-2</v>
      </c>
      <c r="K162" s="97">
        <v>4.7127115617716099E-4</v>
      </c>
      <c r="L162" s="97">
        <v>8.0299811745598304E-3</v>
      </c>
      <c r="M162" s="97">
        <v>6.2371668956441098E-3</v>
      </c>
      <c r="N162" s="97">
        <v>1.45115059706306E-4</v>
      </c>
      <c r="O162" s="97">
        <v>3.0811353265049598E-3</v>
      </c>
      <c r="P162" s="97">
        <v>0.40813394325177099</v>
      </c>
      <c r="Q162" s="97">
        <v>5.3722302030070002E-2</v>
      </c>
      <c r="R162" s="97">
        <v>1.0288854673746E-2</v>
      </c>
      <c r="S162" s="97">
        <v>8.6099510211758608E-3</v>
      </c>
      <c r="T162" s="97">
        <v>1.01875765486114E-2</v>
      </c>
      <c r="U162" s="97">
        <v>7.9973738676618906E-3</v>
      </c>
    </row>
    <row r="163" spans="1:21" s="98" customFormat="1" ht="13" x14ac:dyDescent="0.15">
      <c r="A163" s="96" t="s">
        <v>186</v>
      </c>
      <c r="B163" s="97">
        <v>4.2471664823228901E-3</v>
      </c>
      <c r="C163" s="97">
        <v>1.56319525784499E-2</v>
      </c>
      <c r="D163" s="97">
        <v>3.5873870907245302</v>
      </c>
      <c r="E163" s="97">
        <v>0.101958523152168</v>
      </c>
      <c r="F163" s="97">
        <v>1.1949948266005901</v>
      </c>
      <c r="G163" s="97">
        <v>0.37047045665793099</v>
      </c>
      <c r="H163" s="97">
        <v>1.7010744505635501E-5</v>
      </c>
      <c r="I163" s="97">
        <v>4.7180585989957599E-2</v>
      </c>
      <c r="J163" s="97">
        <v>4.0415288502576502E-2</v>
      </c>
      <c r="K163" s="97">
        <v>2.4871745461793799E-4</v>
      </c>
      <c r="L163" s="97">
        <v>7.5838089633351504E-3</v>
      </c>
      <c r="M163" s="97">
        <v>5.8960352256347904E-3</v>
      </c>
      <c r="N163" s="97">
        <v>1.5371995535923101E-4</v>
      </c>
      <c r="O163" s="97">
        <v>5.0593173282860804E-3</v>
      </c>
      <c r="P163" s="97">
        <v>0.385449558247556</v>
      </c>
      <c r="Q163" s="97">
        <v>4.9894422124577099E-2</v>
      </c>
      <c r="R163" s="97">
        <v>1.1784893915285101E-2</v>
      </c>
      <c r="S163" s="97">
        <v>9.3267272822590702E-3</v>
      </c>
      <c r="T163" s="97">
        <v>1.0668879505934901E-2</v>
      </c>
      <c r="U163" s="97">
        <v>8.0410157871979599E-3</v>
      </c>
    </row>
    <row r="164" spans="1:21" s="98" customFormat="1" ht="13" x14ac:dyDescent="0.15">
      <c r="A164" s="96" t="s">
        <v>187</v>
      </c>
      <c r="B164" s="97">
        <v>6.3690017279007596E-3</v>
      </c>
      <c r="C164" s="97">
        <v>2.3512823214261999E-2</v>
      </c>
      <c r="D164" s="97">
        <v>5.6169363103481</v>
      </c>
      <c r="E164" s="97">
        <v>0.19955936650772299</v>
      </c>
      <c r="F164" s="97">
        <v>1.4023335723319901</v>
      </c>
      <c r="G164" s="97">
        <v>0.52972955837147095</v>
      </c>
      <c r="H164" s="97">
        <v>3.7054980713308199E-3</v>
      </c>
      <c r="I164" s="97">
        <v>0.10136968695835601</v>
      </c>
      <c r="J164" s="97">
        <v>2.7579503174062998E-2</v>
      </c>
      <c r="K164" s="97">
        <v>1.1164289239027399E-3</v>
      </c>
      <c r="L164" s="97">
        <v>2.2209268587446802E-3</v>
      </c>
      <c r="M164" s="97">
        <v>4.0555212494482802E-2</v>
      </c>
      <c r="N164" s="97">
        <v>2.0646848607803599E-4</v>
      </c>
      <c r="O164" s="97">
        <v>5.0528285679756297E-3</v>
      </c>
      <c r="P164" s="97">
        <v>0.58379875886523103</v>
      </c>
      <c r="Q164" s="97">
        <v>9.3867909303924205E-2</v>
      </c>
      <c r="R164" s="97">
        <v>7.9867908226826205E-3</v>
      </c>
      <c r="S164" s="97">
        <v>4.70025830155512E-3</v>
      </c>
      <c r="T164" s="97">
        <v>6.8808823161596797E-3</v>
      </c>
      <c r="U164" s="97">
        <v>3.65996775685148E-3</v>
      </c>
    </row>
    <row r="165" spans="1:21" s="98" customFormat="1" ht="13" x14ac:dyDescent="0.15">
      <c r="A165" s="96" t="s">
        <v>187</v>
      </c>
      <c r="B165" s="97">
        <v>6.0333617748035296E-3</v>
      </c>
      <c r="C165" s="97">
        <v>2.2337491111263999E-2</v>
      </c>
      <c r="D165" s="97">
        <v>5.6356006351021497</v>
      </c>
      <c r="E165" s="97">
        <v>0.20031470202429699</v>
      </c>
      <c r="F165" s="97">
        <v>1.4268080427783001</v>
      </c>
      <c r="G165" s="97">
        <v>0.53787638944204597</v>
      </c>
      <c r="H165" s="97">
        <v>3.1816453004641699E-3</v>
      </c>
      <c r="I165" s="97">
        <v>9.8047478428477997E-2</v>
      </c>
      <c r="J165" s="97">
        <v>2.8367635067540701E-2</v>
      </c>
      <c r="K165" s="97">
        <v>1.0825821496049E-3</v>
      </c>
      <c r="L165" s="97">
        <v>2.2594804964737002E-3</v>
      </c>
      <c r="M165" s="97">
        <v>4.10624127734402E-2</v>
      </c>
      <c r="N165" s="97">
        <v>1.7683723184229699E-4</v>
      </c>
      <c r="O165" s="97">
        <v>3.0658583419086601E-3</v>
      </c>
      <c r="P165" s="97">
        <v>0.59139324137467997</v>
      </c>
      <c r="Q165" s="97">
        <v>9.2507387774858604E-2</v>
      </c>
      <c r="R165" s="97">
        <v>7.9177107574405995E-3</v>
      </c>
      <c r="S165" s="97">
        <v>3.6491516744822901E-3</v>
      </c>
      <c r="T165" s="97">
        <v>6.4026002564601401E-3</v>
      </c>
      <c r="U165" s="97">
        <v>3.2688480244259799E-3</v>
      </c>
    </row>
    <row r="166" spans="1:21" s="98" customFormat="1" ht="13" x14ac:dyDescent="0.15">
      <c r="A166" s="96" t="s">
        <v>188</v>
      </c>
      <c r="B166" s="97">
        <v>5.2583564415542901E-3</v>
      </c>
      <c r="C166" s="97">
        <v>2.4371275359215998E-2</v>
      </c>
      <c r="D166" s="97">
        <v>7.7289972268155704</v>
      </c>
      <c r="E166" s="97">
        <v>0.20470772171618801</v>
      </c>
      <c r="F166" s="97">
        <v>1.2453129744824201</v>
      </c>
      <c r="G166" s="97">
        <v>0.39542841080413299</v>
      </c>
      <c r="H166" s="97">
        <v>6.4930041071490697E-4</v>
      </c>
      <c r="I166" s="97">
        <v>6.86710317637413E-2</v>
      </c>
      <c r="J166" s="97">
        <v>9.9062458284926106E-3</v>
      </c>
      <c r="K166" s="97">
        <v>6.98858035625619E-4</v>
      </c>
      <c r="L166" s="97">
        <v>2.8018884756381298E-3</v>
      </c>
      <c r="M166" s="97">
        <v>6.8652572230046898E-3</v>
      </c>
      <c r="N166" s="97">
        <v>8.0790402998732506E-5</v>
      </c>
      <c r="O166" s="97">
        <v>-3.5524852836544499E-4</v>
      </c>
      <c r="P166" s="97">
        <v>0.32835668525299599</v>
      </c>
      <c r="Q166" s="97">
        <v>0.28909157367843902</v>
      </c>
      <c r="R166" s="97">
        <v>1.4382277960835001E-2</v>
      </c>
      <c r="S166" s="97">
        <v>1.1421431818890699E-2</v>
      </c>
      <c r="T166" s="97">
        <v>1.4469443818639001E-2</v>
      </c>
      <c r="U166" s="97">
        <v>1.0832803655084201E-2</v>
      </c>
    </row>
    <row r="167" spans="1:21" s="98" customFormat="1" ht="13" x14ac:dyDescent="0.15">
      <c r="A167" s="96" t="s">
        <v>188</v>
      </c>
      <c r="B167" s="97">
        <v>6.1553899928950004E-3</v>
      </c>
      <c r="C167" s="97">
        <v>2.3679140293520699E-2</v>
      </c>
      <c r="D167" s="97">
        <v>7.7925153852785902</v>
      </c>
      <c r="E167" s="97">
        <v>0.202032230243408</v>
      </c>
      <c r="F167" s="97">
        <v>1.2549789163577301</v>
      </c>
      <c r="G167" s="97">
        <v>0.368225300003581</v>
      </c>
      <c r="H167" s="97">
        <v>1.0121492181586301E-4</v>
      </c>
      <c r="I167" s="97">
        <v>7.4401757168443203E-2</v>
      </c>
      <c r="J167" s="97">
        <v>7.2029051697631999E-3</v>
      </c>
      <c r="K167" s="97">
        <v>3.9926715413978901E-4</v>
      </c>
      <c r="L167" s="97">
        <v>3.0990906738359498E-3</v>
      </c>
      <c r="M167" s="97">
        <v>6.03254655626309E-3</v>
      </c>
      <c r="N167" s="97">
        <v>6.2900587004846502E-5</v>
      </c>
      <c r="O167" s="97">
        <v>-6.0186403766214795E-4</v>
      </c>
      <c r="P167" s="97">
        <v>0.33996891909740201</v>
      </c>
      <c r="Q167" s="97">
        <v>0.30402763779145597</v>
      </c>
      <c r="R167" s="97">
        <v>1.3680339547983301E-2</v>
      </c>
      <c r="S167" s="97">
        <v>1.1672685635449201E-2</v>
      </c>
      <c r="T167" s="97">
        <v>1.42061291060816E-2</v>
      </c>
      <c r="U167" s="97">
        <v>1.1226754672134701E-2</v>
      </c>
    </row>
    <row r="168" spans="1:21" s="98" customFormat="1" ht="13" x14ac:dyDescent="0.15">
      <c r="A168" s="96" t="s">
        <v>189</v>
      </c>
      <c r="B168" s="97">
        <v>6.8475201129661297E-3</v>
      </c>
      <c r="C168" s="97">
        <v>1.52805110857527E-2</v>
      </c>
      <c r="D168" s="97">
        <v>13.114675300655</v>
      </c>
      <c r="E168" s="97">
        <v>0.13216279029762401</v>
      </c>
      <c r="F168" s="97">
        <v>1.15747317359212</v>
      </c>
      <c r="G168" s="97">
        <v>1.78630531965197</v>
      </c>
      <c r="H168" s="97">
        <v>2.3221264508248499E-4</v>
      </c>
      <c r="I168" s="97">
        <v>5.1084205134715698E-2</v>
      </c>
      <c r="J168" s="97">
        <v>6.0015632591512103E-2</v>
      </c>
      <c r="K168" s="97">
        <v>1.4204550067923199E-3</v>
      </c>
      <c r="L168" s="97">
        <v>2.5084650964266901E-3</v>
      </c>
      <c r="M168" s="97">
        <v>4.0816886887795499E-3</v>
      </c>
      <c r="N168" s="97">
        <v>7.3343171127411401E-5</v>
      </c>
      <c r="O168" s="97">
        <v>-1.26286629011169E-3</v>
      </c>
      <c r="P168" s="97">
        <v>1.49598379561576</v>
      </c>
      <c r="Q168" s="97">
        <v>0.79352257768245504</v>
      </c>
      <c r="R168" s="97">
        <v>6.8630673105204796E-3</v>
      </c>
      <c r="S168" s="97">
        <v>4.6457361682103199E-3</v>
      </c>
      <c r="T168" s="97">
        <v>6.0972874717804496E-3</v>
      </c>
      <c r="U168" s="97">
        <v>4.0872641942669499E-3</v>
      </c>
    </row>
    <row r="169" spans="1:21" s="98" customFormat="1" ht="13" x14ac:dyDescent="0.15">
      <c r="A169" s="96" t="s">
        <v>189</v>
      </c>
      <c r="B169" s="97">
        <v>6.84579660894029E-3</v>
      </c>
      <c r="C169" s="97">
        <v>1.56257507927316E-2</v>
      </c>
      <c r="D169" s="97">
        <v>13.1883954631662</v>
      </c>
      <c r="E169" s="97">
        <v>0.13502660399938701</v>
      </c>
      <c r="F169" s="97">
        <v>1.16958210450403</v>
      </c>
      <c r="G169" s="97">
        <v>1.8128841613597599</v>
      </c>
      <c r="H169" s="97">
        <v>4.5363900603440901E-4</v>
      </c>
      <c r="I169" s="97">
        <v>5.0219857587963303E-2</v>
      </c>
      <c r="J169" s="97">
        <v>6.0335962521842403E-2</v>
      </c>
      <c r="K169" s="97">
        <v>1.06516264648355E-3</v>
      </c>
      <c r="L169" s="97">
        <v>2.4317311165482302E-3</v>
      </c>
      <c r="M169" s="97">
        <v>3.9359670326027003E-3</v>
      </c>
      <c r="N169" s="97">
        <v>5.4062875670847599E-5</v>
      </c>
      <c r="O169" s="97">
        <v>-1.52583658236524E-3</v>
      </c>
      <c r="P169" s="97">
        <v>1.4921605243785501</v>
      </c>
      <c r="Q169" s="97">
        <v>0.79382105104222001</v>
      </c>
      <c r="R169" s="97">
        <v>6.45452848656954E-3</v>
      </c>
      <c r="S169" s="97">
        <v>4.8414085529012302E-3</v>
      </c>
      <c r="T169" s="97">
        <v>6.4889793400322304E-3</v>
      </c>
      <c r="U169" s="97">
        <v>4.4632915208560496E-3</v>
      </c>
    </row>
    <row r="170" spans="1:21" s="98" customFormat="1" ht="13" x14ac:dyDescent="0.15">
      <c r="A170" s="96" t="s">
        <v>190</v>
      </c>
      <c r="B170" s="97">
        <v>5.7767573463769501E-3</v>
      </c>
      <c r="C170" s="97">
        <v>2.82617024100787E-2</v>
      </c>
      <c r="D170" s="97">
        <v>13.9471674230492</v>
      </c>
      <c r="E170" s="97">
        <v>0.21260982603369299</v>
      </c>
      <c r="F170" s="97">
        <v>1.6335623304411699</v>
      </c>
      <c r="G170" s="97">
        <v>0.70330200785147801</v>
      </c>
      <c r="H170" s="97">
        <v>4.2903236837047099E-4</v>
      </c>
      <c r="I170" s="97">
        <v>7.6040545785784994E-2</v>
      </c>
      <c r="J170" s="97">
        <v>1.53322373146191E-2</v>
      </c>
      <c r="K170" s="97">
        <v>6.5716619567724604E-4</v>
      </c>
      <c r="L170" s="97">
        <v>2.6966326451826998E-3</v>
      </c>
      <c r="M170" s="97">
        <v>3.0205232487229301E-2</v>
      </c>
      <c r="N170" s="97">
        <v>8.0820352293690993E-5</v>
      </c>
      <c r="O170" s="97">
        <v>-2.2715678800016499E-4</v>
      </c>
      <c r="P170" s="97">
        <v>0.97087310838919305</v>
      </c>
      <c r="Q170" s="97">
        <v>9.0142630139966096E-2</v>
      </c>
      <c r="R170" s="97">
        <v>7.5798685026733899E-3</v>
      </c>
      <c r="S170" s="97">
        <v>5.1957251084140902E-3</v>
      </c>
      <c r="T170" s="97">
        <v>6.9015912346151297E-3</v>
      </c>
      <c r="U170" s="97">
        <v>4.4588073281263303E-3</v>
      </c>
    </row>
    <row r="171" spans="1:21" s="98" customFormat="1" ht="13" x14ac:dyDescent="0.15">
      <c r="A171" s="96" t="s">
        <v>190</v>
      </c>
      <c r="B171" s="97">
        <v>5.6078145414209697E-3</v>
      </c>
      <c r="C171" s="97">
        <v>3.05237183050844E-2</v>
      </c>
      <c r="D171" s="97">
        <v>14.206253098749199</v>
      </c>
      <c r="E171" s="97">
        <v>0.27502605756575998</v>
      </c>
      <c r="F171" s="97">
        <v>1.6654778087570601</v>
      </c>
      <c r="G171" s="97">
        <v>0.70068546353402905</v>
      </c>
      <c r="H171" s="97">
        <v>7.3273776280645105E-4</v>
      </c>
      <c r="I171" s="97">
        <v>7.6997341810974507E-2</v>
      </c>
      <c r="J171" s="97">
        <v>1.83910241445451E-2</v>
      </c>
      <c r="K171" s="97">
        <v>8.01598780781408E-4</v>
      </c>
      <c r="L171" s="97">
        <v>2.6219672048240698E-3</v>
      </c>
      <c r="M171" s="97">
        <v>3.0441765103154501E-2</v>
      </c>
      <c r="N171" s="97">
        <v>3.8037194095510099E-5</v>
      </c>
      <c r="O171" s="97">
        <v>2.1438074332700498E-3</v>
      </c>
      <c r="P171" s="97">
        <v>0.97796511607029102</v>
      </c>
      <c r="Q171" s="97">
        <v>9.3334867695354595E-2</v>
      </c>
      <c r="R171" s="97">
        <v>7.0383847967344501E-3</v>
      </c>
      <c r="S171" s="97">
        <v>4.98099206106805E-3</v>
      </c>
      <c r="T171" s="97">
        <v>6.2155074680299302E-3</v>
      </c>
      <c r="U171" s="97">
        <v>4.5955424954149896E-3</v>
      </c>
    </row>
    <row r="172" spans="1:21" s="98" customFormat="1" ht="13" x14ac:dyDescent="0.15">
      <c r="A172" s="96" t="s">
        <v>191</v>
      </c>
      <c r="B172" s="97">
        <v>1.05444927858635E-2</v>
      </c>
      <c r="C172" s="97">
        <v>6.7293099123900899E-2</v>
      </c>
      <c r="D172" s="97">
        <v>5.31342754293828</v>
      </c>
      <c r="E172" s="97">
        <v>0.25866460420422699</v>
      </c>
      <c r="F172" s="97">
        <v>4.1200440817296498</v>
      </c>
      <c r="G172" s="97">
        <v>0.96691518655297903</v>
      </c>
      <c r="H172" s="97">
        <v>4.1548521642228498E-4</v>
      </c>
      <c r="I172" s="97">
        <v>0.200301111246449</v>
      </c>
      <c r="J172" s="97">
        <v>6.0198563860631098E-2</v>
      </c>
      <c r="K172" s="97">
        <v>7.5813156201463502E-4</v>
      </c>
      <c r="L172" s="97">
        <v>7.2301990511953003E-3</v>
      </c>
      <c r="M172" s="97">
        <v>3.4167213280909998E-2</v>
      </c>
      <c r="N172" s="97">
        <v>4.7670437006658402E-5</v>
      </c>
      <c r="O172" s="97">
        <v>1.41134720333499E-3</v>
      </c>
      <c r="P172" s="97">
        <v>0.69830583736783303</v>
      </c>
      <c r="Q172" s="97">
        <v>0.34029102435041497</v>
      </c>
      <c r="R172" s="97">
        <v>1.24486128538225E-2</v>
      </c>
      <c r="S172" s="97">
        <v>7.04635270450861E-3</v>
      </c>
      <c r="T172" s="97">
        <v>1.2463552292361599E-2</v>
      </c>
      <c r="U172" s="97">
        <v>7.0637360669148202E-3</v>
      </c>
    </row>
    <row r="173" spans="1:21" s="98" customFormat="1" ht="13" x14ac:dyDescent="0.15">
      <c r="A173" s="96" t="s">
        <v>191</v>
      </c>
      <c r="B173" s="97">
        <v>1.01703962653725E-2</v>
      </c>
      <c r="C173" s="97">
        <v>6.2809388324133894E-2</v>
      </c>
      <c r="D173" s="97">
        <v>5.2467041994387698</v>
      </c>
      <c r="E173" s="97">
        <v>0.264637472007071</v>
      </c>
      <c r="F173" s="97">
        <v>4.0366028134515997</v>
      </c>
      <c r="G173" s="97">
        <v>0.96911344563000701</v>
      </c>
      <c r="H173" s="97">
        <v>4.0539624595552399E-4</v>
      </c>
      <c r="I173" s="97">
        <v>0.18902135713634</v>
      </c>
      <c r="J173" s="97">
        <v>5.65337749561729E-2</v>
      </c>
      <c r="K173" s="97">
        <v>6.6799638012801697E-4</v>
      </c>
      <c r="L173" s="97">
        <v>6.7860840049747797E-3</v>
      </c>
      <c r="M173" s="97">
        <v>3.4791546498436299E-2</v>
      </c>
      <c r="N173" s="97">
        <v>3.5912472070764198E-5</v>
      </c>
      <c r="O173" s="97">
        <v>5.5566642154149899E-4</v>
      </c>
      <c r="P173" s="97">
        <v>0.68893604502118899</v>
      </c>
      <c r="Q173" s="97">
        <v>0.33313501704784798</v>
      </c>
      <c r="R173" s="97">
        <v>1.38156784749869E-2</v>
      </c>
      <c r="S173" s="97">
        <v>6.5574133251802202E-3</v>
      </c>
      <c r="T173" s="97">
        <v>1.28609922500916E-2</v>
      </c>
      <c r="U173" s="97">
        <v>7.2524377111223004E-3</v>
      </c>
    </row>
    <row r="174" spans="1:21" s="98" customFormat="1" ht="13" x14ac:dyDescent="0.15">
      <c r="A174" s="96" t="s">
        <v>192</v>
      </c>
      <c r="B174" s="97">
        <v>9.6315589460821693E-3</v>
      </c>
      <c r="C174" s="97">
        <v>2.2832136484828999E-2</v>
      </c>
      <c r="D174" s="97">
        <v>12.7278783989955</v>
      </c>
      <c r="E174" s="97">
        <v>0.26207283732826803</v>
      </c>
      <c r="F174" s="97">
        <v>1.91924904069691</v>
      </c>
      <c r="G174" s="97">
        <v>1.0761523588099899</v>
      </c>
      <c r="H174" s="97">
        <v>9.54109937171777E-4</v>
      </c>
      <c r="I174" s="97">
        <v>0.12752053941140601</v>
      </c>
      <c r="J174" s="97">
        <v>2.5793925471016999E-2</v>
      </c>
      <c r="K174" s="97">
        <v>6.9020788874388499E-4</v>
      </c>
      <c r="L174" s="97">
        <v>7.4123248337905796E-3</v>
      </c>
      <c r="M174" s="97">
        <v>1.7374897187533201E-2</v>
      </c>
      <c r="N174" s="97">
        <v>8.0931369809305698E-5</v>
      </c>
      <c r="O174" s="101">
        <v>1E-3</v>
      </c>
      <c r="P174" s="97">
        <v>0.86019088039887304</v>
      </c>
      <c r="Q174" s="97">
        <v>0.26752729903544897</v>
      </c>
      <c r="R174" s="97">
        <v>1.8323274801877398E-2</v>
      </c>
      <c r="S174" s="97">
        <v>1.69853970254084E-2</v>
      </c>
      <c r="T174" s="97">
        <v>1.78817219472059E-2</v>
      </c>
      <c r="U174" s="97">
        <v>1.5372605519799999E-2</v>
      </c>
    </row>
    <row r="175" spans="1:21" s="98" customFormat="1" ht="13" x14ac:dyDescent="0.15">
      <c r="A175" s="96" t="s">
        <v>192</v>
      </c>
      <c r="B175" s="97">
        <v>9.5013105411189697E-3</v>
      </c>
      <c r="C175" s="97">
        <v>2.1264435077622702E-2</v>
      </c>
      <c r="D175" s="97">
        <v>12.2099310744495</v>
      </c>
      <c r="E175" s="97">
        <v>0.27141261772299202</v>
      </c>
      <c r="F175" s="97">
        <v>1.87218466929994</v>
      </c>
      <c r="G175" s="97">
        <v>1.0691727850407899</v>
      </c>
      <c r="H175" s="97">
        <v>6.7382047385846299E-4</v>
      </c>
      <c r="I175" s="97">
        <v>0.121654909144331</v>
      </c>
      <c r="J175" s="97">
        <v>2.2574114994524001E-2</v>
      </c>
      <c r="K175" s="97">
        <v>8.4030970068470895E-4</v>
      </c>
      <c r="L175" s="97">
        <v>7.0616849180442703E-3</v>
      </c>
      <c r="M175" s="97">
        <v>1.5523275135390001E-2</v>
      </c>
      <c r="N175" s="97">
        <v>7.33874111406313E-5</v>
      </c>
      <c r="O175" s="101">
        <v>0</v>
      </c>
      <c r="P175" s="97">
        <v>0.86906561144000305</v>
      </c>
      <c r="Q175" s="97">
        <v>0.26820731003368598</v>
      </c>
      <c r="R175" s="97">
        <v>1.82208369769002E-2</v>
      </c>
      <c r="S175" s="97">
        <v>1.5668651683264301E-2</v>
      </c>
      <c r="T175" s="97">
        <v>1.70268976515042E-2</v>
      </c>
      <c r="U175" s="97">
        <v>1.5221642019493799E-2</v>
      </c>
    </row>
    <row r="176" spans="1:21" s="98" customFormat="1" ht="13" x14ac:dyDescent="0.15">
      <c r="A176" s="96" t="s">
        <v>193</v>
      </c>
      <c r="B176" s="97">
        <v>1.8111671782505601E-2</v>
      </c>
      <c r="C176" s="97">
        <v>4.9249809130294399E-2</v>
      </c>
      <c r="D176" s="97">
        <v>28.311324885486599</v>
      </c>
      <c r="E176" s="97">
        <v>0.50762770109044897</v>
      </c>
      <c r="F176" s="97">
        <v>7.58054691915373</v>
      </c>
      <c r="G176" s="97">
        <v>1.04414998339095</v>
      </c>
      <c r="H176" s="97">
        <v>3.8974865223810702E-3</v>
      </c>
      <c r="I176" s="97">
        <v>0.125673460723254</v>
      </c>
      <c r="J176" s="97">
        <v>8.1456197550995896E-2</v>
      </c>
      <c r="K176" s="97">
        <v>1.52577608689698E-3</v>
      </c>
      <c r="L176" s="97">
        <v>1.6542028424855299E-3</v>
      </c>
      <c r="M176" s="97">
        <v>2.5572214256436701E-2</v>
      </c>
      <c r="N176" s="97">
        <v>7.6534869835491503E-4</v>
      </c>
      <c r="O176" s="101">
        <v>5.2999999999999999E-2</v>
      </c>
      <c r="P176" s="97">
        <v>1.6506753591265999</v>
      </c>
      <c r="Q176" s="97">
        <v>0.15709532269559801</v>
      </c>
      <c r="R176" s="97">
        <v>1.6992474401191698E-2</v>
      </c>
      <c r="S176" s="97">
        <v>1.14858595407876E-2</v>
      </c>
      <c r="T176" s="97">
        <v>1.7015625482717098E-2</v>
      </c>
      <c r="U176" s="97">
        <v>1.1587687072419001E-2</v>
      </c>
    </row>
    <row r="177" spans="1:21" s="98" customFormat="1" ht="13" x14ac:dyDescent="0.15">
      <c r="A177" s="96" t="s">
        <v>193</v>
      </c>
      <c r="B177" s="97">
        <v>1.82914238847308E-2</v>
      </c>
      <c r="C177" s="97">
        <v>5.2072706444761599E-2</v>
      </c>
      <c r="D177" s="97">
        <v>24.747805438508401</v>
      </c>
      <c r="E177" s="97">
        <v>0.50610048645549899</v>
      </c>
      <c r="F177" s="97">
        <v>7.4458487031314498</v>
      </c>
      <c r="G177" s="97">
        <v>1.0280712482560601</v>
      </c>
      <c r="H177" s="97">
        <v>3.9610895333384698E-3</v>
      </c>
      <c r="I177" s="97">
        <v>0.12337807670722301</v>
      </c>
      <c r="J177" s="97">
        <v>8.1863595324695407E-2</v>
      </c>
      <c r="K177" s="97">
        <v>1.29717995516524E-3</v>
      </c>
      <c r="L177" s="97">
        <v>1.6190787961914499E-3</v>
      </c>
      <c r="M177" s="97">
        <v>2.5186033917891201E-2</v>
      </c>
      <c r="N177" s="97">
        <v>5.2509478221530299E-4</v>
      </c>
      <c r="O177" s="101">
        <v>4.3999999999999997E-2</v>
      </c>
      <c r="P177" s="97">
        <v>1.6299130279765099</v>
      </c>
      <c r="Q177" s="97">
        <v>0.154277632129835</v>
      </c>
      <c r="R177" s="97">
        <v>1.66422591214655E-2</v>
      </c>
      <c r="S177" s="97">
        <v>1.12826489632294E-2</v>
      </c>
      <c r="T177" s="97">
        <v>1.6942229569492599E-2</v>
      </c>
      <c r="U177" s="97">
        <v>1.07982043272256E-2</v>
      </c>
    </row>
    <row r="178" spans="1:21" s="98" customFormat="1" ht="13" x14ac:dyDescent="0.15">
      <c r="A178" s="96" t="s">
        <v>194</v>
      </c>
      <c r="B178" s="97">
        <v>1.5514364115425099E-2</v>
      </c>
      <c r="C178" s="97">
        <v>0.111394394763069</v>
      </c>
      <c r="D178" s="97">
        <v>28.0344347524771</v>
      </c>
      <c r="E178" s="97">
        <v>0.66298696916327504</v>
      </c>
      <c r="F178" s="97">
        <v>5.5335488368913399</v>
      </c>
      <c r="G178" s="97">
        <v>1.16390995531793</v>
      </c>
      <c r="H178" s="97">
        <v>1.64957636350406E-3</v>
      </c>
      <c r="I178" s="97">
        <v>0.58389453608013997</v>
      </c>
      <c r="J178" s="97">
        <v>4.7304337953915698E-2</v>
      </c>
      <c r="K178" s="97">
        <v>1.6646699856354499E-3</v>
      </c>
      <c r="L178" s="97">
        <v>2.8592004286067899E-2</v>
      </c>
      <c r="M178" s="97">
        <v>4.4070474117381603E-2</v>
      </c>
      <c r="N178" s="97">
        <v>4.7889750676918802E-4</v>
      </c>
      <c r="O178" s="101">
        <v>1.4E-2</v>
      </c>
      <c r="P178" s="97">
        <v>2.76339412095184</v>
      </c>
      <c r="Q178" s="97">
        <v>0.90772528794358298</v>
      </c>
      <c r="R178" s="97">
        <v>2.6276181345265201E-2</v>
      </c>
      <c r="S178" s="97">
        <v>2.2220746843268999E-2</v>
      </c>
      <c r="T178" s="97">
        <v>2.64337084354406E-2</v>
      </c>
      <c r="U178" s="97">
        <v>2.11881895782133E-2</v>
      </c>
    </row>
    <row r="179" spans="1:21" s="98" customFormat="1" ht="13" x14ac:dyDescent="0.15">
      <c r="A179" s="96" t="s">
        <v>194</v>
      </c>
      <c r="B179" s="97">
        <v>1.5713017584376598E-2</v>
      </c>
      <c r="C179" s="97">
        <v>0.105040651631988</v>
      </c>
      <c r="D179" s="97">
        <v>27.6372267664816</v>
      </c>
      <c r="E179" s="97">
        <v>0.65964793223060703</v>
      </c>
      <c r="F179" s="97">
        <v>5.6894939503203297</v>
      </c>
      <c r="G179" s="97">
        <v>1.1762195182784201</v>
      </c>
      <c r="H179" s="97">
        <v>1.52681813741175E-3</v>
      </c>
      <c r="I179" s="97">
        <v>0.56443524436069303</v>
      </c>
      <c r="J179" s="97">
        <v>4.8896287194910799E-2</v>
      </c>
      <c r="K179" s="97">
        <v>2.2031972334156701E-3</v>
      </c>
      <c r="L179" s="97">
        <v>2.8290781902028501E-2</v>
      </c>
      <c r="M179" s="97">
        <v>4.3347629605476098E-2</v>
      </c>
      <c r="N179" s="97">
        <v>4.0402838669722401E-4</v>
      </c>
      <c r="O179" s="101">
        <v>1.0999999999999999E-2</v>
      </c>
      <c r="P179" s="97">
        <v>2.7667660927582398</v>
      </c>
      <c r="Q179" s="97">
        <v>0.91108286597967503</v>
      </c>
      <c r="R179" s="97">
        <v>2.5396375041677299E-2</v>
      </c>
      <c r="S179" s="97">
        <v>2.2018642914650499E-2</v>
      </c>
      <c r="T179" s="97">
        <v>2.6328588464010899E-2</v>
      </c>
      <c r="U179" s="97">
        <v>2.1453824186932102E-2</v>
      </c>
    </row>
    <row r="180" spans="1:21" s="98" customFormat="1" ht="13" x14ac:dyDescent="0.15">
      <c r="A180" s="96" t="s">
        <v>195</v>
      </c>
      <c r="B180" s="97">
        <v>7.8706332970076703E-3</v>
      </c>
      <c r="C180" s="97">
        <v>2.9737400062982901E-2</v>
      </c>
      <c r="D180" s="97">
        <v>6.6737641271571402</v>
      </c>
      <c r="E180" s="97">
        <v>0.42689678066015102</v>
      </c>
      <c r="F180" s="97">
        <v>3.3764904812626799</v>
      </c>
      <c r="G180" s="97">
        <v>1.4074285491057399</v>
      </c>
      <c r="H180" s="97">
        <v>1.23468098548114E-3</v>
      </c>
      <c r="I180" s="97">
        <v>0.204254345711956</v>
      </c>
      <c r="J180" s="97">
        <v>2.0168517383568799E-2</v>
      </c>
      <c r="K180" s="97">
        <v>1.71728254841096E-3</v>
      </c>
      <c r="L180" s="97">
        <v>7.7062270858087902E-3</v>
      </c>
      <c r="M180" s="97">
        <v>1.42673511191556E-2</v>
      </c>
      <c r="N180" s="97">
        <v>7.1039459804609598E-4</v>
      </c>
      <c r="O180" s="101">
        <v>0</v>
      </c>
      <c r="P180" s="97">
        <v>1.4674516597788401</v>
      </c>
      <c r="Q180" s="97">
        <v>1.1028071475811301</v>
      </c>
      <c r="R180" s="97">
        <v>4.8047854968804198E-2</v>
      </c>
      <c r="S180" s="97">
        <v>4.4589547845774201E-2</v>
      </c>
      <c r="T180" s="97">
        <v>4.9573454603341199E-2</v>
      </c>
      <c r="U180" s="97">
        <v>4.4352660839767903E-2</v>
      </c>
    </row>
    <row r="181" spans="1:21" s="98" customFormat="1" ht="13" x14ac:dyDescent="0.15">
      <c r="A181" s="96" t="s">
        <v>195</v>
      </c>
      <c r="B181" s="97">
        <v>8.0905753544447696E-3</v>
      </c>
      <c r="C181" s="97">
        <v>2.8376647177386201E-2</v>
      </c>
      <c r="D181" s="97">
        <v>5.9424953769221203</v>
      </c>
      <c r="E181" s="97">
        <v>0.43481323503612801</v>
      </c>
      <c r="F181" s="97">
        <v>3.31475675626197</v>
      </c>
      <c r="G181" s="97">
        <v>1.3912257533421799</v>
      </c>
      <c r="H181" s="97">
        <v>9.6946450718491198E-4</v>
      </c>
      <c r="I181" s="97">
        <v>0.20000367573822</v>
      </c>
      <c r="J181" s="97">
        <v>1.9147457165683002E-2</v>
      </c>
      <c r="K181" s="97">
        <v>1.6147349565781501E-3</v>
      </c>
      <c r="L181" s="97">
        <v>7.6031157425902902E-3</v>
      </c>
      <c r="M181" s="97">
        <v>1.37695065553157E-2</v>
      </c>
      <c r="N181" s="97">
        <v>6.9104932976640603E-4</v>
      </c>
      <c r="O181" s="101">
        <v>-1E-3</v>
      </c>
      <c r="P181" s="97">
        <v>1.5051013425022799</v>
      </c>
      <c r="Q181" s="97">
        <v>1.10187914456478</v>
      </c>
      <c r="R181" s="97">
        <v>4.77460913592948E-2</v>
      </c>
      <c r="S181" s="97">
        <v>4.4303830119838898E-2</v>
      </c>
      <c r="T181" s="97">
        <v>4.97475300393172E-2</v>
      </c>
      <c r="U181" s="97">
        <v>4.6102690523451298E-2</v>
      </c>
    </row>
    <row r="182" spans="1:21" s="98" customFormat="1" ht="13" x14ac:dyDescent="0.15">
      <c r="A182" s="96" t="s">
        <v>196</v>
      </c>
      <c r="B182" s="97">
        <v>5.0348170750209803E-3</v>
      </c>
      <c r="C182" s="97">
        <v>2.3888261289480999E-2</v>
      </c>
      <c r="D182" s="97">
        <v>16.069642763436001</v>
      </c>
      <c r="E182" s="97">
        <v>0.229465972347738</v>
      </c>
      <c r="F182" s="97">
        <v>2.5076530314946099</v>
      </c>
      <c r="G182" s="97">
        <v>0.84542960419989299</v>
      </c>
      <c r="H182" s="97">
        <v>1.62502362416371E-3</v>
      </c>
      <c r="I182" s="97">
        <v>0.101885666128427</v>
      </c>
      <c r="J182" s="97">
        <v>2.3151712231401601E-2</v>
      </c>
      <c r="K182" s="97">
        <v>4.7899916020624697E-3</v>
      </c>
      <c r="L182" s="97">
        <v>2.8472627922933001E-3</v>
      </c>
      <c r="M182" s="97">
        <v>8.1677198511774293E-3</v>
      </c>
      <c r="N182" s="97">
        <v>9.0694409868529097E-4</v>
      </c>
      <c r="O182" s="101">
        <v>-1E-3</v>
      </c>
      <c r="P182" s="97">
        <v>0.90463195531899798</v>
      </c>
      <c r="Q182" s="97">
        <v>0.42737158787625901</v>
      </c>
      <c r="R182" s="97">
        <v>1.07822147150147E-2</v>
      </c>
      <c r="S182" s="97">
        <v>7.9555142966258995E-3</v>
      </c>
      <c r="T182" s="97">
        <v>1.08309616163788E-2</v>
      </c>
      <c r="U182" s="97">
        <v>8.53423718902592E-3</v>
      </c>
    </row>
    <row r="183" spans="1:21" s="98" customFormat="1" ht="13" x14ac:dyDescent="0.15">
      <c r="A183" s="96" t="s">
        <v>196</v>
      </c>
      <c r="B183" s="97">
        <v>5.0928963144060398E-3</v>
      </c>
      <c r="C183" s="97">
        <v>2.0227904608060301E-2</v>
      </c>
      <c r="D183" s="97">
        <v>16.140168298667799</v>
      </c>
      <c r="E183" s="97">
        <v>0.23028416932958901</v>
      </c>
      <c r="F183" s="97">
        <v>2.4929453089534399</v>
      </c>
      <c r="G183" s="97">
        <v>0.85220012675363399</v>
      </c>
      <c r="H183" s="97">
        <v>1.3488743639024901E-3</v>
      </c>
      <c r="I183" s="97">
        <v>0.10197677920753601</v>
      </c>
      <c r="J183" s="97">
        <v>2.06802946734925E-2</v>
      </c>
      <c r="K183" s="97">
        <v>5.3440414306690203E-3</v>
      </c>
      <c r="L183" s="97">
        <v>2.8473704509003198E-3</v>
      </c>
      <c r="M183" s="97">
        <v>6.9328562877083097E-3</v>
      </c>
      <c r="N183" s="97">
        <v>9.2428987143987698E-4</v>
      </c>
      <c r="O183" s="101">
        <v>-1E-3</v>
      </c>
      <c r="P183" s="97">
        <v>0.89896566277765799</v>
      </c>
      <c r="Q183" s="97">
        <v>0.44151153993542203</v>
      </c>
      <c r="R183" s="97">
        <v>9.8063073236582393E-3</v>
      </c>
      <c r="S183" s="97">
        <v>7.6516655063683901E-3</v>
      </c>
      <c r="T183" s="97">
        <v>9.9680806356882007E-3</v>
      </c>
      <c r="U183" s="97">
        <v>8.2227573210225894E-3</v>
      </c>
    </row>
    <row r="184" spans="1:21" s="98" customFormat="1" ht="13" x14ac:dyDescent="0.15">
      <c r="A184" s="96" t="s">
        <v>197</v>
      </c>
      <c r="B184" s="97">
        <v>6.8461775683191298E-3</v>
      </c>
      <c r="C184" s="97">
        <v>2.64703413063225E-2</v>
      </c>
      <c r="D184" s="97">
        <v>5.81121594293871</v>
      </c>
      <c r="E184" s="97">
        <v>0.33725084659964599</v>
      </c>
      <c r="F184" s="97">
        <v>2.1483465037231699</v>
      </c>
      <c r="G184" s="97">
        <v>0.639490806998946</v>
      </c>
      <c r="H184" s="97">
        <v>8.8329796033964701E-4</v>
      </c>
      <c r="I184" s="97">
        <v>0.16122317847367601</v>
      </c>
      <c r="J184" s="97">
        <v>1.3847262966172299E-2</v>
      </c>
      <c r="K184" s="97">
        <v>6.0076309812762104E-3</v>
      </c>
      <c r="L184" s="97">
        <v>4.1458191435908998E-3</v>
      </c>
      <c r="M184" s="97">
        <v>2.7095456253630398E-2</v>
      </c>
      <c r="N184" s="97">
        <v>1.4920211143567099E-3</v>
      </c>
      <c r="O184" s="101">
        <v>-1E-3</v>
      </c>
      <c r="P184" s="97">
        <v>1.24255506096727</v>
      </c>
      <c r="Q184" s="97">
        <v>0.187108707606014</v>
      </c>
      <c r="R184" s="97">
        <v>1.3167748595803601E-2</v>
      </c>
      <c r="S184" s="97">
        <v>8.9018440753759597E-3</v>
      </c>
      <c r="T184" s="97">
        <v>1.22426217948573E-2</v>
      </c>
      <c r="U184" s="97">
        <v>7.8073545390544997E-3</v>
      </c>
    </row>
    <row r="185" spans="1:21" s="98" customFormat="1" ht="13" x14ac:dyDescent="0.15">
      <c r="A185" s="96" t="s">
        <v>197</v>
      </c>
      <c r="B185" s="97">
        <v>6.3976764664745098E-3</v>
      </c>
      <c r="C185" s="97">
        <v>2.8826395905402698E-2</v>
      </c>
      <c r="D185" s="97">
        <v>6.1212310206440002</v>
      </c>
      <c r="E185" s="97">
        <v>0.41186490443267598</v>
      </c>
      <c r="F185" s="97">
        <v>2.1858253403611401</v>
      </c>
      <c r="G185" s="97">
        <v>0.64891601804823495</v>
      </c>
      <c r="H185" s="97">
        <v>1.2152337741175401E-3</v>
      </c>
      <c r="I185" s="97">
        <v>0.161708653473109</v>
      </c>
      <c r="J185" s="97">
        <v>1.36781235822599E-2</v>
      </c>
      <c r="K185" s="97">
        <v>6.3053298961868601E-3</v>
      </c>
      <c r="L185" s="97">
        <v>4.1414598630557103E-3</v>
      </c>
      <c r="M185" s="97">
        <v>2.7780007038769299E-2</v>
      </c>
      <c r="N185" s="97">
        <v>1.6222550750284699E-3</v>
      </c>
      <c r="O185" s="101">
        <v>-1E-3</v>
      </c>
      <c r="P185" s="97">
        <v>1.24947875434291</v>
      </c>
      <c r="Q185" s="97">
        <v>0.1847068392299</v>
      </c>
      <c r="R185" s="97">
        <v>1.26130587647818E-2</v>
      </c>
      <c r="S185" s="97">
        <v>9.6457034667308504E-3</v>
      </c>
      <c r="T185" s="97">
        <v>1.2968199617318399E-2</v>
      </c>
      <c r="U185" s="97">
        <v>7.4335473077360896E-3</v>
      </c>
    </row>
    <row r="186" spans="1:21" s="98" customFormat="1" ht="13" x14ac:dyDescent="0.15">
      <c r="A186" s="96" t="s">
        <v>198</v>
      </c>
      <c r="B186" s="97">
        <v>5.7515673532255304E-3</v>
      </c>
      <c r="C186" s="97">
        <v>5.5285219061650903E-2</v>
      </c>
      <c r="D186" s="97">
        <v>10.6643494021999</v>
      </c>
      <c r="E186" s="97">
        <v>0.26173595700216901</v>
      </c>
      <c r="F186" s="97">
        <v>0.84983507530790803</v>
      </c>
      <c r="G186" s="97">
        <v>1.2719514026137699</v>
      </c>
      <c r="H186" s="97">
        <v>1.14667806474092E-3</v>
      </c>
      <c r="I186" s="97">
        <v>5.1762157764008603E-2</v>
      </c>
      <c r="J186" s="97">
        <v>1.5807168931858399E-2</v>
      </c>
      <c r="K186" s="97">
        <v>2.12123208085758E-3</v>
      </c>
      <c r="L186" s="97">
        <v>3.7198887039070101E-3</v>
      </c>
      <c r="M186" s="97">
        <v>4.0448964104860801E-3</v>
      </c>
      <c r="N186" s="97">
        <v>7.7500312872496804E-5</v>
      </c>
      <c r="O186" s="97">
        <v>0.170746455373746</v>
      </c>
      <c r="P186" s="97">
        <v>0.59703749504269399</v>
      </c>
      <c r="Q186" s="97">
        <v>1.4284667524533301</v>
      </c>
      <c r="R186" s="101">
        <v>1.7999999999999999E-2</v>
      </c>
      <c r="S186" s="101">
        <v>1.7999999999999999E-2</v>
      </c>
      <c r="T186" s="101">
        <v>0.02</v>
      </c>
      <c r="U186" s="101">
        <v>1.6E-2</v>
      </c>
    </row>
    <row r="187" spans="1:21" s="98" customFormat="1" ht="13" x14ac:dyDescent="0.15">
      <c r="A187" s="96" t="s">
        <v>198</v>
      </c>
      <c r="B187" s="97">
        <v>4.96634799980773E-3</v>
      </c>
      <c r="C187" s="97">
        <v>3.5224954740665899E-2</v>
      </c>
      <c r="D187" s="97">
        <v>9.7928469918236107</v>
      </c>
      <c r="E187" s="97">
        <v>0.223693819136908</v>
      </c>
      <c r="F187" s="97">
        <v>0.78487501506665702</v>
      </c>
      <c r="G187" s="97">
        <v>1.2021056545173801</v>
      </c>
      <c r="H187" s="97">
        <v>1.4299379528771299E-3</v>
      </c>
      <c r="I187" s="97">
        <v>4.8831520586279299E-2</v>
      </c>
      <c r="J187" s="97">
        <v>1.34613448177658E-2</v>
      </c>
      <c r="K187" s="97">
        <v>1.6094834040418799E-3</v>
      </c>
      <c r="L187" s="97">
        <v>3.3964048865984101E-3</v>
      </c>
      <c r="M187" s="97">
        <v>3.4211514275920801E-3</v>
      </c>
      <c r="N187" s="97">
        <v>8.4550529449037098E-5</v>
      </c>
      <c r="O187" s="97">
        <v>0.15493452021340001</v>
      </c>
      <c r="P187" s="97">
        <v>0.547482706856952</v>
      </c>
      <c r="Q187" s="97">
        <v>1.29979699588354</v>
      </c>
      <c r="R187" s="101">
        <v>1.7000000000000001E-2</v>
      </c>
      <c r="S187" s="101">
        <v>1.7000000000000001E-2</v>
      </c>
      <c r="T187" s="101">
        <v>1.7000000000000001E-2</v>
      </c>
      <c r="U187" s="101">
        <v>1.6E-2</v>
      </c>
    </row>
    <row r="188" spans="1:21" s="98" customFormat="1" ht="13" x14ac:dyDescent="0.15">
      <c r="A188" s="96" t="s">
        <v>199</v>
      </c>
      <c r="B188" s="97">
        <v>2.8105737245168599E-3</v>
      </c>
      <c r="C188" s="97">
        <v>9.0126052502020795E-3</v>
      </c>
      <c r="D188" s="97">
        <v>5.7357543161108602</v>
      </c>
      <c r="E188" s="97">
        <v>7.8346958653690096E-2</v>
      </c>
      <c r="F188" s="97">
        <v>0.75757615920161603</v>
      </c>
      <c r="G188" s="97">
        <v>0.42960923392345302</v>
      </c>
      <c r="H188" s="97">
        <v>6.5635191713822399E-4</v>
      </c>
      <c r="I188" s="97">
        <v>2.6621723936554501E-2</v>
      </c>
      <c r="J188" s="97">
        <v>6.4260451113403302E-3</v>
      </c>
      <c r="K188" s="97">
        <v>2.8203793188992098E-4</v>
      </c>
      <c r="L188" s="97">
        <v>1.4515128155017001E-3</v>
      </c>
      <c r="M188" s="97">
        <v>5.48399328062763E-3</v>
      </c>
      <c r="N188" s="97">
        <v>1.5694803087013001E-4</v>
      </c>
      <c r="O188" s="97">
        <v>5.0820265322910297E-3</v>
      </c>
      <c r="P188" s="97">
        <v>0.35881881422013401</v>
      </c>
      <c r="Q188" s="97">
        <v>2.6054223673164598E-2</v>
      </c>
      <c r="R188" s="101">
        <v>5.0000000000000001E-3</v>
      </c>
      <c r="S188" s="101">
        <v>4.0000000000000001E-3</v>
      </c>
      <c r="T188" s="101">
        <v>5.0000000000000001E-3</v>
      </c>
      <c r="U188" s="101">
        <v>4.0000000000000001E-3</v>
      </c>
    </row>
    <row r="189" spans="1:21" s="98" customFormat="1" ht="13" x14ac:dyDescent="0.15">
      <c r="A189" s="96" t="s">
        <v>199</v>
      </c>
      <c r="B189" s="97">
        <v>2.5988855630722802E-3</v>
      </c>
      <c r="C189" s="97">
        <v>9.3538898489138999E-3</v>
      </c>
      <c r="D189" s="97">
        <v>5.3467690928509999</v>
      </c>
      <c r="E189" s="97">
        <v>7.3162941030536194E-2</v>
      </c>
      <c r="F189" s="97">
        <v>0.71866147654167001</v>
      </c>
      <c r="G189" s="97">
        <v>0.40443934038437301</v>
      </c>
      <c r="H189" s="97">
        <v>5.5231947153185795E-4</v>
      </c>
      <c r="I189" s="97">
        <v>2.56720384883086E-2</v>
      </c>
      <c r="J189" s="97">
        <v>5.020486212327E-3</v>
      </c>
      <c r="K189" s="97">
        <v>3.1272606714648899E-4</v>
      </c>
      <c r="L189" s="97">
        <v>1.55939387976896E-3</v>
      </c>
      <c r="M189" s="97">
        <v>4.6684794711051997E-3</v>
      </c>
      <c r="N189" s="97">
        <v>1.6873245607943599E-4</v>
      </c>
      <c r="O189" s="97">
        <v>1.6206075268898499E-3</v>
      </c>
      <c r="P189" s="97">
        <v>0.34523362556570902</v>
      </c>
      <c r="Q189" s="97">
        <v>2.5060911660545599E-2</v>
      </c>
      <c r="R189" s="101">
        <v>4.0000000000000001E-3</v>
      </c>
      <c r="S189" s="101">
        <v>4.0000000000000001E-3</v>
      </c>
      <c r="T189" s="101">
        <v>4.0000000000000001E-3</v>
      </c>
      <c r="U189" s="101">
        <v>4.0000000000000001E-3</v>
      </c>
    </row>
    <row r="190" spans="1:21" s="98" customFormat="1" ht="13" x14ac:dyDescent="0.15">
      <c r="A190" s="96" t="s">
        <v>200</v>
      </c>
      <c r="B190" s="97">
        <v>3.1422893478520101E-3</v>
      </c>
      <c r="C190" s="97">
        <v>1.2485972388444601E-2</v>
      </c>
      <c r="D190" s="97">
        <v>1.2835637246613401</v>
      </c>
      <c r="E190" s="97">
        <v>7.73822884041519E-2</v>
      </c>
      <c r="F190" s="97">
        <v>0.83058510778026395</v>
      </c>
      <c r="G190" s="97">
        <v>0.22697713087576499</v>
      </c>
      <c r="H190" s="97">
        <v>9.00911695216918E-4</v>
      </c>
      <c r="I190" s="97">
        <v>4.0096223306081202E-2</v>
      </c>
      <c r="J190" s="97">
        <v>2.1827281362880899E-2</v>
      </c>
      <c r="K190" s="97">
        <v>2.8507443997546E-4</v>
      </c>
      <c r="L190" s="97">
        <v>6.21771731365609E-3</v>
      </c>
      <c r="M190" s="97">
        <v>4.2481557507350496E-3</v>
      </c>
      <c r="N190" s="97">
        <v>1.8382455881373902E-5</v>
      </c>
      <c r="O190" s="97">
        <v>8.7435000806943396E-3</v>
      </c>
      <c r="P190" s="97">
        <v>0.20688206343943999</v>
      </c>
      <c r="Q190" s="97">
        <v>9.4307345382287397E-2</v>
      </c>
      <c r="R190" s="101">
        <v>3.0000000000000001E-3</v>
      </c>
      <c r="S190" s="101">
        <v>4.0000000000000001E-3</v>
      </c>
      <c r="T190" s="101">
        <v>4.0000000000000001E-3</v>
      </c>
      <c r="U190" s="101">
        <v>3.0000000000000001E-3</v>
      </c>
    </row>
    <row r="191" spans="1:21" s="98" customFormat="1" ht="13" x14ac:dyDescent="0.15">
      <c r="A191" s="96" t="s">
        <v>200</v>
      </c>
      <c r="B191" s="97">
        <v>2.8536715768685702E-3</v>
      </c>
      <c r="C191" s="97">
        <v>1.21470279918239E-2</v>
      </c>
      <c r="D191" s="97">
        <v>1.3230005932322499</v>
      </c>
      <c r="E191" s="97">
        <v>8.1566063925980606E-2</v>
      </c>
      <c r="F191" s="97">
        <v>0.83434547133912496</v>
      </c>
      <c r="G191" s="97">
        <v>0.23415969252846899</v>
      </c>
      <c r="H191" s="97">
        <v>1.3235907708886701E-3</v>
      </c>
      <c r="I191" s="97">
        <v>4.0309574584410902E-2</v>
      </c>
      <c r="J191" s="97">
        <v>2.3029198534707199E-2</v>
      </c>
      <c r="K191" s="97">
        <v>2.4159873452542999E-4</v>
      </c>
      <c r="L191" s="97">
        <v>6.3393275627662404E-3</v>
      </c>
      <c r="M191" s="97">
        <v>6.2765506222480904E-3</v>
      </c>
      <c r="N191" s="97">
        <v>1.50215451966926E-5</v>
      </c>
      <c r="O191" s="97">
        <v>2.0165897246656399E-2</v>
      </c>
      <c r="P191" s="97">
        <v>0.20275685232822099</v>
      </c>
      <c r="Q191" s="97">
        <v>9.1634247244640504E-2</v>
      </c>
      <c r="R191" s="101">
        <v>4.0000000000000001E-3</v>
      </c>
      <c r="S191" s="101">
        <v>4.0000000000000001E-3</v>
      </c>
      <c r="T191" s="101">
        <v>4.0000000000000001E-3</v>
      </c>
      <c r="U191" s="101">
        <v>3.0000000000000001E-3</v>
      </c>
    </row>
    <row r="192" spans="1:21" s="98" customFormat="1" ht="13" x14ac:dyDescent="0.15">
      <c r="A192" s="96" t="s">
        <v>201</v>
      </c>
      <c r="B192" s="97">
        <v>4.6079793210629201E-3</v>
      </c>
      <c r="C192" s="97">
        <v>2.02981527591134E-2</v>
      </c>
      <c r="D192" s="97">
        <v>12.294841595030199</v>
      </c>
      <c r="E192" s="97">
        <v>0.32516827920625202</v>
      </c>
      <c r="F192" s="97">
        <v>1.19508890250914</v>
      </c>
      <c r="G192" s="97">
        <v>0.46117496867878099</v>
      </c>
      <c r="H192" s="97">
        <v>7.46640223080171E-4</v>
      </c>
      <c r="I192" s="97">
        <v>0.13542001914221999</v>
      </c>
      <c r="J192" s="97">
        <v>1.6272173431242199E-2</v>
      </c>
      <c r="K192" s="97">
        <v>7.5997292334348905E-4</v>
      </c>
      <c r="L192" s="97">
        <v>5.64468245921451E-3</v>
      </c>
      <c r="M192" s="97">
        <v>1.6307796021953799E-2</v>
      </c>
      <c r="N192" s="97">
        <v>5.1273958849624003E-5</v>
      </c>
      <c r="O192" s="97">
        <v>2.72338523738095E-3</v>
      </c>
      <c r="P192" s="97">
        <v>0.99949634716944202</v>
      </c>
      <c r="Q192" s="97">
        <v>9.1373128716479401E-2</v>
      </c>
      <c r="R192" s="101">
        <v>2.9000000000000001E-2</v>
      </c>
      <c r="S192" s="101">
        <v>2.5000000000000001E-2</v>
      </c>
      <c r="T192" s="101">
        <v>2.8000000000000001E-2</v>
      </c>
      <c r="U192" s="101">
        <v>2.5999999999999999E-2</v>
      </c>
    </row>
    <row r="193" spans="1:21" s="98" customFormat="1" ht="13" x14ac:dyDescent="0.15">
      <c r="A193" s="96" t="s">
        <v>201</v>
      </c>
      <c r="B193" s="97">
        <v>5.04399116713898E-3</v>
      </c>
      <c r="C193" s="97">
        <v>1.8910352929821999E-2</v>
      </c>
      <c r="D193" s="97">
        <v>12.493248533057001</v>
      </c>
      <c r="E193" s="97">
        <v>0.33473466429862497</v>
      </c>
      <c r="F193" s="97">
        <v>1.2098794748466399</v>
      </c>
      <c r="G193" s="97">
        <v>0.47255520557201502</v>
      </c>
      <c r="H193" s="97">
        <v>8.5840410448863801E-4</v>
      </c>
      <c r="I193" s="97">
        <v>0.137434248750263</v>
      </c>
      <c r="J193" s="97">
        <v>2.0699831752446E-2</v>
      </c>
      <c r="K193" s="97">
        <v>8.7965518884511199E-4</v>
      </c>
      <c r="L193" s="97">
        <v>5.7586233960085697E-3</v>
      </c>
      <c r="M193" s="97">
        <v>1.6888049006755099E-2</v>
      </c>
      <c r="N193" s="97">
        <v>3.5345322129867202E-5</v>
      </c>
      <c r="O193" s="97">
        <v>2.6417688181469999E-3</v>
      </c>
      <c r="P193" s="97">
        <v>0.98535684722340899</v>
      </c>
      <c r="Q193" s="97">
        <v>9.3142675873720202E-2</v>
      </c>
      <c r="R193" s="101">
        <v>0.03</v>
      </c>
      <c r="S193" s="101">
        <v>2.7E-2</v>
      </c>
      <c r="T193" s="101">
        <v>2.9000000000000001E-2</v>
      </c>
      <c r="U193" s="101">
        <v>2.7E-2</v>
      </c>
    </row>
    <row r="194" spans="1:21" s="98" customFormat="1" ht="13" x14ac:dyDescent="0.15">
      <c r="A194" s="96" t="s">
        <v>202</v>
      </c>
      <c r="B194" s="97">
        <v>8.2073684936119998E-3</v>
      </c>
      <c r="C194" s="97">
        <v>2.7223596073407502E-2</v>
      </c>
      <c r="D194" s="97">
        <v>9.6900472156667892</v>
      </c>
      <c r="E194" s="97">
        <v>8.1831686811544999E-2</v>
      </c>
      <c r="F194" s="97">
        <v>0.86523982958534695</v>
      </c>
      <c r="G194" s="97">
        <v>0.26156291541798499</v>
      </c>
      <c r="H194" s="97">
        <v>1.67687487539358E-4</v>
      </c>
      <c r="I194" s="97">
        <v>3.2860477712941497E-2</v>
      </c>
      <c r="J194" s="97">
        <v>1.2884127901845101E-2</v>
      </c>
      <c r="K194" s="97">
        <v>1.3255628437432599E-4</v>
      </c>
      <c r="L194" s="97">
        <v>1.8476497623036701E-3</v>
      </c>
      <c r="M194" s="97">
        <v>1.42114629751966E-3</v>
      </c>
      <c r="N194" s="97">
        <v>5.4024678939739901E-5</v>
      </c>
      <c r="O194" s="97">
        <v>2.87003329567748E-3</v>
      </c>
      <c r="P194" s="97">
        <v>0.261181487688874</v>
      </c>
      <c r="Q194" s="97">
        <v>2.20293055823244E-2</v>
      </c>
      <c r="R194" s="101">
        <v>5.0000000000000001E-3</v>
      </c>
      <c r="S194" s="101">
        <v>5.0000000000000001E-3</v>
      </c>
      <c r="T194" s="101">
        <v>5.0000000000000001E-3</v>
      </c>
      <c r="U194" s="101">
        <v>6.0000000000000001E-3</v>
      </c>
    </row>
    <row r="195" spans="1:21" s="98" customFormat="1" ht="13" x14ac:dyDescent="0.15">
      <c r="A195" s="96" t="s">
        <v>202</v>
      </c>
      <c r="B195" s="97">
        <v>8.4571342771426108E-3</v>
      </c>
      <c r="C195" s="97">
        <v>2.59076234056086E-2</v>
      </c>
      <c r="D195" s="97">
        <v>9.5211466914371901</v>
      </c>
      <c r="E195" s="97">
        <v>8.3109366322585504E-2</v>
      </c>
      <c r="F195" s="97">
        <v>0.83802843386998604</v>
      </c>
      <c r="G195" s="97">
        <v>0.255438961634465</v>
      </c>
      <c r="H195" s="97">
        <v>2.6533979984636499E-4</v>
      </c>
      <c r="I195" s="97">
        <v>3.25409129735066E-2</v>
      </c>
      <c r="J195" s="97">
        <v>1.34762717189039E-2</v>
      </c>
      <c r="K195" s="97">
        <v>4.6769936969044701E-4</v>
      </c>
      <c r="L195" s="97">
        <v>1.9525754239101E-3</v>
      </c>
      <c r="M195" s="97">
        <v>8.6137707598917901E-4</v>
      </c>
      <c r="N195" s="97">
        <v>4.98220107790347E-5</v>
      </c>
      <c r="O195" s="97">
        <v>2.1099121234319802E-3</v>
      </c>
      <c r="P195" s="97">
        <v>0.26760166926474899</v>
      </c>
      <c r="Q195" s="97">
        <v>2.17132628838459E-2</v>
      </c>
      <c r="R195" s="101">
        <v>5.0000000000000001E-3</v>
      </c>
      <c r="S195" s="101">
        <v>5.0000000000000001E-3</v>
      </c>
      <c r="T195" s="101">
        <v>6.0000000000000001E-3</v>
      </c>
      <c r="U195" s="101">
        <v>5.0000000000000001E-3</v>
      </c>
    </row>
    <row r="196" spans="1:21" s="98" customFormat="1" ht="13" x14ac:dyDescent="0.15">
      <c r="A196" s="96" t="s">
        <v>203</v>
      </c>
      <c r="B196" s="97">
        <v>1.1897400934012699E-2</v>
      </c>
      <c r="C196" s="97">
        <v>7.7096343027404299E-2</v>
      </c>
      <c r="D196" s="97">
        <v>19.472699183643201</v>
      </c>
      <c r="E196" s="97">
        <v>1.49642793694865</v>
      </c>
      <c r="F196" s="97">
        <v>0.69721891812005099</v>
      </c>
      <c r="G196" s="97">
        <v>1.0886084934140801</v>
      </c>
      <c r="H196" s="97">
        <v>1.2482013245076701E-3</v>
      </c>
      <c r="I196" s="97">
        <v>0.12452727960174099</v>
      </c>
      <c r="J196" s="97">
        <v>4.8799945369446297E-3</v>
      </c>
      <c r="K196" s="97">
        <v>3.6126509109494202E-4</v>
      </c>
      <c r="L196" s="97">
        <v>5.8860021780416504E-3</v>
      </c>
      <c r="M196" s="97">
        <v>8.66099601592797E-2</v>
      </c>
      <c r="N196" s="97">
        <v>1.2717595050337101E-4</v>
      </c>
      <c r="O196" s="97">
        <v>-1.2169163054220201E-3</v>
      </c>
      <c r="P196" s="97">
        <v>1.75390174460756</v>
      </c>
      <c r="Q196" s="97">
        <v>0.22813622702682701</v>
      </c>
      <c r="R196" s="101">
        <v>8.9999999999999993E-3</v>
      </c>
      <c r="S196" s="101">
        <v>6.0000000000000001E-3</v>
      </c>
      <c r="T196" s="101">
        <v>8.0000000000000002E-3</v>
      </c>
      <c r="U196" s="101">
        <v>5.0000000000000001E-3</v>
      </c>
    </row>
    <row r="197" spans="1:21" s="98" customFormat="1" ht="13" x14ac:dyDescent="0.15">
      <c r="A197" s="96" t="s">
        <v>203</v>
      </c>
      <c r="B197" s="97">
        <v>1.1468119862809101E-2</v>
      </c>
      <c r="C197" s="97">
        <v>8.4438876101304197E-2</v>
      </c>
      <c r="D197" s="97">
        <v>19.358315782150999</v>
      </c>
      <c r="E197" s="97">
        <v>1.49943440171848</v>
      </c>
      <c r="F197" s="97">
        <v>0.70084595731109101</v>
      </c>
      <c r="G197" s="97">
        <v>1.0932356874812701</v>
      </c>
      <c r="H197" s="97">
        <v>1.4198605690383E-3</v>
      </c>
      <c r="I197" s="97">
        <v>0.121779251972034</v>
      </c>
      <c r="J197" s="97">
        <v>4.1891375680208403E-3</v>
      </c>
      <c r="K197" s="97">
        <v>4.6114714498697199E-4</v>
      </c>
      <c r="L197" s="97">
        <v>6.16310551628514E-3</v>
      </c>
      <c r="M197" s="97">
        <v>8.4882240988169405E-2</v>
      </c>
      <c r="N197" s="97">
        <v>1.07675483798171E-4</v>
      </c>
      <c r="O197" s="97">
        <v>-1.59711944912256E-3</v>
      </c>
      <c r="P197" s="97">
        <v>1.7612400583935</v>
      </c>
      <c r="Q197" s="97">
        <v>0.22651671379978799</v>
      </c>
      <c r="R197" s="101">
        <v>8.9999999999999993E-3</v>
      </c>
      <c r="S197" s="101">
        <v>6.0000000000000001E-3</v>
      </c>
      <c r="T197" s="101">
        <v>8.9999999999999993E-3</v>
      </c>
      <c r="U197" s="101">
        <v>5.0000000000000001E-3</v>
      </c>
    </row>
    <row r="198" spans="1:21" s="98" customFormat="1" ht="12" x14ac:dyDescent="0.15">
      <c r="A198" s="102">
        <v>4015800</v>
      </c>
      <c r="B198" s="97">
        <v>1.2369668257959401E-2</v>
      </c>
      <c r="C198" s="97">
        <v>3.1002245600210501E-2</v>
      </c>
      <c r="D198" s="97">
        <v>16.1408863021</v>
      </c>
      <c r="E198" s="97">
        <v>0.37867926679889702</v>
      </c>
      <c r="F198" s="97">
        <v>3.2468330953195799</v>
      </c>
      <c r="G198" s="97">
        <v>0.66561120758829295</v>
      </c>
      <c r="H198" s="97">
        <v>9.4268584256657203E-4</v>
      </c>
      <c r="I198" s="97">
        <v>0.17800850031898499</v>
      </c>
      <c r="J198" s="97">
        <v>3.6738468593920201E-2</v>
      </c>
      <c r="K198" s="97">
        <v>8.6170521438302895E-4</v>
      </c>
      <c r="L198" s="97">
        <v>4.5029062726507701E-3</v>
      </c>
      <c r="M198" s="97">
        <v>1.18707047300725E-2</v>
      </c>
      <c r="N198" s="97">
        <v>9.9012464405642299E-5</v>
      </c>
      <c r="O198" s="97">
        <v>2.7111296116553401E-3</v>
      </c>
      <c r="P198" s="97">
        <v>1.48774342044158</v>
      </c>
      <c r="Q198" s="97">
        <v>0.34426989725575002</v>
      </c>
      <c r="R198" s="97">
        <v>3.7565437031380502E-2</v>
      </c>
      <c r="S198" s="97">
        <v>3.2990911907197697E-2</v>
      </c>
      <c r="T198" s="97">
        <v>3.5766788560127799E-2</v>
      </c>
      <c r="U198" s="97">
        <v>3.2375560183854603E-2</v>
      </c>
    </row>
    <row r="199" spans="1:21" s="98" customFormat="1" ht="12" x14ac:dyDescent="0.15">
      <c r="A199" s="102">
        <v>4015800</v>
      </c>
      <c r="B199" s="97">
        <v>1.29482543244844E-2</v>
      </c>
      <c r="C199" s="97">
        <v>2.9016941620128901E-2</v>
      </c>
      <c r="D199" s="97">
        <v>16.326386900644501</v>
      </c>
      <c r="E199" s="97">
        <v>0.392608580518715</v>
      </c>
      <c r="F199" s="97">
        <v>3.27853148090708</v>
      </c>
      <c r="G199" s="97">
        <v>0.68022333708501503</v>
      </c>
      <c r="H199" s="97">
        <v>9.2190612588655E-4</v>
      </c>
      <c r="I199" s="97">
        <v>0.18340214265572799</v>
      </c>
      <c r="J199" s="97">
        <v>3.9402863094870101E-2</v>
      </c>
      <c r="K199" s="97">
        <v>7.0160341631612304E-4</v>
      </c>
      <c r="L199" s="97">
        <v>4.8635346178314996E-3</v>
      </c>
      <c r="M199" s="97">
        <v>1.33109719938978E-2</v>
      </c>
      <c r="N199" s="97">
        <v>1.3551869410047799E-4</v>
      </c>
      <c r="O199" s="97">
        <v>2.6651300516854202E-3</v>
      </c>
      <c r="P199" s="97">
        <v>1.5145317335980399</v>
      </c>
      <c r="Q199" s="97">
        <v>0.35971223097918298</v>
      </c>
      <c r="R199" s="97">
        <v>3.7467178025157602E-2</v>
      </c>
      <c r="S199" s="97">
        <v>3.1583985234096001E-2</v>
      </c>
      <c r="T199" s="97">
        <v>3.5218901126183803E-2</v>
      </c>
      <c r="U199" s="97">
        <v>3.14858584335777E-2</v>
      </c>
    </row>
    <row r="200" spans="1:21" s="98" customFormat="1" ht="12" x14ac:dyDescent="0.15">
      <c r="A200" s="102">
        <v>5013429</v>
      </c>
      <c r="B200" s="97">
        <v>1.0940786981632001E-2</v>
      </c>
      <c r="C200" s="97">
        <v>4.5686657353764898E-2</v>
      </c>
      <c r="D200" s="97">
        <v>2.09340132881472</v>
      </c>
      <c r="E200" s="97">
        <v>9.3967362578090005E-2</v>
      </c>
      <c r="F200" s="97">
        <v>0.64874358920108499</v>
      </c>
      <c r="G200" s="97">
        <v>0.31439970989717703</v>
      </c>
      <c r="H200" s="97">
        <v>3.5858348703359102E-4</v>
      </c>
      <c r="I200" s="97">
        <v>9.5225240064321107E-2</v>
      </c>
      <c r="J200" s="97">
        <v>1.0493552186360401E-2</v>
      </c>
      <c r="K200" s="97">
        <v>8.3407833830924697E-4</v>
      </c>
      <c r="L200" s="97">
        <v>2.2613698323261399E-3</v>
      </c>
      <c r="M200" s="97">
        <v>1.0576307759347E-2</v>
      </c>
      <c r="N200" s="97">
        <v>3.1539904165103503E-5</v>
      </c>
      <c r="O200" s="97">
        <v>-2.6292353084990199E-3</v>
      </c>
      <c r="P200" s="97">
        <v>0.36113482245418099</v>
      </c>
      <c r="Q200" s="97">
        <v>4.8049318595869903E-2</v>
      </c>
      <c r="R200" s="97">
        <v>1.00855936115581E-2</v>
      </c>
      <c r="S200" s="97">
        <v>8.5878380402871005E-3</v>
      </c>
      <c r="T200" s="97">
        <v>1.01806765482708E-2</v>
      </c>
      <c r="U200" s="97">
        <v>7.8924277486571107E-3</v>
      </c>
    </row>
    <row r="201" spans="1:21" s="98" customFormat="1" ht="12" x14ac:dyDescent="0.15">
      <c r="A201" s="102">
        <v>5013429</v>
      </c>
      <c r="B201" s="97">
        <v>1.1872121152263699E-2</v>
      </c>
      <c r="C201" s="97">
        <v>4.8153193382295997E-2</v>
      </c>
      <c r="D201" s="97">
        <v>1.1532737609814601</v>
      </c>
      <c r="E201" s="97">
        <v>9.3449828514913499E-2</v>
      </c>
      <c r="F201" s="97">
        <v>0.637156653591339</v>
      </c>
      <c r="G201" s="97">
        <v>0.31919132863870497</v>
      </c>
      <c r="H201" s="97">
        <v>4.9204123189808399E-4</v>
      </c>
      <c r="I201" s="97">
        <v>9.6396039074922502E-2</v>
      </c>
      <c r="J201" s="97">
        <v>2.35421613837811E-2</v>
      </c>
      <c r="K201" s="97">
        <v>6.9501857333797599E-4</v>
      </c>
      <c r="L201" s="97">
        <v>2.2303922698070099E-3</v>
      </c>
      <c r="M201" s="97">
        <v>1.03355266893649E-2</v>
      </c>
      <c r="N201" s="97">
        <v>5.98894662231966E-5</v>
      </c>
      <c r="O201" s="97">
        <v>-2.4626333594047999E-3</v>
      </c>
      <c r="P201" s="97">
        <v>0.35980145428178201</v>
      </c>
      <c r="Q201" s="97">
        <v>4.76785864468144E-2</v>
      </c>
      <c r="R201" s="97">
        <v>1.14918771176054E-2</v>
      </c>
      <c r="S201" s="97">
        <v>8.5759770995129207E-3</v>
      </c>
      <c r="T201" s="97">
        <v>1.0470487207114699E-2</v>
      </c>
      <c r="U201" s="97">
        <v>7.8788374969551208E-3</v>
      </c>
    </row>
    <row r="202" spans="1:21" s="98" customFormat="1" ht="12" x14ac:dyDescent="0.15">
      <c r="A202" s="102">
        <v>5011264</v>
      </c>
      <c r="B202" s="97">
        <v>8.1501873065660101E-3</v>
      </c>
      <c r="C202" s="97">
        <v>3.3482956847069499E-2</v>
      </c>
      <c r="D202" s="97">
        <v>16.641922405280098</v>
      </c>
      <c r="E202" s="97">
        <v>0.26319788817636097</v>
      </c>
      <c r="F202" s="97">
        <v>1.34093782674533</v>
      </c>
      <c r="G202" s="97">
        <v>0.78761137268312598</v>
      </c>
      <c r="H202" s="97">
        <v>2.86109100599181E-3</v>
      </c>
      <c r="I202" s="97">
        <v>0.113281195117358</v>
      </c>
      <c r="J202" s="97">
        <v>4.1608662520487602E-2</v>
      </c>
      <c r="K202" s="97">
        <v>6.8881228868557796E-4</v>
      </c>
      <c r="L202" s="97">
        <v>2.9353778170680702E-3</v>
      </c>
      <c r="M202" s="97">
        <v>1.6404653761115801E-2</v>
      </c>
      <c r="N202" s="97">
        <v>4.4228442117015901E-5</v>
      </c>
      <c r="O202" s="97">
        <v>2.09294125393495E-3</v>
      </c>
      <c r="P202" s="97">
        <v>1.4231620744807301</v>
      </c>
      <c r="Q202" s="97">
        <v>0.65797209397943801</v>
      </c>
      <c r="R202" s="97">
        <v>2.5670493253738699E-2</v>
      </c>
      <c r="S202" s="97">
        <v>2.4507651099599299E-2</v>
      </c>
      <c r="T202" s="97">
        <v>2.52551876363457E-2</v>
      </c>
      <c r="U202" s="97">
        <v>2.52384493478684E-2</v>
      </c>
    </row>
    <row r="203" spans="1:21" s="98" customFormat="1" ht="12" x14ac:dyDescent="0.15">
      <c r="A203" s="102">
        <v>5011264</v>
      </c>
      <c r="B203" s="97">
        <v>8.47000216029478E-3</v>
      </c>
      <c r="C203" s="97">
        <v>3.5305493041405601E-2</v>
      </c>
      <c r="D203" s="97">
        <v>17.007726904889999</v>
      </c>
      <c r="E203" s="97">
        <v>0.27671682288807797</v>
      </c>
      <c r="F203" s="97">
        <v>1.3768249050842301</v>
      </c>
      <c r="G203" s="97">
        <v>0.80926630315637904</v>
      </c>
      <c r="H203" s="97">
        <v>2.7925715892011902E-3</v>
      </c>
      <c r="I203" s="97">
        <v>0.11532172370662699</v>
      </c>
      <c r="J203" s="97">
        <v>1.8364944935033801E-2</v>
      </c>
      <c r="K203" s="97">
        <v>5.0389704711356295E-4</v>
      </c>
      <c r="L203" s="97">
        <v>2.7205660653600102E-3</v>
      </c>
      <c r="M203" s="97">
        <v>1.78923302757516E-2</v>
      </c>
      <c r="N203" s="97">
        <v>4.0831392379703398E-5</v>
      </c>
      <c r="O203" s="97">
        <v>1.66123307587913E-3</v>
      </c>
      <c r="P203" s="97">
        <v>1.4800345138072799</v>
      </c>
      <c r="Q203" s="97">
        <v>0.67047742941497002</v>
      </c>
      <c r="R203" s="97">
        <v>2.8677770286914501E-2</v>
      </c>
      <c r="S203" s="97">
        <v>2.5601988303385701E-2</v>
      </c>
      <c r="T203" s="97">
        <v>2.7269587126873801E-2</v>
      </c>
      <c r="U203" s="97">
        <v>2.4579894233378499E-2</v>
      </c>
    </row>
    <row r="204" spans="1:21" s="98" customFormat="1" ht="12" x14ac:dyDescent="0.15">
      <c r="A204" s="102">
        <v>5014085</v>
      </c>
      <c r="B204" s="97">
        <v>9.2607336172926095E-3</v>
      </c>
      <c r="C204" s="97">
        <v>0.24598222692459601</v>
      </c>
      <c r="D204" s="97">
        <v>26.931504052295299</v>
      </c>
      <c r="E204" s="97">
        <v>0.51170953954353304</v>
      </c>
      <c r="F204" s="97">
        <v>0.53156698349728104</v>
      </c>
      <c r="G204" s="97">
        <v>1.3231094970465</v>
      </c>
      <c r="H204" s="97">
        <v>1.57519095666731E-3</v>
      </c>
      <c r="I204" s="97">
        <v>0.47955749454533497</v>
      </c>
      <c r="J204" s="97">
        <v>3.16952386863479E-3</v>
      </c>
      <c r="K204" s="97">
        <v>2.20913256015331E-3</v>
      </c>
      <c r="L204" s="97">
        <v>9.0023449382496002E-3</v>
      </c>
      <c r="M204" s="97">
        <v>3.3722472839623402E-2</v>
      </c>
      <c r="N204" s="97">
        <v>1.8712492524906101E-4</v>
      </c>
      <c r="O204" s="97">
        <v>8.4902382160709597E-2</v>
      </c>
      <c r="P204" s="97">
        <v>0.92775222756341902</v>
      </c>
      <c r="Q204" s="97">
        <v>0.22595524705217199</v>
      </c>
      <c r="R204" s="97">
        <v>1.68850181816976E-2</v>
      </c>
      <c r="S204" s="97">
        <v>1.3381574317459099E-2</v>
      </c>
      <c r="T204" s="97">
        <v>1.6381930382652302E-2</v>
      </c>
      <c r="U204" s="97">
        <v>1.3432372384793299E-2</v>
      </c>
    </row>
    <row r="205" spans="1:21" s="98" customFormat="1" ht="12" x14ac:dyDescent="0.15">
      <c r="A205" s="102">
        <v>5014085</v>
      </c>
      <c r="B205" s="97">
        <v>9.40190811759304E-3</v>
      </c>
      <c r="C205" s="97">
        <v>0.241143114586021</v>
      </c>
      <c r="D205" s="97">
        <v>27.289494334992099</v>
      </c>
      <c r="E205" s="97">
        <v>0.51783821102042904</v>
      </c>
      <c r="F205" s="97">
        <v>0.53044492901323304</v>
      </c>
      <c r="G205" s="97">
        <v>1.3220762855011701</v>
      </c>
      <c r="H205" s="97">
        <v>1.3627407089749799E-3</v>
      </c>
      <c r="I205" s="97">
        <v>0.47938395381251497</v>
      </c>
      <c r="J205" s="97">
        <v>3.8014477859823499E-3</v>
      </c>
      <c r="K205" s="97">
        <v>2.2872009612914601E-3</v>
      </c>
      <c r="L205" s="97">
        <v>9.6337545801562195E-3</v>
      </c>
      <c r="M205" s="97">
        <v>3.3826220171184501E-2</v>
      </c>
      <c r="N205" s="97">
        <v>1.2953732675334399E-4</v>
      </c>
      <c r="O205" s="97">
        <v>8.4056933507766093E-2</v>
      </c>
      <c r="P205" s="97">
        <v>0.95162857783945998</v>
      </c>
      <c r="Q205" s="97">
        <v>0.22645089022619599</v>
      </c>
      <c r="R205" s="97">
        <v>1.6081099196938599E-2</v>
      </c>
      <c r="S205" s="97">
        <v>1.45181304073929E-2</v>
      </c>
      <c r="T205" s="97">
        <v>1.6745671351747399E-2</v>
      </c>
      <c r="U205" s="97">
        <v>1.3350690308516201E-2</v>
      </c>
    </row>
    <row r="206" spans="1:21" s="98" customFormat="1" ht="12" x14ac:dyDescent="0.15">
      <c r="A206" s="102">
        <v>5010322</v>
      </c>
      <c r="B206" s="97">
        <v>3.3976878080987601E-3</v>
      </c>
      <c r="C206" s="97">
        <v>1.6556466128404401E-2</v>
      </c>
      <c r="D206" s="97">
        <v>4.3652445984879797</v>
      </c>
      <c r="E206" s="97">
        <v>0.242167325781212</v>
      </c>
      <c r="F206" s="97">
        <v>1.0134568376830699</v>
      </c>
      <c r="G206" s="97">
        <v>0.55928911917429402</v>
      </c>
      <c r="H206" s="97">
        <v>6.4957412716296395E-4</v>
      </c>
      <c r="I206" s="97">
        <v>5.2396673184210998E-2</v>
      </c>
      <c r="J206" s="97">
        <v>7.7882451481992099E-3</v>
      </c>
      <c r="K206" s="97">
        <v>1.37200013104308E-3</v>
      </c>
      <c r="L206" s="97">
        <v>3.6353461673660501E-3</v>
      </c>
      <c r="M206" s="97">
        <v>4.1954166751263702E-3</v>
      </c>
      <c r="N206" s="97">
        <v>6.0642653587650499E-5</v>
      </c>
      <c r="O206" s="97">
        <v>-2.13319204037212E-3</v>
      </c>
      <c r="P206" s="97">
        <v>0.81312243311059895</v>
      </c>
      <c r="Q206" s="97">
        <v>1.5812685793954699</v>
      </c>
      <c r="R206" s="97">
        <v>1.17546511491707E-2</v>
      </c>
      <c r="S206" s="97">
        <v>9.7628932568287908E-3</v>
      </c>
      <c r="T206" s="97">
        <v>1.10328029355201E-2</v>
      </c>
      <c r="U206" s="97">
        <v>9.9577102170362204E-3</v>
      </c>
    </row>
    <row r="207" spans="1:21" s="98" customFormat="1" ht="12" x14ac:dyDescent="0.15">
      <c r="A207" s="102">
        <v>5010322</v>
      </c>
      <c r="B207" s="97">
        <v>2.97309057300264E-3</v>
      </c>
      <c r="C207" s="97">
        <v>1.7237726413539201E-2</v>
      </c>
      <c r="D207" s="97">
        <v>4.3129086937225898</v>
      </c>
      <c r="E207" s="97">
        <v>0.24050249876615101</v>
      </c>
      <c r="F207" s="97">
        <v>1.0005298262891</v>
      </c>
      <c r="G207" s="97">
        <v>0.55614029406144805</v>
      </c>
      <c r="H207" s="97">
        <v>7.8787987827883303E-4</v>
      </c>
      <c r="I207" s="97">
        <v>5.1684976274753401E-2</v>
      </c>
      <c r="J207" s="97">
        <v>6.3307154012610103E-3</v>
      </c>
      <c r="K207" s="97">
        <v>1.7008139428821901E-3</v>
      </c>
      <c r="L207" s="97">
        <v>3.7071948734489E-3</v>
      </c>
      <c r="M207" s="97">
        <v>6.4807254971195501E-3</v>
      </c>
      <c r="N207" s="97">
        <v>7.5320628497955194E-5</v>
      </c>
      <c r="O207" s="97">
        <v>-2.0192210166989398E-3</v>
      </c>
      <c r="P207" s="97">
        <v>0.80252571269261097</v>
      </c>
      <c r="Q207" s="97">
        <v>1.5769239430486801</v>
      </c>
      <c r="R207" s="97">
        <v>1.21579878265154E-2</v>
      </c>
      <c r="S207" s="97">
        <v>1.0531359055429399E-2</v>
      </c>
      <c r="T207" s="97">
        <v>1.11515813558973E-2</v>
      </c>
      <c r="U207" s="97">
        <v>9.9873497132843703E-3</v>
      </c>
    </row>
    <row r="208" spans="1:21" s="98" customFormat="1" ht="12" x14ac:dyDescent="0.15">
      <c r="A208" s="102">
        <v>5017319</v>
      </c>
      <c r="B208" s="97">
        <v>5.2562342214081903E-2</v>
      </c>
      <c r="C208" s="97">
        <v>2.8571272946824901E-2</v>
      </c>
      <c r="D208" s="97">
        <v>5.81087537281386</v>
      </c>
      <c r="E208" s="97">
        <v>0.20255135339903699</v>
      </c>
      <c r="F208" s="97">
        <v>1.47040814199376</v>
      </c>
      <c r="G208" s="97">
        <v>0.30382612675584802</v>
      </c>
      <c r="H208" s="97">
        <v>8.69722506655915E-4</v>
      </c>
      <c r="I208" s="97">
        <v>0.14705541044885401</v>
      </c>
      <c r="J208" s="97">
        <v>4.2779387546360202E-2</v>
      </c>
      <c r="K208" s="97">
        <v>4.5798896458451902E-4</v>
      </c>
      <c r="L208" s="97">
        <v>8.0181889687186304E-3</v>
      </c>
      <c r="M208" s="97">
        <v>1.36167976827002E-2</v>
      </c>
      <c r="N208" s="97">
        <v>4.5153390373348799E-5</v>
      </c>
      <c r="O208" s="97">
        <v>-1.0796886934656201E-3</v>
      </c>
      <c r="P208" s="97">
        <v>0.79138424970334498</v>
      </c>
      <c r="Q208" s="97">
        <v>0.24247725528389399</v>
      </c>
      <c r="R208" s="97">
        <v>1.0200232822391599E-2</v>
      </c>
      <c r="S208" s="97">
        <v>6.4041463514579499E-3</v>
      </c>
      <c r="T208" s="97">
        <v>8.7862996094482306E-3</v>
      </c>
      <c r="U208" s="97">
        <v>6.1923202102075903E-3</v>
      </c>
    </row>
    <row r="209" spans="1:21" s="98" customFormat="1" ht="12" x14ac:dyDescent="0.15">
      <c r="A209" s="102">
        <v>5017319</v>
      </c>
      <c r="B209" s="97">
        <v>5.2673955021235098E-2</v>
      </c>
      <c r="C209" s="97">
        <v>2.7078250069530699E-2</v>
      </c>
      <c r="D209" s="97">
        <v>5.7654811538599704</v>
      </c>
      <c r="E209" s="97">
        <v>0.203598197165865</v>
      </c>
      <c r="F209" s="97">
        <v>1.45107438098081</v>
      </c>
      <c r="G209" s="97">
        <v>0.29834237801809699</v>
      </c>
      <c r="H209" s="97">
        <v>7.9223243316253104E-4</v>
      </c>
      <c r="I209" s="97">
        <v>0.146114963867262</v>
      </c>
      <c r="J209" s="97">
        <v>4.3575693081513503E-2</v>
      </c>
      <c r="K209" s="97">
        <v>5.5712504526483095E-4</v>
      </c>
      <c r="L209" s="97">
        <v>7.9381368608302492E-3</v>
      </c>
      <c r="M209" s="97">
        <v>1.4022713169653899E-2</v>
      </c>
      <c r="N209" s="97">
        <v>7.8516455854905898E-5</v>
      </c>
      <c r="O209" s="97">
        <v>-1.4002801400834E-3</v>
      </c>
      <c r="P209" s="97">
        <v>0.80212428816442405</v>
      </c>
      <c r="Q209" s="97">
        <v>0.25074002141083002</v>
      </c>
      <c r="R209" s="97">
        <v>1.00278777427814E-2</v>
      </c>
      <c r="S209" s="97">
        <v>6.2764981445184399E-3</v>
      </c>
      <c r="T209" s="97">
        <v>9.4628649038478903E-3</v>
      </c>
      <c r="U209" s="97">
        <v>6.0730820785159199E-3</v>
      </c>
    </row>
    <row r="210" spans="1:21" s="98" customFormat="1" ht="13" x14ac:dyDescent="0.15">
      <c r="A210" s="96" t="s">
        <v>204</v>
      </c>
      <c r="B210" s="97">
        <v>3.15028546816667E-3</v>
      </c>
      <c r="C210" s="97">
        <v>2.9415617118255698E-2</v>
      </c>
      <c r="D210" s="97">
        <v>2.2999170543090899</v>
      </c>
      <c r="E210" s="97">
        <v>0.156488701268469</v>
      </c>
      <c r="F210" s="97">
        <v>0.68040718841725301</v>
      </c>
      <c r="G210" s="97">
        <v>0.24039917367852501</v>
      </c>
      <c r="H210" s="97">
        <v>1.0988782454028801E-3</v>
      </c>
      <c r="I210" s="97">
        <v>2.66206816928037E-2</v>
      </c>
      <c r="J210" s="97">
        <v>2.6334929080750899E-2</v>
      </c>
      <c r="K210" s="97">
        <v>4.5022357652348398E-4</v>
      </c>
      <c r="L210" s="97">
        <v>8.1793397790728896E-4</v>
      </c>
      <c r="M210" s="97">
        <v>1.17810868946882E-2</v>
      </c>
      <c r="N210" s="97">
        <v>2.3075225281273101E-4</v>
      </c>
      <c r="O210" s="97">
        <v>1.44349779857089E-2</v>
      </c>
      <c r="P210" s="97">
        <v>0.132710759600593</v>
      </c>
      <c r="Q210" s="97">
        <v>2.85926874703918E-2</v>
      </c>
      <c r="R210" s="97">
        <v>2.5916618677422E-3</v>
      </c>
      <c r="S210" s="97">
        <v>2.26628311962537E-3</v>
      </c>
      <c r="T210" s="97">
        <v>1.8323186846487E-3</v>
      </c>
      <c r="U210" s="97">
        <v>1.4278059542551899E-3</v>
      </c>
    </row>
    <row r="211" spans="1:21" s="98" customFormat="1" ht="13" x14ac:dyDescent="0.15">
      <c r="A211" s="96" t="s">
        <v>204</v>
      </c>
      <c r="B211" s="97">
        <v>2.7949454497550102E-3</v>
      </c>
      <c r="C211" s="97">
        <v>5.1997940628879601E-2</v>
      </c>
      <c r="D211" s="97">
        <v>1.8256062964295099</v>
      </c>
      <c r="E211" s="97">
        <v>9.3738074814308195E-2</v>
      </c>
      <c r="F211" s="97">
        <v>0.66666709743611097</v>
      </c>
      <c r="G211" s="97">
        <v>0.235972589528438</v>
      </c>
      <c r="H211" s="97">
        <v>2.9049987351242299E-3</v>
      </c>
      <c r="I211" s="97">
        <v>2.49847676175524E-2</v>
      </c>
      <c r="J211" s="97">
        <v>2.0116142388165899E-2</v>
      </c>
      <c r="K211" s="97">
        <v>1.01119142539928E-4</v>
      </c>
      <c r="L211" s="97">
        <v>6.8527820667175598E-4</v>
      </c>
      <c r="M211" s="97">
        <v>2.5602406831157498E-3</v>
      </c>
      <c r="N211" s="97">
        <v>1.1240678309384E-4</v>
      </c>
      <c r="O211" s="97">
        <v>-5.5064853615527402E-3</v>
      </c>
      <c r="P211" s="97">
        <v>0.1386802003724</v>
      </c>
      <c r="Q211" s="97">
        <v>2.9617417561321701E-2</v>
      </c>
      <c r="R211" s="97">
        <v>1.46961632941637E-3</v>
      </c>
      <c r="S211" s="97">
        <v>1.56021947399422E-3</v>
      </c>
      <c r="T211" s="97">
        <v>2.29252509579914E-3</v>
      </c>
      <c r="U211" s="97">
        <v>1.6998096948523599E-3</v>
      </c>
    </row>
    <row r="212" spans="1:21" s="98" customFormat="1" ht="13" x14ac:dyDescent="0.15">
      <c r="A212" s="96" t="s">
        <v>205</v>
      </c>
      <c r="B212" s="97">
        <v>4.4875243049032603E-3</v>
      </c>
      <c r="C212" s="97">
        <v>3.9033041450613301E-2</v>
      </c>
      <c r="D212" s="97">
        <v>5.0972038967050102</v>
      </c>
      <c r="E212" s="97">
        <v>0.50415420795810195</v>
      </c>
      <c r="F212" s="97">
        <v>0.76990744937073397</v>
      </c>
      <c r="G212" s="97">
        <v>0.59168529679723103</v>
      </c>
      <c r="H212" s="97">
        <v>1.1228923783365801E-3</v>
      </c>
      <c r="I212" s="97">
        <v>0.18585435985132101</v>
      </c>
      <c r="J212" s="97">
        <v>1.5473416589329299E-2</v>
      </c>
      <c r="K212" s="97">
        <v>1.13789263251259E-3</v>
      </c>
      <c r="L212" s="97">
        <v>3.4209720575158501E-3</v>
      </c>
      <c r="M212" s="97">
        <v>2.9716349495836399E-2</v>
      </c>
      <c r="N212" s="97">
        <v>8.0289853547413904E-5</v>
      </c>
      <c r="O212" s="97">
        <v>4.0477323359270597E-3</v>
      </c>
      <c r="P212" s="97">
        <v>1.4637833797753499</v>
      </c>
      <c r="Q212" s="97">
        <v>0.15604987921583499</v>
      </c>
      <c r="R212" s="97">
        <v>1.05200727742812E-2</v>
      </c>
      <c r="S212" s="97">
        <v>9.4289073154668508E-3</v>
      </c>
      <c r="T212" s="97">
        <v>1.05742365862999E-2</v>
      </c>
      <c r="U212" s="97">
        <v>9.1873083898034707E-3</v>
      </c>
    </row>
    <row r="213" spans="1:21" s="98" customFormat="1" ht="13" x14ac:dyDescent="0.15">
      <c r="A213" s="96" t="s">
        <v>205</v>
      </c>
      <c r="B213" s="97">
        <v>5.3074394591326596E-3</v>
      </c>
      <c r="C213" s="97">
        <v>4.1974221802457599E-2</v>
      </c>
      <c r="D213" s="97">
        <v>5.0620295593305098</v>
      </c>
      <c r="E213" s="97">
        <v>0.49513128435187298</v>
      </c>
      <c r="F213" s="97">
        <v>0.76658244327556802</v>
      </c>
      <c r="G213" s="97">
        <v>0.59366712858624804</v>
      </c>
      <c r="H213" s="97">
        <v>9.2553683804281605E-4</v>
      </c>
      <c r="I213" s="97">
        <v>0.18973715186273599</v>
      </c>
      <c r="J213" s="97">
        <v>1.0811055667017301E-2</v>
      </c>
      <c r="K213" s="97">
        <v>1.0164803769648E-3</v>
      </c>
      <c r="L213" s="97">
        <v>3.5156379045177301E-3</v>
      </c>
      <c r="M213" s="97">
        <v>2.8652729115164598E-2</v>
      </c>
      <c r="N213" s="97">
        <v>6.1385905747055099E-5</v>
      </c>
      <c r="O213" s="97">
        <v>4.1544762368178204E-3</v>
      </c>
      <c r="P213" s="97">
        <v>1.46374969277059</v>
      </c>
      <c r="Q213" s="97">
        <v>0.15761336501890899</v>
      </c>
      <c r="R213" s="97">
        <v>1.0480159152064201E-2</v>
      </c>
      <c r="S213" s="97">
        <v>8.3971666722744993E-3</v>
      </c>
      <c r="T213" s="97">
        <v>8.4787738296706501E-3</v>
      </c>
      <c r="U213" s="97">
        <v>8.2266242648396104E-3</v>
      </c>
    </row>
    <row r="214" spans="1:21" s="98" customFormat="1" ht="13" x14ac:dyDescent="0.15">
      <c r="A214" s="96" t="s">
        <v>206</v>
      </c>
      <c r="B214" s="97">
        <v>6.4038109562313903E-3</v>
      </c>
      <c r="C214" s="97">
        <v>4.4088867006329101E-2</v>
      </c>
      <c r="D214" s="97">
        <v>10.406618810698699</v>
      </c>
      <c r="E214" s="97">
        <v>0.2417566603954</v>
      </c>
      <c r="F214" s="97">
        <v>2.91780203747834</v>
      </c>
      <c r="G214" s="97">
        <v>0.80287562624549003</v>
      </c>
      <c r="H214" s="97">
        <v>1.9094650926374101E-3</v>
      </c>
      <c r="I214" s="97">
        <v>0.15810262235307301</v>
      </c>
      <c r="J214" s="97">
        <v>0.30215908488623</v>
      </c>
      <c r="K214" s="97">
        <v>2.2678042693396899E-3</v>
      </c>
      <c r="L214" s="97">
        <v>4.6083600556071098E-3</v>
      </c>
      <c r="M214" s="97">
        <v>3.7848618126143999E-2</v>
      </c>
      <c r="N214" s="97">
        <v>1.97805486380373E-4</v>
      </c>
      <c r="O214" s="97">
        <v>-2.8110019452303801E-3</v>
      </c>
      <c r="P214" s="97">
        <v>1.16792349116811</v>
      </c>
      <c r="Q214" s="97">
        <v>0.484437291301752</v>
      </c>
      <c r="R214" s="97">
        <v>1.5644251081346001E-2</v>
      </c>
      <c r="S214" s="97">
        <v>1.1865041531011899E-2</v>
      </c>
      <c r="T214" s="97">
        <v>1.5819195882800799E-2</v>
      </c>
      <c r="U214" s="97">
        <v>9.9975103926374306E-3</v>
      </c>
    </row>
    <row r="215" spans="1:21" s="98" customFormat="1" ht="13" x14ac:dyDescent="0.15">
      <c r="A215" s="96" t="s">
        <v>206</v>
      </c>
      <c r="B215" s="97">
        <v>7.2777204147972197E-3</v>
      </c>
      <c r="C215" s="97">
        <v>4.4369093944981397E-2</v>
      </c>
      <c r="D215" s="97">
        <v>12.258796610532601</v>
      </c>
      <c r="E215" s="97">
        <v>0.228325003174883</v>
      </c>
      <c r="F215" s="97">
        <v>2.9115617776062299</v>
      </c>
      <c r="G215" s="97">
        <v>0.80893094010673705</v>
      </c>
      <c r="H215" s="97">
        <v>1.28562653189955E-3</v>
      </c>
      <c r="I215" s="97">
        <v>0.16167419904160699</v>
      </c>
      <c r="J215" s="97">
        <v>0.31015222139005699</v>
      </c>
      <c r="K215" s="97">
        <v>2.56163713356775E-3</v>
      </c>
      <c r="L215" s="97">
        <v>4.8435373200609302E-3</v>
      </c>
      <c r="M215" s="97">
        <v>3.8485120866428801E-2</v>
      </c>
      <c r="N215" s="97">
        <v>2.8665407719890798E-4</v>
      </c>
      <c r="O215" s="97">
        <v>-2.5149905056217601E-3</v>
      </c>
      <c r="P215" s="97">
        <v>1.18280144321312</v>
      </c>
      <c r="Q215" s="97">
        <v>0.49040154415308401</v>
      </c>
      <c r="R215" s="97">
        <v>1.6187550906158199E-2</v>
      </c>
      <c r="S215" s="97">
        <v>1.1716419954002501E-2</v>
      </c>
      <c r="T215" s="97">
        <v>1.5711286006513E-2</v>
      </c>
      <c r="U215" s="97">
        <v>9.1677780701242099E-3</v>
      </c>
    </row>
    <row r="216" spans="1:21" s="98" customFormat="1" ht="13" x14ac:dyDescent="0.15">
      <c r="A216" s="96" t="s">
        <v>207</v>
      </c>
      <c r="B216" s="97">
        <v>5.4056978455195798E-3</v>
      </c>
      <c r="C216" s="97">
        <v>1.2055179843187699E-2</v>
      </c>
      <c r="D216" s="97">
        <v>16.986078783637801</v>
      </c>
      <c r="E216" s="97">
        <v>0.28320760354388702</v>
      </c>
      <c r="F216" s="97">
        <v>2.08349011763862</v>
      </c>
      <c r="G216" s="97">
        <v>1.2445892160117</v>
      </c>
      <c r="H216" s="97">
        <v>-2.0573195638192701E-4</v>
      </c>
      <c r="I216" s="97">
        <v>8.5585186698708099E-2</v>
      </c>
      <c r="J216" s="97">
        <v>1.1540745336024E-2</v>
      </c>
      <c r="K216" s="97">
        <v>4.7899615543818802E-4</v>
      </c>
      <c r="L216" s="97">
        <v>2.10670150014309E-3</v>
      </c>
      <c r="M216" s="97">
        <v>4.4093823221648103E-3</v>
      </c>
      <c r="N216" s="97">
        <v>1.12611260113658E-4</v>
      </c>
      <c r="O216" s="97">
        <v>-4.89342240514713E-3</v>
      </c>
      <c r="P216" s="97">
        <v>1.06312760333602</v>
      </c>
      <c r="Q216" s="97">
        <v>0.164821120174859</v>
      </c>
      <c r="R216" s="97">
        <v>1.06300341156026E-2</v>
      </c>
      <c r="S216" s="97">
        <v>8.8640277394655496E-3</v>
      </c>
      <c r="T216" s="97">
        <v>1.08330516285147E-2</v>
      </c>
      <c r="U216" s="97">
        <v>9.8242683134592904E-3</v>
      </c>
    </row>
    <row r="217" spans="1:21" s="98" customFormat="1" ht="13" x14ac:dyDescent="0.15">
      <c r="A217" s="96" t="s">
        <v>207</v>
      </c>
      <c r="B217" s="97">
        <v>5.5340491814754303E-3</v>
      </c>
      <c r="C217" s="97">
        <v>1.10126152175353E-2</v>
      </c>
      <c r="D217" s="97">
        <v>16.932736673627399</v>
      </c>
      <c r="E217" s="97">
        <v>0.27957964413893799</v>
      </c>
      <c r="F217" s="97">
        <v>2.0892322469532099</v>
      </c>
      <c r="G217" s="97">
        <v>1.25024207704866</v>
      </c>
      <c r="H217" s="97">
        <v>4.53550358707348E-4</v>
      </c>
      <c r="I217" s="97">
        <v>8.4649794992211105E-2</v>
      </c>
      <c r="J217" s="97">
        <v>1.1432569186684701E-2</v>
      </c>
      <c r="K217" s="97">
        <v>7.0424179527007601E-4</v>
      </c>
      <c r="L217" s="97">
        <v>2.1988049255774801E-3</v>
      </c>
      <c r="M217" s="97">
        <v>4.9593440918113702E-3</v>
      </c>
      <c r="N217" s="97">
        <v>1.21518922204386E-4</v>
      </c>
      <c r="O217" s="97">
        <v>-4.4985502862902003E-3</v>
      </c>
      <c r="P217" s="97">
        <v>1.0409456408645399</v>
      </c>
      <c r="Q217" s="97">
        <v>0.15935114774480699</v>
      </c>
      <c r="R217" s="97">
        <v>1.07933096234914E-2</v>
      </c>
      <c r="S217" s="97">
        <v>1.0497858210589401E-2</v>
      </c>
      <c r="T217" s="97">
        <v>1.15681555648706E-2</v>
      </c>
      <c r="U217" s="97">
        <v>9.4401104612005706E-3</v>
      </c>
    </row>
    <row r="218" spans="1:21" s="98" customFormat="1" ht="13" x14ac:dyDescent="0.15">
      <c r="A218" s="96" t="s">
        <v>208</v>
      </c>
      <c r="B218" s="97">
        <v>1.8690122148812501E-2</v>
      </c>
      <c r="C218" s="97">
        <v>0.103713089861059</v>
      </c>
      <c r="D218" s="97">
        <v>21.124950499954501</v>
      </c>
      <c r="E218" s="97">
        <v>0.30462152805687498</v>
      </c>
      <c r="F218" s="97">
        <v>12.2318691041181</v>
      </c>
      <c r="G218" s="97">
        <v>1.0475075890626599</v>
      </c>
      <c r="H218" s="97">
        <v>5.9768949297451005E-4</v>
      </c>
      <c r="I218" s="97">
        <v>0.30852017322355402</v>
      </c>
      <c r="J218" s="97">
        <v>8.5158671555975896E-2</v>
      </c>
      <c r="K218" s="97">
        <v>3.2790406512752598E-3</v>
      </c>
      <c r="L218" s="97">
        <v>2.00300921727145E-3</v>
      </c>
      <c r="M218" s="97">
        <v>5.9661012718623702E-2</v>
      </c>
      <c r="N218" s="97">
        <v>4.2798594971104302E-4</v>
      </c>
      <c r="O218" s="97">
        <v>2.74223483069156E-4</v>
      </c>
      <c r="P218" s="97">
        <v>1.36521843319569</v>
      </c>
      <c r="Q218" s="97">
        <v>0.79793856522791995</v>
      </c>
      <c r="R218" s="97">
        <v>1.24932657152845E-2</v>
      </c>
      <c r="S218" s="97">
        <v>6.1989334228094101E-3</v>
      </c>
      <c r="T218" s="97">
        <v>1.16657315500289E-2</v>
      </c>
      <c r="U218" s="97">
        <v>7.1736802310682097E-3</v>
      </c>
    </row>
    <row r="219" spans="1:21" s="98" customFormat="1" ht="13" x14ac:dyDescent="0.15">
      <c r="A219" s="96" t="s">
        <v>208</v>
      </c>
      <c r="B219" s="97">
        <v>1.7863831509718701E-2</v>
      </c>
      <c r="C219" s="97">
        <v>9.79862485205161E-2</v>
      </c>
      <c r="D219" s="97">
        <v>19.824184398270798</v>
      </c>
      <c r="E219" s="97">
        <v>0.28554693796052499</v>
      </c>
      <c r="F219" s="97">
        <v>11.419325920413399</v>
      </c>
      <c r="G219" s="97">
        <v>0.97303938043539995</v>
      </c>
      <c r="H219" s="97">
        <v>3.35250493875169E-4</v>
      </c>
      <c r="I219" s="97">
        <v>0.28923904408185802</v>
      </c>
      <c r="J219" s="97">
        <v>7.9165878255539404E-2</v>
      </c>
      <c r="K219" s="97">
        <v>2.9109555839513298E-3</v>
      </c>
      <c r="L219" s="97">
        <v>2.1233496441356598E-3</v>
      </c>
      <c r="M219" s="97">
        <v>4.9693247948840398E-2</v>
      </c>
      <c r="N219" s="97">
        <v>4.4896526527118898E-4</v>
      </c>
      <c r="O219" s="97">
        <v>3.09093246768441E-4</v>
      </c>
      <c r="P219" s="97">
        <v>1.3117938207904201</v>
      </c>
      <c r="Q219" s="97">
        <v>0.75781767285303203</v>
      </c>
      <c r="R219" s="97">
        <v>1.2349564540958299E-2</v>
      </c>
      <c r="S219" s="97">
        <v>6.8521609840802101E-3</v>
      </c>
      <c r="T219" s="97">
        <v>1.14684163281552E-2</v>
      </c>
      <c r="U219" s="97">
        <v>6.8821403003008902E-3</v>
      </c>
    </row>
    <row r="220" spans="1:21" s="98" customFormat="1" ht="13" x14ac:dyDescent="0.15">
      <c r="A220" s="96" t="s">
        <v>209</v>
      </c>
      <c r="B220" s="97">
        <v>1.5304645779319901E-3</v>
      </c>
      <c r="C220" s="97">
        <v>1.37636688240396E-2</v>
      </c>
      <c r="D220" s="97">
        <v>5.45079600680645</v>
      </c>
      <c r="E220" s="97">
        <v>0.120599569582396</v>
      </c>
      <c r="F220" s="97">
        <v>0.212078614489036</v>
      </c>
      <c r="G220" s="97">
        <v>0.43869104614674098</v>
      </c>
      <c r="H220" s="97">
        <v>-9.4151674727949999E-4</v>
      </c>
      <c r="I220" s="97">
        <v>5.3989588392094501E-2</v>
      </c>
      <c r="J220" s="97">
        <v>3.15821773476405E-3</v>
      </c>
      <c r="K220" s="97">
        <v>3.1830351044243802E-4</v>
      </c>
      <c r="L220" s="97">
        <v>1.04423665246784E-3</v>
      </c>
      <c r="M220" s="97">
        <v>2.0206280823706398E-2</v>
      </c>
      <c r="N220" s="97">
        <v>2.89111079273536E-5</v>
      </c>
      <c r="O220" s="97">
        <v>-6.0638778420293504E-3</v>
      </c>
      <c r="P220" s="97">
        <v>0.22924744347996601</v>
      </c>
      <c r="Q220" s="97">
        <v>7.2262394821607401E-2</v>
      </c>
      <c r="R220" s="97">
        <v>2.2248997806881099E-3</v>
      </c>
      <c r="S220" s="97">
        <v>1.8113741432855301E-3</v>
      </c>
      <c r="T220" s="97">
        <v>1.7360520444969199E-3</v>
      </c>
      <c r="U220" s="97">
        <v>1.54095913700702E-3</v>
      </c>
    </row>
    <row r="221" spans="1:21" s="98" customFormat="1" ht="13" x14ac:dyDescent="0.15">
      <c r="A221" s="96" t="s">
        <v>209</v>
      </c>
      <c r="B221" s="97">
        <v>1.80100764683934E-3</v>
      </c>
      <c r="C221" s="97">
        <v>1.22532739436401E-2</v>
      </c>
      <c r="D221" s="97">
        <v>5.1229771069522396</v>
      </c>
      <c r="E221" s="97">
        <v>0.118264568047719</v>
      </c>
      <c r="F221" s="97">
        <v>0.19933106855549201</v>
      </c>
      <c r="G221" s="97">
        <v>0.43675358510623402</v>
      </c>
      <c r="H221" s="97">
        <v>-5.9996916962539999E-4</v>
      </c>
      <c r="I221" s="97">
        <v>5.2587703737304502E-2</v>
      </c>
      <c r="J221" s="97">
        <v>2.7988362535974901E-3</v>
      </c>
      <c r="K221" s="97">
        <v>2.80665235150306E-4</v>
      </c>
      <c r="L221" s="97">
        <v>1.2081871466802199E-3</v>
      </c>
      <c r="M221" s="97">
        <v>2.0054686822096102E-2</v>
      </c>
      <c r="N221" s="97">
        <v>5.73905950494233E-5</v>
      </c>
      <c r="O221" s="97">
        <v>-6.0945050911680896E-3</v>
      </c>
      <c r="P221" s="97">
        <v>0.221282629985176</v>
      </c>
      <c r="Q221" s="97">
        <v>7.1944213444854702E-2</v>
      </c>
      <c r="R221" s="97">
        <v>1.7841539949704E-3</v>
      </c>
      <c r="S221" s="97">
        <v>1.78138961411437E-3</v>
      </c>
      <c r="T221" s="97">
        <v>1.3735499810369101E-3</v>
      </c>
      <c r="U221" s="97">
        <v>1.3745599663015199E-3</v>
      </c>
    </row>
    <row r="222" spans="1:21" s="98" customFormat="1" ht="13" x14ac:dyDescent="0.15">
      <c r="A222" s="96" t="s">
        <v>204</v>
      </c>
      <c r="B222" s="97">
        <v>3.0008749619237999E-3</v>
      </c>
      <c r="C222" s="97">
        <v>4.9107851807608197E-2</v>
      </c>
      <c r="D222" s="97">
        <v>1.85480444636778</v>
      </c>
      <c r="E222" s="97">
        <v>9.3522448952501405E-2</v>
      </c>
      <c r="F222" s="97">
        <v>0.67042797306986301</v>
      </c>
      <c r="G222" s="97">
        <v>0.238175721109672</v>
      </c>
      <c r="H222" s="97">
        <v>5.2340749901280299E-3</v>
      </c>
      <c r="I222" s="97">
        <v>2.6135554504383499E-2</v>
      </c>
      <c r="J222" s="97">
        <v>2.1032003617910501E-2</v>
      </c>
      <c r="K222" s="97">
        <v>1.6939453782888699E-4</v>
      </c>
      <c r="L222" s="97">
        <v>7.0737991011834002E-4</v>
      </c>
      <c r="M222" s="97">
        <v>2.8077746088948099E-3</v>
      </c>
      <c r="N222" s="97">
        <v>6.3281245497640398E-5</v>
      </c>
      <c r="O222" s="97">
        <v>-5.67404841600248E-3</v>
      </c>
      <c r="P222" s="97">
        <v>0.15139647787294</v>
      </c>
      <c r="Q222" s="97">
        <v>2.85580473037465E-2</v>
      </c>
      <c r="R222" s="97">
        <v>1.7559548273049E-3</v>
      </c>
      <c r="S222" s="97">
        <v>1.54236584564625E-3</v>
      </c>
      <c r="T222" s="97">
        <v>1.6088395172788601E-3</v>
      </c>
      <c r="U222" s="97">
        <v>1.4011988130105599E-3</v>
      </c>
    </row>
    <row r="223" spans="1:21" s="98" customFormat="1" ht="13" x14ac:dyDescent="0.15">
      <c r="A223" s="96" t="s">
        <v>210</v>
      </c>
      <c r="B223" s="97">
        <v>1.37693203898235E-2</v>
      </c>
      <c r="C223" s="97">
        <v>0.23897036418079601</v>
      </c>
      <c r="D223" s="97">
        <v>36.7971428576571</v>
      </c>
      <c r="E223" s="97">
        <v>0.37140565099690698</v>
      </c>
      <c r="F223" s="97">
        <v>3.31201474177848</v>
      </c>
      <c r="G223" s="97">
        <v>1.8983006142971199</v>
      </c>
      <c r="H223" s="97">
        <v>3.7183241572791102E-3</v>
      </c>
      <c r="I223" s="97">
        <v>0.165039187713519</v>
      </c>
      <c r="J223" s="97">
        <v>2.4290503008264099E-2</v>
      </c>
      <c r="K223" s="97">
        <v>1.5454185412999101E-3</v>
      </c>
      <c r="L223" s="97">
        <v>7.7707848608302597E-3</v>
      </c>
      <c r="M223" s="97">
        <v>6.4762908373407105E-2</v>
      </c>
      <c r="N223" s="97">
        <v>1.7732826563365299E-4</v>
      </c>
      <c r="O223" s="97">
        <v>1.8990528629055099E-2</v>
      </c>
      <c r="P223" s="97">
        <v>1.68622023902534</v>
      </c>
      <c r="Q223" s="97">
        <v>19.959257965579301</v>
      </c>
      <c r="R223" s="97">
        <v>2.76390625956432E-2</v>
      </c>
      <c r="S223" s="97">
        <v>2.71833373473418E-2</v>
      </c>
      <c r="T223" s="97">
        <v>2.52119909388447E-2</v>
      </c>
      <c r="U223" s="97">
        <v>2.43357234331599E-2</v>
      </c>
    </row>
    <row r="224" spans="1:21" s="98" customFormat="1" ht="13" x14ac:dyDescent="0.15">
      <c r="A224" s="96" t="s">
        <v>210</v>
      </c>
      <c r="B224" s="97">
        <v>1.2275764538539E-2</v>
      </c>
      <c r="C224" s="97">
        <v>0.22310818529535401</v>
      </c>
      <c r="D224" s="97">
        <v>34.614251413708097</v>
      </c>
      <c r="E224" s="97">
        <v>0.34997691945763698</v>
      </c>
      <c r="F224" s="97">
        <v>3.13541953008151</v>
      </c>
      <c r="G224" s="97">
        <v>1.8278124244590399</v>
      </c>
      <c r="H224" s="97">
        <v>3.7653867991929301E-3</v>
      </c>
      <c r="I224" s="97">
        <v>0.15760767381291599</v>
      </c>
      <c r="J224" s="97">
        <v>2.41989706646548E-2</v>
      </c>
      <c r="K224" s="97">
        <v>1.58217828297698E-3</v>
      </c>
      <c r="L224" s="97">
        <v>7.2405905661651901E-3</v>
      </c>
      <c r="M224" s="97">
        <v>5.9858752259488099E-2</v>
      </c>
      <c r="N224" s="97">
        <v>1.85991630357062E-4</v>
      </c>
      <c r="O224" s="97">
        <v>1.65896009825049E-2</v>
      </c>
      <c r="P224" s="97">
        <v>1.5927463692550701</v>
      </c>
      <c r="Q224" s="97">
        <v>18.901967091696001</v>
      </c>
      <c r="R224" s="97">
        <v>2.77133422198249E-2</v>
      </c>
      <c r="S224" s="97">
        <v>2.4660507403022398E-2</v>
      </c>
      <c r="T224" s="97">
        <v>2.5133599136646999E-2</v>
      </c>
      <c r="U224" s="97">
        <v>2.3801912653015799E-2</v>
      </c>
    </row>
    <row r="225" spans="1:21" s="98" customFormat="1" ht="13" x14ac:dyDescent="0.15">
      <c r="A225" s="96" t="s">
        <v>211</v>
      </c>
      <c r="B225" s="97">
        <v>2.0594726367023999E-2</v>
      </c>
      <c r="C225" s="97">
        <v>0.102106155327799</v>
      </c>
      <c r="D225" s="97">
        <v>6.1469643207395599</v>
      </c>
      <c r="E225" s="97">
        <v>0.77780199079057799</v>
      </c>
      <c r="F225" s="97">
        <v>7.4077470505537102</v>
      </c>
      <c r="G225" s="97">
        <v>1.9111771261641699</v>
      </c>
      <c r="H225" s="97">
        <v>5.0758348104411799E-4</v>
      </c>
      <c r="I225" s="97">
        <v>0.27445993202660501</v>
      </c>
      <c r="J225" s="97">
        <v>0.114662722097677</v>
      </c>
      <c r="K225" s="97">
        <v>1.0517398469104999E-3</v>
      </c>
      <c r="L225" s="97">
        <v>1.4457746295684601E-2</v>
      </c>
      <c r="M225" s="97">
        <v>2.4339937905127399E-2</v>
      </c>
      <c r="N225" s="97">
        <v>1.0430776396730699E-4</v>
      </c>
      <c r="O225" s="97">
        <v>7.15812039887924E-3</v>
      </c>
      <c r="P225" s="97">
        <v>3.0407890540355398</v>
      </c>
      <c r="Q225" s="97">
        <v>4.1109459758273799</v>
      </c>
      <c r="R225" s="97">
        <v>1.07672775646936E-2</v>
      </c>
      <c r="S225" s="97">
        <v>7.37115358250742E-3</v>
      </c>
      <c r="T225" s="97">
        <v>1.1467833603393599E-2</v>
      </c>
      <c r="U225" s="97">
        <v>6.5162877765021698E-3</v>
      </c>
    </row>
    <row r="226" spans="1:21" s="98" customFormat="1" ht="13" x14ac:dyDescent="0.15">
      <c r="A226" s="96" t="s">
        <v>211</v>
      </c>
      <c r="B226" s="97">
        <v>2.2666406055031899E-2</v>
      </c>
      <c r="C226" s="97">
        <v>0.103701078413965</v>
      </c>
      <c r="D226" s="97">
        <v>9.1353331746533808</v>
      </c>
      <c r="E226" s="97">
        <v>0.72060949747170899</v>
      </c>
      <c r="F226" s="97">
        <v>7.9410977002302596</v>
      </c>
      <c r="G226" s="97">
        <v>2.1288635530456301</v>
      </c>
      <c r="H226" s="97">
        <v>7.5401936533186001E-4</v>
      </c>
      <c r="I226" s="97">
        <v>0.304518821966685</v>
      </c>
      <c r="J226" s="97">
        <v>0.127473393748462</v>
      </c>
      <c r="K226" s="97">
        <v>1.3254092205712499E-3</v>
      </c>
      <c r="L226" s="97">
        <v>1.5648951990942801E-2</v>
      </c>
      <c r="M226" s="97">
        <v>2.40134242835011E-2</v>
      </c>
      <c r="N226" s="97">
        <v>6.8160706807719705E-5</v>
      </c>
      <c r="O226" s="97">
        <v>-8.0889615645229299E-4</v>
      </c>
      <c r="P226" s="97">
        <v>3.2190683054083902</v>
      </c>
      <c r="Q226" s="97">
        <v>4.3900199867441696</v>
      </c>
      <c r="R226" s="97">
        <v>1.12933158171197E-2</v>
      </c>
      <c r="S226" s="97">
        <v>5.6768285474522104E-3</v>
      </c>
      <c r="T226" s="97">
        <v>1.14228429217116E-2</v>
      </c>
      <c r="U226" s="97">
        <v>7.5154506623897601E-3</v>
      </c>
    </row>
    <row r="227" spans="1:21" s="98" customFormat="1" ht="13" x14ac:dyDescent="0.15">
      <c r="A227" s="96" t="s">
        <v>212</v>
      </c>
      <c r="B227" s="97">
        <v>7.0759912721051598E-3</v>
      </c>
      <c r="C227" s="97">
        <v>2.8863575333413199E-2</v>
      </c>
      <c r="D227" s="97">
        <v>24.457285735226701</v>
      </c>
      <c r="E227" s="97">
        <v>0.267612370939592</v>
      </c>
      <c r="F227" s="97">
        <v>2.8538906564778799</v>
      </c>
      <c r="G227" s="97">
        <v>0.53755636075014701</v>
      </c>
      <c r="H227" s="97">
        <v>1.0532472404169301E-3</v>
      </c>
      <c r="I227" s="97">
        <v>9.2388683456302398E-2</v>
      </c>
      <c r="J227" s="97">
        <v>2.0268515658454202E-2</v>
      </c>
      <c r="K227" s="97">
        <v>8.9786597348102601E-4</v>
      </c>
      <c r="L227" s="97">
        <v>2.2872619322652E-3</v>
      </c>
      <c r="M227" s="97">
        <v>4.6570998752805903E-2</v>
      </c>
      <c r="N227" s="97">
        <v>1.5105652753028199E-4</v>
      </c>
      <c r="O227" s="97">
        <v>-2.1242214856600499E-3</v>
      </c>
      <c r="P227" s="97">
        <v>1.20366513205034</v>
      </c>
      <c r="Q227" s="97">
        <v>0.80020032760127902</v>
      </c>
      <c r="R227" s="97">
        <v>8.1745873505607494E-3</v>
      </c>
      <c r="S227" s="97">
        <v>6.4622718840510697E-3</v>
      </c>
      <c r="T227" s="97">
        <v>9.5439350516388199E-3</v>
      </c>
      <c r="U227" s="97">
        <v>4.8873137863675101E-3</v>
      </c>
    </row>
    <row r="228" spans="1:21" s="98" customFormat="1" ht="13" x14ac:dyDescent="0.15">
      <c r="A228" s="96" t="s">
        <v>212</v>
      </c>
      <c r="B228" s="97">
        <v>6.5617090329348196E-3</v>
      </c>
      <c r="C228" s="97">
        <v>2.4042352986879699E-2</v>
      </c>
      <c r="D228" s="97">
        <v>23.782584527163099</v>
      </c>
      <c r="E228" s="97">
        <v>0.25579454915473798</v>
      </c>
      <c r="F228" s="97">
        <v>2.7616946509167102</v>
      </c>
      <c r="G228" s="97">
        <v>0.52058568740256705</v>
      </c>
      <c r="H228" s="97">
        <v>1.0700943104645199E-3</v>
      </c>
      <c r="I228" s="97">
        <v>8.9149800939739496E-2</v>
      </c>
      <c r="J228" s="97">
        <v>1.93528688447622E-2</v>
      </c>
      <c r="K228" s="97">
        <v>1.05377379283274E-3</v>
      </c>
      <c r="L228" s="97">
        <v>2.2293647321458502E-3</v>
      </c>
      <c r="M228" s="97">
        <v>4.3360123981732099E-2</v>
      </c>
      <c r="N228" s="97">
        <v>1.91626141761772E-4</v>
      </c>
      <c r="O228" s="97">
        <v>-2.8880601955037898E-3</v>
      </c>
      <c r="P228" s="97">
        <v>1.1454459213463399</v>
      </c>
      <c r="Q228" s="97">
        <v>0.76240841333711296</v>
      </c>
      <c r="R228" s="97">
        <v>8.7718380286671803E-3</v>
      </c>
      <c r="S228" s="97">
        <v>6.4004493911741399E-3</v>
      </c>
      <c r="T228" s="97">
        <v>8.6345297843969694E-3</v>
      </c>
      <c r="U228" s="97">
        <v>4.8873784136974699E-3</v>
      </c>
    </row>
    <row r="229" spans="1:21" s="98" customFormat="1" ht="13" x14ac:dyDescent="0.15">
      <c r="A229" s="96" t="s">
        <v>213</v>
      </c>
      <c r="B229" s="97">
        <v>1.4223771607019899E-2</v>
      </c>
      <c r="C229" s="97">
        <v>1.7745317626955099E-2</v>
      </c>
      <c r="D229" s="97">
        <v>3.5731851411667002</v>
      </c>
      <c r="E229" s="97">
        <v>0.167341851827954</v>
      </c>
      <c r="F229" s="97">
        <v>1.03679334912037</v>
      </c>
      <c r="G229" s="97">
        <v>0.52529883306482195</v>
      </c>
      <c r="H229" s="97">
        <v>1.5017923743631799E-4</v>
      </c>
      <c r="I229" s="97">
        <v>5.2196271975877298E-2</v>
      </c>
      <c r="J229" s="97">
        <v>1.5952023180925898E-2</v>
      </c>
      <c r="K229" s="97">
        <v>6.15209643311078E-3</v>
      </c>
      <c r="L229" s="97">
        <v>1.25845584463504E-3</v>
      </c>
      <c r="M229" s="97">
        <v>1.0536616081791499E-2</v>
      </c>
      <c r="N229" s="97">
        <v>7.8898349833659006E-5</v>
      </c>
      <c r="O229" s="97">
        <v>-4.6694950313787703E-3</v>
      </c>
      <c r="P229" s="97">
        <v>0.76762154227623403</v>
      </c>
      <c r="Q229" s="97">
        <v>0.29050761082579801</v>
      </c>
      <c r="R229" s="97">
        <v>5.90707861386281E-3</v>
      </c>
      <c r="S229" s="97">
        <v>6.47294099771619E-3</v>
      </c>
      <c r="T229" s="97">
        <v>6.7257132508219096E-3</v>
      </c>
      <c r="U229" s="97">
        <v>5.50210619566223E-3</v>
      </c>
    </row>
    <row r="230" spans="1:21" s="98" customFormat="1" ht="13" x14ac:dyDescent="0.15">
      <c r="A230" s="96" t="s">
        <v>213</v>
      </c>
      <c r="B230" s="97">
        <v>1.29735277607761E-2</v>
      </c>
      <c r="C230" s="97">
        <v>1.6078223519384101E-2</v>
      </c>
      <c r="D230" s="97">
        <v>3.5821520986894302</v>
      </c>
      <c r="E230" s="97">
        <v>0.169727242114392</v>
      </c>
      <c r="F230" s="97">
        <v>1.03520206236281</v>
      </c>
      <c r="G230" s="97">
        <v>0.52086315138495598</v>
      </c>
      <c r="H230" s="97">
        <v>4.8876579187692899E-4</v>
      </c>
      <c r="I230" s="97">
        <v>5.1082486143711102E-2</v>
      </c>
      <c r="J230" s="97">
        <v>1.5888191166923499E-2</v>
      </c>
      <c r="K230" s="97">
        <v>5.9526769261622698E-3</v>
      </c>
      <c r="L230" s="97">
        <v>1.25281472319265E-3</v>
      </c>
      <c r="M230" s="97">
        <v>1.07913441243768E-2</v>
      </c>
      <c r="N230" s="97">
        <v>9.8926308386517597E-5</v>
      </c>
      <c r="O230" s="97">
        <v>-4.4229798707544404E-3</v>
      </c>
      <c r="P230" s="97">
        <v>0.75043374685265496</v>
      </c>
      <c r="Q230" s="97">
        <v>0.295109857694142</v>
      </c>
      <c r="R230" s="97">
        <v>6.4658163229797004E-3</v>
      </c>
      <c r="S230" s="97">
        <v>5.6261947797947801E-3</v>
      </c>
      <c r="T230" s="97">
        <v>6.3225731038351997E-3</v>
      </c>
      <c r="U230" s="97">
        <v>5.6030689799683401E-3</v>
      </c>
    </row>
    <row r="231" spans="1:21" s="98" customFormat="1" ht="13" x14ac:dyDescent="0.15">
      <c r="A231" s="96" t="s">
        <v>214</v>
      </c>
      <c r="B231" s="97">
        <v>9.2471349500073304E-3</v>
      </c>
      <c r="C231" s="97">
        <v>7.79439127172359E-2</v>
      </c>
      <c r="D231" s="97">
        <v>15.660736277488001</v>
      </c>
      <c r="E231" s="97">
        <v>0.64483679334241195</v>
      </c>
      <c r="F231" s="97">
        <v>3.0722751295282702</v>
      </c>
      <c r="G231" s="97">
        <v>1.5276671253992999</v>
      </c>
      <c r="H231" s="97">
        <v>1.7785372653145201E-3</v>
      </c>
      <c r="I231" s="97">
        <v>0.150895796985477</v>
      </c>
      <c r="J231" s="97">
        <v>8.5237798774946305E-2</v>
      </c>
      <c r="K231" s="97">
        <v>4.2792506068654104E-3</v>
      </c>
      <c r="L231" s="97">
        <v>4.6986555627857004E-3</v>
      </c>
      <c r="M231" s="97">
        <v>2.05141806300413E-2</v>
      </c>
      <c r="N231" s="97">
        <v>6.7204042348753296E-4</v>
      </c>
      <c r="O231" s="97">
        <v>1.7243280386829801E-2</v>
      </c>
      <c r="P231" s="97">
        <v>1.5497957797506801</v>
      </c>
      <c r="Q231" s="97">
        <v>9.0152811184488202E-2</v>
      </c>
      <c r="R231" s="97">
        <v>8.2251430826577199E-3</v>
      </c>
      <c r="S231" s="97">
        <v>1.2995513705453E-2</v>
      </c>
      <c r="T231" s="97">
        <v>9.3666852554276994E-3</v>
      </c>
      <c r="U231" s="97">
        <v>7.3519191655568097E-3</v>
      </c>
    </row>
    <row r="232" spans="1:21" s="98" customFormat="1" ht="13" x14ac:dyDescent="0.15">
      <c r="A232" s="96" t="s">
        <v>214</v>
      </c>
      <c r="B232" s="97">
        <v>8.5265759584078008E-3</v>
      </c>
      <c r="C232" s="97">
        <v>6.2807683539323797E-2</v>
      </c>
      <c r="D232" s="97">
        <v>15.961044291979499</v>
      </c>
      <c r="E232" s="97">
        <v>0.66682093518746499</v>
      </c>
      <c r="F232" s="97">
        <v>3.0615615821321698</v>
      </c>
      <c r="G232" s="97">
        <v>1.53594430292884</v>
      </c>
      <c r="H232" s="97">
        <v>2.4455215241694201E-3</v>
      </c>
      <c r="I232" s="97">
        <v>0.15003514364987</v>
      </c>
      <c r="J232" s="97">
        <v>8.5721783438972202E-2</v>
      </c>
      <c r="K232" s="97">
        <v>4.17848941825713E-3</v>
      </c>
      <c r="L232" s="97">
        <v>4.8441183038223697E-3</v>
      </c>
      <c r="M232" s="97">
        <v>2.0445958310235698E-2</v>
      </c>
      <c r="N232" s="97">
        <v>6.3067547756716596E-4</v>
      </c>
      <c r="O232" s="97">
        <v>1.6640024446836901E-2</v>
      </c>
      <c r="P232" s="97">
        <v>1.52041302767509</v>
      </c>
      <c r="Q232" s="97">
        <v>9.0671262774507697E-2</v>
      </c>
      <c r="R232" s="97">
        <v>9.62072562539645E-3</v>
      </c>
      <c r="S232" s="97">
        <v>1.3802282470729199E-2</v>
      </c>
      <c r="T232" s="97">
        <v>9.5374529620155194E-3</v>
      </c>
      <c r="U232" s="97">
        <v>6.2129913758588104E-3</v>
      </c>
    </row>
    <row r="233" spans="1:21" s="98" customFormat="1" ht="13" x14ac:dyDescent="0.15">
      <c r="A233" s="96" t="s">
        <v>215</v>
      </c>
      <c r="B233" s="97">
        <v>1.19367319295045E-2</v>
      </c>
      <c r="C233" s="97">
        <v>8.0479566989706805E-2</v>
      </c>
      <c r="D233" s="97">
        <v>31.390620355182801</v>
      </c>
      <c r="E233" s="97">
        <v>0.38164710076359498</v>
      </c>
      <c r="F233" s="97">
        <v>6.1587495033397204</v>
      </c>
      <c r="G233" s="97">
        <v>1.7298519845713201</v>
      </c>
      <c r="H233" s="97">
        <v>2.1251117620994901E-3</v>
      </c>
      <c r="I233" s="97">
        <v>0.21777063834349</v>
      </c>
      <c r="J233" s="97">
        <v>0.10797101231152501</v>
      </c>
      <c r="K233" s="97">
        <v>1.9565633712667401E-3</v>
      </c>
      <c r="L233" s="97">
        <v>7.6656170724562897E-3</v>
      </c>
      <c r="M233" s="97">
        <v>6.0225687065117502E-2</v>
      </c>
      <c r="N233" s="97">
        <v>5.5609235971244104E-4</v>
      </c>
      <c r="O233" s="97">
        <v>1.5529894303388701E-3</v>
      </c>
      <c r="P233" s="97">
        <v>1.8277538469049599</v>
      </c>
      <c r="Q233" s="97">
        <v>0.72745910838356298</v>
      </c>
      <c r="R233" s="97">
        <v>1.44269152499875E-2</v>
      </c>
      <c r="S233" s="97">
        <v>1.11533254541259E-2</v>
      </c>
      <c r="T233" s="97">
        <v>1.5414076216035799E-2</v>
      </c>
      <c r="U233" s="97">
        <v>1.0944717604222E-2</v>
      </c>
    </row>
    <row r="234" spans="1:21" s="98" customFormat="1" ht="13" x14ac:dyDescent="0.15">
      <c r="A234" s="96" t="s">
        <v>215</v>
      </c>
      <c r="B234" s="97">
        <v>1.15915793838317E-2</v>
      </c>
      <c r="C234" s="97">
        <v>8.5539158260193704E-2</v>
      </c>
      <c r="D234" s="97">
        <v>32.070287452384797</v>
      </c>
      <c r="E234" s="97">
        <v>0.37740866876194601</v>
      </c>
      <c r="F234" s="97">
        <v>6.0036434732179904</v>
      </c>
      <c r="G234" s="97">
        <v>1.7087153669994399</v>
      </c>
      <c r="H234" s="97">
        <v>2.8197370676366399E-3</v>
      </c>
      <c r="I234" s="97">
        <v>0.21658948857840399</v>
      </c>
      <c r="J234" s="97">
        <v>0.100648021439076</v>
      </c>
      <c r="K234" s="97">
        <v>2.2759305921198898E-3</v>
      </c>
      <c r="L234" s="97">
        <v>7.3727890388866997E-3</v>
      </c>
      <c r="M234" s="97">
        <v>6.1307884437073197E-2</v>
      </c>
      <c r="N234" s="97">
        <v>6.0053682070009798E-4</v>
      </c>
      <c r="O234" s="97">
        <v>1.33513382387132E-3</v>
      </c>
      <c r="P234" s="97">
        <v>1.84270244954604</v>
      </c>
      <c r="Q234" s="97">
        <v>0.73093695520395296</v>
      </c>
      <c r="R234" s="97">
        <v>1.45436794186914E-2</v>
      </c>
      <c r="S234" s="97">
        <v>9.6837818299373192E-3</v>
      </c>
      <c r="T234" s="97">
        <v>1.27936408655732E-2</v>
      </c>
      <c r="U234" s="97">
        <v>1.03285124950798E-2</v>
      </c>
    </row>
    <row r="235" spans="1:21" s="98" customFormat="1" ht="13" x14ac:dyDescent="0.15">
      <c r="A235" s="96" t="s">
        <v>211</v>
      </c>
      <c r="B235" s="97">
        <v>1.9958783940263201E-2</v>
      </c>
      <c r="C235" s="97">
        <v>0.10499974702491199</v>
      </c>
      <c r="D235" s="97">
        <v>6.3288621867648498</v>
      </c>
      <c r="E235" s="97">
        <v>0.77816828255392101</v>
      </c>
      <c r="F235" s="97">
        <v>7.3759574925994897</v>
      </c>
      <c r="G235" s="97">
        <v>1.9306804429828099</v>
      </c>
      <c r="H235" s="97">
        <v>9.7048107928647195E-4</v>
      </c>
      <c r="I235" s="97">
        <v>0.287826403253226</v>
      </c>
      <c r="J235" s="97">
        <v>0.118474385190354</v>
      </c>
      <c r="K235" s="97">
        <v>1.3897108979535301E-3</v>
      </c>
      <c r="L235" s="97">
        <v>1.43485308626418E-2</v>
      </c>
      <c r="M235" s="97">
        <v>2.4042370302093701E-2</v>
      </c>
      <c r="N235" s="97">
        <v>9.0014376532308299E-5</v>
      </c>
      <c r="O235" s="97">
        <v>-1.3422375147860701E-4</v>
      </c>
      <c r="P235" s="97">
        <v>3.0628221108307998</v>
      </c>
      <c r="Q235" s="97">
        <v>4.1379711023294501</v>
      </c>
      <c r="R235" s="97">
        <v>1.05157316219816E-2</v>
      </c>
      <c r="S235" s="97">
        <v>5.3808254472050201E-3</v>
      </c>
      <c r="T235" s="97">
        <v>1.01028330052067E-2</v>
      </c>
      <c r="U235" s="97">
        <v>7.1733790916198503E-3</v>
      </c>
    </row>
    <row r="236" spans="1:21" x14ac:dyDescent="0.2">
      <c r="A236" s="14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</row>
    <row r="237" spans="1:21" s="106" customFormat="1" ht="22" customHeight="1" x14ac:dyDescent="0.2">
      <c r="A237" s="104" t="s">
        <v>231</v>
      </c>
      <c r="B237" s="105">
        <f>COUNT(B3:B235)</f>
        <v>233</v>
      </c>
      <c r="C237" s="105">
        <f t="shared" ref="C237:U237" si="0">COUNT(C3:C235)</f>
        <v>233</v>
      </c>
      <c r="D237" s="105">
        <f t="shared" si="0"/>
        <v>233</v>
      </c>
      <c r="E237" s="105">
        <f t="shared" si="0"/>
        <v>233</v>
      </c>
      <c r="F237" s="105">
        <f t="shared" si="0"/>
        <v>233</v>
      </c>
      <c r="G237" s="105">
        <f t="shared" si="0"/>
        <v>233</v>
      </c>
      <c r="H237" s="105">
        <f t="shared" si="0"/>
        <v>233</v>
      </c>
      <c r="I237" s="105">
        <f t="shared" si="0"/>
        <v>233</v>
      </c>
      <c r="J237" s="105">
        <f t="shared" si="0"/>
        <v>233</v>
      </c>
      <c r="K237" s="105">
        <f t="shared" si="0"/>
        <v>233</v>
      </c>
      <c r="L237" s="105">
        <f t="shared" si="0"/>
        <v>233</v>
      </c>
      <c r="M237" s="105">
        <f t="shared" si="0"/>
        <v>233</v>
      </c>
      <c r="N237" s="105">
        <f t="shared" si="0"/>
        <v>233</v>
      </c>
      <c r="O237" s="105">
        <f t="shared" si="0"/>
        <v>233</v>
      </c>
      <c r="P237" s="105">
        <f t="shared" si="0"/>
        <v>233</v>
      </c>
      <c r="Q237" s="105">
        <f t="shared" si="0"/>
        <v>233</v>
      </c>
      <c r="R237" s="105">
        <f t="shared" si="0"/>
        <v>233</v>
      </c>
      <c r="S237" s="105">
        <f t="shared" si="0"/>
        <v>233</v>
      </c>
      <c r="T237" s="105">
        <f t="shared" si="0"/>
        <v>233</v>
      </c>
      <c r="U237" s="105">
        <f t="shared" si="0"/>
        <v>233</v>
      </c>
    </row>
    <row r="238" spans="1:21" x14ac:dyDescent="0.2">
      <c r="A238" s="14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</row>
    <row r="239" spans="1:21" x14ac:dyDescent="0.2">
      <c r="A239" s="47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</row>
    <row r="240" spans="1:21" x14ac:dyDescent="0.2">
      <c r="A240" s="330"/>
      <c r="B240" s="330" t="s">
        <v>262</v>
      </c>
      <c r="C240" s="330" t="s">
        <v>263</v>
      </c>
      <c r="D240" s="330" t="s">
        <v>110</v>
      </c>
      <c r="E240" s="330" t="s">
        <v>111</v>
      </c>
      <c r="F240" s="330" t="s">
        <v>112</v>
      </c>
      <c r="G240" s="330" t="s">
        <v>113</v>
      </c>
      <c r="H240" s="330" t="s">
        <v>114</v>
      </c>
      <c r="I240" s="330"/>
      <c r="J240" s="330" t="s">
        <v>272</v>
      </c>
      <c r="K240" s="330" t="s">
        <v>273</v>
      </c>
      <c r="L240" s="330"/>
      <c r="M240" s="330" t="s">
        <v>275</v>
      </c>
      <c r="N240" s="330"/>
    </row>
    <row r="241" spans="1:13" x14ac:dyDescent="0.2">
      <c r="A241" s="2" t="s">
        <v>115</v>
      </c>
      <c r="B241" s="2">
        <v>58.933199999999999</v>
      </c>
      <c r="C241" s="2" t="s">
        <v>116</v>
      </c>
      <c r="D241" s="2">
        <v>0.2</v>
      </c>
      <c r="E241" s="2">
        <v>0.1</v>
      </c>
      <c r="F241" s="2">
        <v>0.05</v>
      </c>
      <c r="G241" s="2">
        <v>0.02</v>
      </c>
      <c r="H241" s="60">
        <v>0.01</v>
      </c>
      <c r="J241" s="65">
        <f>AVERAGE(cobalt_Co!X3:X36)</f>
        <v>4.3430308883673279E-3</v>
      </c>
      <c r="K241" s="65">
        <f>AVERAGE(cobalt_Co!Y3:Y35)</f>
        <v>1.3160699661719177E-2</v>
      </c>
      <c r="M241" s="336">
        <v>1.8319854560976782E-2</v>
      </c>
    </row>
    <row r="242" spans="1:13" x14ac:dyDescent="0.2">
      <c r="A242" s="2" t="s">
        <v>117</v>
      </c>
      <c r="B242" s="2">
        <v>59.933199999999999</v>
      </c>
      <c r="C242" s="2" t="s">
        <v>116</v>
      </c>
      <c r="D242" s="2">
        <v>1</v>
      </c>
      <c r="E242" s="2">
        <v>0.5</v>
      </c>
      <c r="F242" s="2">
        <v>0.25</v>
      </c>
      <c r="G242" s="2">
        <v>0.1</v>
      </c>
      <c r="H242" s="2">
        <v>0.05</v>
      </c>
      <c r="J242" s="65">
        <f>AVERAGE(nickel_Ni!X3:X35)</f>
        <v>2.6120892044853076E-2</v>
      </c>
      <c r="K242" s="65">
        <f>AVERAGE(nickel_Ni!Y3:Y35)</f>
        <v>7.9154218317736613E-2</v>
      </c>
      <c r="M242" s="336">
        <v>9.7217897565699263E-2</v>
      </c>
    </row>
    <row r="243" spans="1:13" x14ac:dyDescent="0.2">
      <c r="A243" s="2" t="s">
        <v>118</v>
      </c>
      <c r="B243" s="2">
        <v>65.926000000000002</v>
      </c>
      <c r="C243" s="2" t="s">
        <v>116</v>
      </c>
      <c r="D243" s="2">
        <v>20</v>
      </c>
      <c r="E243" s="2">
        <v>10</v>
      </c>
      <c r="F243" s="2">
        <v>5</v>
      </c>
      <c r="G243" s="2">
        <v>2</v>
      </c>
      <c r="H243" s="2">
        <v>1</v>
      </c>
      <c r="J243" s="65">
        <f>AVERAGE(zinc_Zn!X3:X15,zinc_Zn!X27:X33)</f>
        <v>0.28965662324905883</v>
      </c>
      <c r="K243" s="65">
        <f>AVERAGE(zinc_Zn!Y3:Y15,zinc_Zn!Y27:Y33)</f>
        <v>0.87774734317896641</v>
      </c>
      <c r="M243" s="336">
        <v>4.3011669415317719</v>
      </c>
    </row>
    <row r="244" spans="1:13" x14ac:dyDescent="0.2">
      <c r="A244" s="2" t="s">
        <v>119</v>
      </c>
      <c r="B244" s="2">
        <v>64.927800000000005</v>
      </c>
      <c r="C244" s="2" t="s">
        <v>116</v>
      </c>
      <c r="D244" s="2">
        <v>5</v>
      </c>
      <c r="E244" s="2">
        <v>2.5</v>
      </c>
      <c r="F244" s="2">
        <v>1.25</v>
      </c>
      <c r="G244" s="2">
        <v>0.5</v>
      </c>
      <c r="H244" s="2">
        <v>0.25</v>
      </c>
      <c r="J244" s="65">
        <f>AVERAGE(copper_Cu!X3:X33)</f>
        <v>9.0838719363568798E-2</v>
      </c>
      <c r="K244" s="65">
        <f>AVERAGE(copper_Cu!Y3:Y33)</f>
        <v>0.2752688465562691</v>
      </c>
      <c r="M244" s="336">
        <v>0.3852928600676499</v>
      </c>
    </row>
    <row r="245" spans="1:13" x14ac:dyDescent="0.2">
      <c r="A245" s="2" t="s">
        <v>120</v>
      </c>
      <c r="B245" s="2">
        <v>87.905600000000007</v>
      </c>
      <c r="C245" s="2" t="s">
        <v>116</v>
      </c>
      <c r="D245" s="2">
        <v>5</v>
      </c>
      <c r="E245" s="2">
        <v>2.5</v>
      </c>
      <c r="F245" s="2">
        <v>1.25</v>
      </c>
      <c r="G245" s="2">
        <v>0.5</v>
      </c>
      <c r="H245" s="2">
        <v>0.25</v>
      </c>
      <c r="J245" s="65">
        <f>AVERAGE(strontium_Sr!X4:X34)</f>
        <v>8.0614007076682495E-2</v>
      </c>
      <c r="K245" s="65">
        <f>AVERAGE(strontium_Sr!Y4:Y34)</f>
        <v>0.24428486992934087</v>
      </c>
      <c r="M245" s="336">
        <v>0.17540847406320956</v>
      </c>
    </row>
    <row r="246" spans="1:13" x14ac:dyDescent="0.2">
      <c r="A246" s="2" t="s">
        <v>121</v>
      </c>
      <c r="B246" s="2">
        <v>97.905500000000004</v>
      </c>
      <c r="C246" s="2" t="s">
        <v>116</v>
      </c>
      <c r="D246" s="2">
        <v>10</v>
      </c>
      <c r="E246" s="2">
        <v>5</v>
      </c>
      <c r="F246" s="2">
        <v>2.5</v>
      </c>
      <c r="G246" s="2">
        <v>1</v>
      </c>
      <c r="H246" s="2">
        <v>0.5</v>
      </c>
      <c r="J246" s="65">
        <f>AVERAGE(molybdenum_Mo!X5:X35)</f>
        <v>0.19190899823333191</v>
      </c>
      <c r="K246" s="65">
        <f>AVERAGE(molybdenum_Mo!Y5:Y35)</f>
        <v>0.58154241888888458</v>
      </c>
      <c r="M246" s="336">
        <v>0.3114895661999782</v>
      </c>
    </row>
    <row r="247" spans="1:13" x14ac:dyDescent="0.2">
      <c r="A247" s="2" t="s">
        <v>122</v>
      </c>
      <c r="B247" s="2">
        <v>120.904</v>
      </c>
      <c r="C247" s="2" t="s">
        <v>116</v>
      </c>
      <c r="D247" s="2">
        <v>0.2</v>
      </c>
      <c r="E247" s="2">
        <v>0.1</v>
      </c>
      <c r="F247" s="2">
        <v>0.05</v>
      </c>
      <c r="G247" s="2">
        <v>0.02</v>
      </c>
      <c r="H247" s="2">
        <v>0.01</v>
      </c>
      <c r="J247" s="65">
        <f>AVERAGE(antimony_Sb!X6:X36)</f>
        <v>5.0961941153942229E-3</v>
      </c>
      <c r="K247" s="65">
        <f>AVERAGE(antimony_Sb!Y6:Y36)</f>
        <v>1.5443012470891585E-2</v>
      </c>
      <c r="M247" s="336">
        <v>3.0086595772839723E-2</v>
      </c>
    </row>
    <row r="248" spans="1:13" x14ac:dyDescent="0.2">
      <c r="A248" s="2" t="s">
        <v>123</v>
      </c>
      <c r="B248" s="2">
        <v>132.905</v>
      </c>
      <c r="C248" s="2" t="s">
        <v>116</v>
      </c>
      <c r="D248" s="2">
        <v>0.2</v>
      </c>
      <c r="E248" s="2">
        <v>0.1</v>
      </c>
      <c r="F248" s="2">
        <v>0.05</v>
      </c>
      <c r="G248" s="2">
        <v>0.02</v>
      </c>
      <c r="H248" s="60">
        <v>0.01</v>
      </c>
      <c r="J248" s="65">
        <f>AVERAGE(cesium_Cs!X7:X37)</f>
        <v>3.6973895088806752E-3</v>
      </c>
      <c r="K248" s="65">
        <f>AVERAGE(cesium_Cs!Y7:Y37)</f>
        <v>1.1204210632971745E-2</v>
      </c>
      <c r="M248" s="336">
        <v>1.0068032170717032E-2</v>
      </c>
    </row>
    <row r="249" spans="1:13" x14ac:dyDescent="0.2">
      <c r="A249" s="2" t="s">
        <v>124</v>
      </c>
      <c r="B249" s="2">
        <v>137.905</v>
      </c>
      <c r="C249" s="2" t="s">
        <v>116</v>
      </c>
      <c r="D249" s="2">
        <v>1</v>
      </c>
      <c r="E249" s="2">
        <v>0.5</v>
      </c>
      <c r="F249" s="2">
        <v>0.25</v>
      </c>
      <c r="G249" s="2">
        <v>0.1</v>
      </c>
      <c r="H249" s="2">
        <v>0.05</v>
      </c>
      <c r="J249" s="65">
        <f>AVERAGE(barium_Ba!X8:X38)</f>
        <v>1.0838303666516043E-2</v>
      </c>
      <c r="K249" s="65">
        <f>AVERAGE(barium_Ba!Y8:Y38)</f>
        <v>3.284334444398801E-2</v>
      </c>
      <c r="M249" s="336">
        <v>0.16255480000839606</v>
      </c>
    </row>
    <row r="250" spans="1:13" x14ac:dyDescent="0.2">
      <c r="A250" s="2" t="s">
        <v>125</v>
      </c>
      <c r="B250" s="2">
        <v>183.95099999999999</v>
      </c>
      <c r="C250" s="2" t="s">
        <v>116</v>
      </c>
      <c r="D250" s="2">
        <v>0.2</v>
      </c>
      <c r="E250" s="2">
        <v>0.1</v>
      </c>
      <c r="F250" s="2">
        <v>0.05</v>
      </c>
      <c r="G250" s="60">
        <v>0.02</v>
      </c>
      <c r="H250" s="60">
        <v>0.01</v>
      </c>
      <c r="J250" s="65">
        <f>AVERAGE(tungsten_W!X9:X39)</f>
        <v>6.2135376249040659E-3</v>
      </c>
      <c r="K250" s="65">
        <f>AVERAGE(tungsten_W!Y9:Y39)</f>
        <v>1.8828901893648685E-2</v>
      </c>
      <c r="M250" s="336">
        <v>1.4934908367852592E-2</v>
      </c>
    </row>
    <row r="251" spans="1:13" x14ac:dyDescent="0.2">
      <c r="A251" s="2" t="s">
        <v>126</v>
      </c>
      <c r="B251" s="2">
        <v>204.97499999999999</v>
      </c>
      <c r="C251" s="2" t="s">
        <v>116</v>
      </c>
      <c r="D251" s="2">
        <v>1</v>
      </c>
      <c r="E251" s="2">
        <v>0.5</v>
      </c>
      <c r="F251" s="2">
        <v>0.25</v>
      </c>
      <c r="G251" s="2">
        <v>0.1</v>
      </c>
      <c r="H251" s="2">
        <v>0.05</v>
      </c>
      <c r="J251" s="65">
        <f>AVERAGE(thallium_Tl!X3:X23,thallium_Tl!X33)</f>
        <v>1.547581182688262E-2</v>
      </c>
      <c r="K251" s="65">
        <f>AVERAGE(thallium_Tl!Y3:Y23,thallium_Tl!Y33)</f>
        <v>4.6896399475401876E-2</v>
      </c>
      <c r="M251" s="336">
        <v>3.0419285829604653E-2</v>
      </c>
    </row>
    <row r="252" spans="1:13" x14ac:dyDescent="0.2">
      <c r="A252" s="2" t="s">
        <v>127</v>
      </c>
      <c r="B252" s="2">
        <v>207.977</v>
      </c>
      <c r="C252" s="2" t="s">
        <v>116</v>
      </c>
      <c r="D252" s="2">
        <v>1</v>
      </c>
      <c r="E252" s="2">
        <v>0.5</v>
      </c>
      <c r="F252" s="2">
        <v>0.25</v>
      </c>
      <c r="G252" s="2">
        <v>0.1</v>
      </c>
      <c r="H252" s="60">
        <v>0.05</v>
      </c>
      <c r="J252" s="65">
        <f>AVERAGE(lead_Pb!X11:X41)</f>
        <v>1.9132070780451624E-2</v>
      </c>
      <c r="K252" s="65">
        <f>AVERAGE(lead_Pb!Y11:Y41)</f>
        <v>5.797597206197462E-2</v>
      </c>
      <c r="M252" s="336">
        <v>2.7975692335457953E-2</v>
      </c>
    </row>
    <row r="253" spans="1:13" x14ac:dyDescent="0.2">
      <c r="A253" s="2" t="s">
        <v>128</v>
      </c>
      <c r="B253" s="2">
        <v>238.05</v>
      </c>
      <c r="C253" s="2" t="s">
        <v>116</v>
      </c>
      <c r="D253" s="2">
        <v>0.2</v>
      </c>
      <c r="E253" s="2">
        <v>0.1</v>
      </c>
      <c r="F253" s="2">
        <v>0.05</v>
      </c>
      <c r="G253" s="2">
        <v>0.02</v>
      </c>
      <c r="H253" s="2">
        <v>0.01</v>
      </c>
      <c r="J253" s="65">
        <f>AVERAGE(uranium_U!X12:X42)</f>
        <v>3.7753307118068872E-3</v>
      </c>
      <c r="K253" s="65">
        <f>AVERAGE(uranium_U!Y12:Y42)</f>
        <v>1.1440396096384507E-2</v>
      </c>
      <c r="M253" s="336">
        <v>7.6633985471386374E-3</v>
      </c>
    </row>
    <row r="254" spans="1:13" x14ac:dyDescent="0.2">
      <c r="A254" s="2" t="s">
        <v>129</v>
      </c>
      <c r="B254" s="2">
        <v>54.938099999999999</v>
      </c>
      <c r="C254" s="2" t="s">
        <v>116</v>
      </c>
      <c r="D254" s="2">
        <v>0.2</v>
      </c>
      <c r="E254" s="2">
        <v>0.1</v>
      </c>
      <c r="F254" s="2">
        <v>0.05</v>
      </c>
      <c r="G254" s="2">
        <v>0.02</v>
      </c>
      <c r="H254" s="2">
        <v>0.01</v>
      </c>
      <c r="J254" s="65">
        <f>AVERAGE(manganese_Mn!X3:X35)</f>
        <v>9.0778717789168108E-3</v>
      </c>
      <c r="K254" s="65">
        <f>AVERAGE(manganese_Mn!Y3:Y34)</f>
        <v>2.7508702360353975E-2</v>
      </c>
      <c r="M254" s="336">
        <v>0.14608909457145713</v>
      </c>
    </row>
    <row r="255" spans="1:13" x14ac:dyDescent="0.2">
      <c r="A255" s="2" t="s">
        <v>130</v>
      </c>
      <c r="B255" s="2">
        <v>77.917299999999997</v>
      </c>
      <c r="C255" s="2" t="s">
        <v>116</v>
      </c>
      <c r="D255" s="2">
        <v>5</v>
      </c>
      <c r="E255" s="2">
        <v>2.5</v>
      </c>
      <c r="F255" s="2">
        <v>1.25</v>
      </c>
      <c r="G255" s="2">
        <v>0.5</v>
      </c>
      <c r="H255" s="2">
        <v>0.25</v>
      </c>
      <c r="J255" s="65">
        <f>AVERAGE(selenium_Se!X3:X33)</f>
        <v>0.12208406889450173</v>
      </c>
      <c r="K255" s="65">
        <f>AVERAGE(selenium_Se!Y3:Y33)</f>
        <v>0.36995172392273251</v>
      </c>
      <c r="M255" s="336">
        <v>0.51225977316722349</v>
      </c>
    </row>
    <row r="256" spans="1:13" x14ac:dyDescent="0.2">
      <c r="A256" s="2" t="s">
        <v>131</v>
      </c>
      <c r="B256" s="2">
        <v>90.916499999999999</v>
      </c>
      <c r="C256" s="2" t="s">
        <v>116</v>
      </c>
      <c r="D256" s="2">
        <v>5</v>
      </c>
      <c r="E256" s="2">
        <v>2.5</v>
      </c>
      <c r="F256" s="2">
        <v>1.25</v>
      </c>
      <c r="G256" s="2">
        <v>0.5</v>
      </c>
      <c r="H256" s="2">
        <v>0.25</v>
      </c>
      <c r="J256" s="65">
        <f>AVERAGE('arsenic_As '!X3:X33)</f>
        <v>0.12133554720990501</v>
      </c>
      <c r="K256" s="65">
        <f>AVERAGE('arsenic_As '!Y3:Y33)</f>
        <v>0.36768347639365162</v>
      </c>
      <c r="M256" s="336">
        <v>0.13537626484848048</v>
      </c>
    </row>
    <row r="257" spans="1:55" x14ac:dyDescent="0.2">
      <c r="A257" s="2" t="s">
        <v>132</v>
      </c>
      <c r="B257" s="2">
        <v>110.904</v>
      </c>
      <c r="C257" s="2" t="s">
        <v>116</v>
      </c>
      <c r="D257" s="2">
        <v>0.2</v>
      </c>
      <c r="E257" s="2">
        <v>0.1</v>
      </c>
      <c r="F257" s="2">
        <v>0.05</v>
      </c>
      <c r="G257" s="2">
        <v>0.02</v>
      </c>
      <c r="H257" s="60">
        <v>0.01</v>
      </c>
      <c r="J257" s="65">
        <f>AVERAGE(cadmium_Cd!X3:X21)</f>
        <v>5.3262343358599293E-3</v>
      </c>
      <c r="K257" s="65">
        <f>AVERAGE(cadmium_Cd!Y3:Y21)</f>
        <v>1.6140104048060391E-2</v>
      </c>
      <c r="M257" s="336">
        <v>2.6702094792740518E-2</v>
      </c>
    </row>
    <row r="259" spans="1:55" x14ac:dyDescent="0.2">
      <c r="H259" s="60"/>
    </row>
    <row r="260" spans="1:55" x14ac:dyDescent="0.2">
      <c r="H260" s="60"/>
    </row>
    <row r="262" spans="1:55" ht="38" customHeight="1" x14ac:dyDescent="0.2">
      <c r="A262" s="381" t="s">
        <v>264</v>
      </c>
      <c r="B262" s="381" t="s">
        <v>269</v>
      </c>
      <c r="C262" s="82" t="s">
        <v>294</v>
      </c>
      <c r="D262" s="382" t="s">
        <v>265</v>
      </c>
      <c r="E262" s="381" t="s">
        <v>269</v>
      </c>
      <c r="F262" s="82" t="s">
        <v>294</v>
      </c>
      <c r="G262" s="382" t="s">
        <v>266</v>
      </c>
      <c r="H262" s="381" t="s">
        <v>269</v>
      </c>
      <c r="I262" s="82" t="s">
        <v>294</v>
      </c>
      <c r="J262" s="382" t="s">
        <v>267</v>
      </c>
      <c r="K262" s="381" t="s">
        <v>269</v>
      </c>
      <c r="L262" s="82" t="s">
        <v>294</v>
      </c>
      <c r="M262" s="382" t="s">
        <v>216</v>
      </c>
      <c r="N262" s="381" t="s">
        <v>269</v>
      </c>
      <c r="O262" s="82" t="s">
        <v>294</v>
      </c>
      <c r="P262" s="382" t="s">
        <v>217</v>
      </c>
      <c r="Q262" s="381" t="s">
        <v>269</v>
      </c>
      <c r="R262" s="82" t="s">
        <v>295</v>
      </c>
      <c r="S262" s="382" t="s">
        <v>218</v>
      </c>
      <c r="T262" s="381" t="s">
        <v>269</v>
      </c>
      <c r="U262" s="82" t="s">
        <v>295</v>
      </c>
      <c r="V262" s="382" t="s">
        <v>219</v>
      </c>
      <c r="W262" s="381" t="s">
        <v>269</v>
      </c>
      <c r="X262" s="82" t="s">
        <v>295</v>
      </c>
      <c r="Y262" s="382" t="s">
        <v>220</v>
      </c>
      <c r="Z262" s="381" t="s">
        <v>269</v>
      </c>
      <c r="AA262" s="82" t="s">
        <v>295</v>
      </c>
      <c r="AB262" s="382" t="s">
        <v>221</v>
      </c>
      <c r="AC262" s="381" t="s">
        <v>269</v>
      </c>
      <c r="AD262" s="82" t="s">
        <v>295</v>
      </c>
      <c r="AE262" s="382" t="s">
        <v>222</v>
      </c>
      <c r="AF262" s="381" t="s">
        <v>269</v>
      </c>
      <c r="AG262" s="82" t="s">
        <v>295</v>
      </c>
      <c r="AH262" s="382" t="s">
        <v>223</v>
      </c>
      <c r="AI262" s="381" t="s">
        <v>269</v>
      </c>
      <c r="AJ262" s="82" t="s">
        <v>295</v>
      </c>
      <c r="AK262" s="382" t="s">
        <v>224</v>
      </c>
      <c r="AL262" s="381" t="s">
        <v>269</v>
      </c>
      <c r="AM262" s="82" t="s">
        <v>295</v>
      </c>
      <c r="AN262" s="382" t="s">
        <v>225</v>
      </c>
      <c r="AO262" s="381" t="s">
        <v>269</v>
      </c>
      <c r="AP262" s="82" t="s">
        <v>261</v>
      </c>
      <c r="AQ262" s="382" t="s">
        <v>226</v>
      </c>
      <c r="AR262" s="381" t="s">
        <v>269</v>
      </c>
      <c r="AS262" s="82" t="s">
        <v>295</v>
      </c>
      <c r="AT262" s="382" t="s">
        <v>227</v>
      </c>
      <c r="AU262" s="381" t="s">
        <v>269</v>
      </c>
      <c r="AV262" s="82" t="s">
        <v>295</v>
      </c>
      <c r="AW262" s="382" t="s">
        <v>228</v>
      </c>
      <c r="AX262" s="381" t="s">
        <v>269</v>
      </c>
      <c r="AY262" s="82" t="s">
        <v>295</v>
      </c>
      <c r="AZ262" s="381" t="s">
        <v>229</v>
      </c>
      <c r="BA262" s="381" t="s">
        <v>269</v>
      </c>
      <c r="BB262" s="381" t="s">
        <v>230</v>
      </c>
      <c r="BC262" s="381" t="s">
        <v>269</v>
      </c>
    </row>
    <row r="263" spans="1:55" x14ac:dyDescent="0.2">
      <c r="A263" s="77">
        <v>0.01</v>
      </c>
      <c r="B263" s="75">
        <v>144</v>
      </c>
      <c r="C263" s="76">
        <f>B263/$B$237*100</f>
        <v>61.802575107296143</v>
      </c>
      <c r="D263" s="83">
        <v>0.05</v>
      </c>
      <c r="E263" s="75">
        <v>160</v>
      </c>
      <c r="F263" s="84">
        <f>E263/$C$237*100</f>
        <v>68.669527896995703</v>
      </c>
      <c r="G263" s="83">
        <v>1</v>
      </c>
      <c r="H263" s="75">
        <v>16</v>
      </c>
      <c r="I263" s="88">
        <f>H263/$D$237*100</f>
        <v>6.866952789699571</v>
      </c>
      <c r="J263" s="83">
        <v>0.25</v>
      </c>
      <c r="K263" s="75">
        <v>87</v>
      </c>
      <c r="L263" s="88">
        <f>K263/$D$237*100</f>
        <v>37.339055793991413</v>
      </c>
      <c r="M263" s="72">
        <v>0.25</v>
      </c>
      <c r="N263" s="31">
        <v>11</v>
      </c>
      <c r="O263" s="74">
        <f>N263/233*100</f>
        <v>4.7210300429184553</v>
      </c>
      <c r="P263" s="83">
        <v>0.5</v>
      </c>
      <c r="Q263" s="75">
        <v>70</v>
      </c>
      <c r="R263" s="88">
        <f>Q263/233*100</f>
        <v>30.042918454935624</v>
      </c>
      <c r="S263" s="83">
        <v>0.01</v>
      </c>
      <c r="T263" s="75">
        <v>232</v>
      </c>
      <c r="U263" s="92">
        <f>T263/233*100</f>
        <v>99.570815450643778</v>
      </c>
      <c r="V263" s="72">
        <v>0.01</v>
      </c>
      <c r="W263" s="31">
        <v>0</v>
      </c>
      <c r="X263" s="69">
        <f>W263/233*100</f>
        <v>0</v>
      </c>
      <c r="Y263" s="83">
        <v>0.05</v>
      </c>
      <c r="Z263" s="75">
        <v>184</v>
      </c>
      <c r="AA263" s="88">
        <f>Z263/233*100</f>
        <v>78.969957081545061</v>
      </c>
      <c r="AB263" s="83">
        <v>0.01</v>
      </c>
      <c r="AC263" s="75">
        <v>227</v>
      </c>
      <c r="AD263" s="84">
        <f>AC263/233*100</f>
        <v>97.424892703862668</v>
      </c>
      <c r="AE263" s="83">
        <v>0.05</v>
      </c>
      <c r="AF263" s="75">
        <v>232</v>
      </c>
      <c r="AG263" s="84">
        <f>AF263/233*100</f>
        <v>99.570815450643778</v>
      </c>
      <c r="AH263" s="83">
        <v>0.05</v>
      </c>
      <c r="AI263" s="75">
        <v>209</v>
      </c>
      <c r="AJ263" s="84">
        <f>AI263/233*100</f>
        <v>89.699570815450642</v>
      </c>
      <c r="AK263" s="83">
        <v>0.01</v>
      </c>
      <c r="AL263" s="75">
        <v>233</v>
      </c>
      <c r="AM263" s="92">
        <v>100</v>
      </c>
      <c r="AN263" s="83">
        <v>0.01</v>
      </c>
      <c r="AO263" s="75">
        <v>184</v>
      </c>
      <c r="AP263" s="88">
        <f>AO263/233*100</f>
        <v>78.969957081545061</v>
      </c>
      <c r="AQ263" s="72">
        <v>0.25</v>
      </c>
      <c r="AR263" s="31">
        <v>12</v>
      </c>
      <c r="AS263" s="74">
        <f>AR263/233*100</f>
        <v>5.1502145922746783</v>
      </c>
      <c r="AT263" s="83">
        <v>0.25</v>
      </c>
      <c r="AU263" s="75">
        <v>125</v>
      </c>
      <c r="AV263" s="88">
        <f>AU263/233*100</f>
        <v>53.648068669527895</v>
      </c>
      <c r="AW263" s="83">
        <v>0.01</v>
      </c>
      <c r="AX263" s="75">
        <v>100</v>
      </c>
      <c r="AY263" s="88">
        <f>AX263/233*100</f>
        <v>42.918454935622321</v>
      </c>
      <c r="AZ263" s="45">
        <v>0.01</v>
      </c>
      <c r="BA263" s="31">
        <v>148</v>
      </c>
      <c r="BB263" s="45">
        <v>0.01</v>
      </c>
      <c r="BC263" s="31">
        <v>105</v>
      </c>
    </row>
    <row r="264" spans="1:55" x14ac:dyDescent="0.2">
      <c r="A264" s="78">
        <v>0.02</v>
      </c>
      <c r="B264" s="75">
        <v>68</v>
      </c>
      <c r="C264" s="76">
        <f t="shared" ref="C264:C268" si="1">B264/$B$237*100</f>
        <v>29.184549356223176</v>
      </c>
      <c r="D264" s="85">
        <v>0.1</v>
      </c>
      <c r="E264" s="81">
        <v>37</v>
      </c>
      <c r="F264" s="86">
        <f t="shared" ref="F264:F268" si="2">E264/$C$237*100</f>
        <v>15.879828326180256</v>
      </c>
      <c r="G264" s="72">
        <v>2</v>
      </c>
      <c r="H264" s="31">
        <v>11</v>
      </c>
      <c r="I264" s="74">
        <f t="shared" ref="I264:I268" si="3">H264/$D$237*100</f>
        <v>4.7210300429184553</v>
      </c>
      <c r="J264" s="72">
        <v>0.5</v>
      </c>
      <c r="K264" s="31">
        <v>104</v>
      </c>
      <c r="L264" s="74">
        <f t="shared" ref="L264:L268" si="4">K264/$D$237*100</f>
        <v>44.63519313304721</v>
      </c>
      <c r="M264" s="72">
        <v>0.5</v>
      </c>
      <c r="N264" s="31">
        <v>8</v>
      </c>
      <c r="O264" s="74">
        <f t="shared" ref="O264:O267" si="5">N264/233*100</f>
        <v>3.4334763948497855</v>
      </c>
      <c r="P264" s="72">
        <v>1</v>
      </c>
      <c r="Q264" s="31">
        <v>72</v>
      </c>
      <c r="R264" s="74">
        <f t="shared" ref="R264:R267" si="6">Q264/233*100</f>
        <v>30.901287553648071</v>
      </c>
      <c r="S264" s="72">
        <v>0.02</v>
      </c>
      <c r="T264" s="31">
        <v>0</v>
      </c>
      <c r="U264" s="68"/>
      <c r="V264" s="72">
        <v>0.02</v>
      </c>
      <c r="W264" s="31">
        <v>4</v>
      </c>
      <c r="X264" s="69">
        <f t="shared" ref="X264:X268" si="7">W264/233*100</f>
        <v>1.7167381974248928</v>
      </c>
      <c r="Y264" s="72">
        <v>0.1</v>
      </c>
      <c r="Z264" s="31">
        <v>27</v>
      </c>
      <c r="AA264" s="74">
        <f t="shared" ref="AA264:AA268" si="8">Z264/233*100</f>
        <v>11.587982832618025</v>
      </c>
      <c r="AB264" s="72">
        <v>0.02</v>
      </c>
      <c r="AC264" s="31">
        <v>2</v>
      </c>
      <c r="AD264" s="68"/>
      <c r="AE264" s="72">
        <v>0.1</v>
      </c>
      <c r="AF264" s="31">
        <v>0</v>
      </c>
      <c r="AG264" s="68"/>
      <c r="AH264" s="72">
        <v>0.1</v>
      </c>
      <c r="AI264" s="31">
        <v>21</v>
      </c>
      <c r="AJ264" s="68"/>
      <c r="AK264" s="72">
        <v>0.02</v>
      </c>
      <c r="AL264" s="31">
        <v>0</v>
      </c>
      <c r="AM264" s="68"/>
      <c r="AN264" s="72">
        <v>0.02</v>
      </c>
      <c r="AO264" s="31">
        <v>30</v>
      </c>
      <c r="AP264" s="68"/>
      <c r="AQ264" s="72">
        <v>0.5</v>
      </c>
      <c r="AR264" s="31">
        <v>42</v>
      </c>
      <c r="AS264" s="74"/>
      <c r="AT264" s="72">
        <v>0.5</v>
      </c>
      <c r="AU264" s="31">
        <v>39</v>
      </c>
      <c r="AV264" s="68"/>
      <c r="AW264" s="72">
        <v>0.02</v>
      </c>
      <c r="AX264" s="31">
        <v>87</v>
      </c>
      <c r="AY264" s="68"/>
      <c r="AZ264" s="45">
        <v>0.02</v>
      </c>
      <c r="BA264" s="31">
        <v>42</v>
      </c>
      <c r="BB264" s="45">
        <v>0.02</v>
      </c>
      <c r="BC264" s="31">
        <v>82</v>
      </c>
    </row>
    <row r="265" spans="1:55" x14ac:dyDescent="0.2">
      <c r="A265" s="45">
        <v>0.05</v>
      </c>
      <c r="B265" s="31">
        <v>18</v>
      </c>
      <c r="C265" s="69">
        <f t="shared" si="1"/>
        <v>7.7253218884120178</v>
      </c>
      <c r="D265" s="72">
        <v>0.25</v>
      </c>
      <c r="E265" s="31">
        <v>23</v>
      </c>
      <c r="F265" s="87">
        <f t="shared" si="2"/>
        <v>9.8712446351931327</v>
      </c>
      <c r="G265" s="72">
        <v>5</v>
      </c>
      <c r="H265" s="31">
        <v>20</v>
      </c>
      <c r="I265" s="74">
        <f t="shared" si="3"/>
        <v>8.5836909871244629</v>
      </c>
      <c r="J265" s="72">
        <v>1.25</v>
      </c>
      <c r="K265" s="31">
        <v>27</v>
      </c>
      <c r="L265" s="74">
        <f t="shared" si="4"/>
        <v>11.587982832618025</v>
      </c>
      <c r="M265" s="72">
        <v>1.25</v>
      </c>
      <c r="N265" s="31">
        <v>69</v>
      </c>
      <c r="O265" s="74">
        <f t="shared" si="5"/>
        <v>29.613733905579398</v>
      </c>
      <c r="P265" s="72">
        <v>2.5</v>
      </c>
      <c r="Q265" s="31">
        <v>81</v>
      </c>
      <c r="R265" s="74">
        <f t="shared" si="6"/>
        <v>34.763948497854074</v>
      </c>
      <c r="S265" s="72">
        <v>0.05</v>
      </c>
      <c r="T265" s="31">
        <v>0</v>
      </c>
      <c r="U265" s="68"/>
      <c r="V265" s="72">
        <v>0.05</v>
      </c>
      <c r="W265" s="31">
        <v>42</v>
      </c>
      <c r="X265" s="69">
        <f t="shared" si="7"/>
        <v>18.025751072961373</v>
      </c>
      <c r="Y265" s="72">
        <v>0.25</v>
      </c>
      <c r="Z265" s="31">
        <v>15</v>
      </c>
      <c r="AA265" s="74">
        <f t="shared" si="8"/>
        <v>6.4377682403433472</v>
      </c>
      <c r="AB265" s="72">
        <v>0.05</v>
      </c>
      <c r="AC265" s="31">
        <v>3</v>
      </c>
      <c r="AD265" s="68"/>
      <c r="AE265" s="72">
        <v>0.25</v>
      </c>
      <c r="AF265" s="31">
        <v>0</v>
      </c>
      <c r="AG265" s="68"/>
      <c r="AH265" s="72">
        <v>0.25</v>
      </c>
      <c r="AI265" s="31">
        <v>2</v>
      </c>
      <c r="AJ265" s="68"/>
      <c r="AK265" s="342">
        <v>0.05</v>
      </c>
      <c r="AL265" s="343">
        <v>0</v>
      </c>
      <c r="AM265" s="348"/>
      <c r="AN265" s="72">
        <v>0.05</v>
      </c>
      <c r="AO265" s="31">
        <v>9</v>
      </c>
      <c r="AP265" s="68"/>
      <c r="AQ265" s="72">
        <v>1.25</v>
      </c>
      <c r="AR265" s="31">
        <v>107</v>
      </c>
      <c r="AS265" s="74"/>
      <c r="AT265" s="72">
        <v>1.25</v>
      </c>
      <c r="AU265" s="31">
        <v>51</v>
      </c>
      <c r="AV265" s="68"/>
      <c r="AW265" s="72">
        <v>0.05</v>
      </c>
      <c r="AX265" s="31">
        <v>40</v>
      </c>
      <c r="AY265" s="68"/>
      <c r="AZ265" s="45">
        <v>0.05</v>
      </c>
      <c r="BA265" s="31">
        <v>38</v>
      </c>
      <c r="BB265" s="45">
        <v>0.05</v>
      </c>
      <c r="BC265" s="31">
        <v>41</v>
      </c>
    </row>
    <row r="266" spans="1:55" x14ac:dyDescent="0.2">
      <c r="A266" s="45">
        <v>0.1</v>
      </c>
      <c r="B266" s="31">
        <v>2</v>
      </c>
      <c r="C266" s="69">
        <f t="shared" si="1"/>
        <v>0.85836909871244638</v>
      </c>
      <c r="D266" s="342">
        <v>0.5</v>
      </c>
      <c r="E266" s="343">
        <v>0</v>
      </c>
      <c r="F266" s="344">
        <f t="shared" si="2"/>
        <v>0</v>
      </c>
      <c r="G266" s="72">
        <v>10</v>
      </c>
      <c r="H266" s="31">
        <v>55</v>
      </c>
      <c r="I266" s="74">
        <f t="shared" si="3"/>
        <v>23.605150214592275</v>
      </c>
      <c r="J266" s="72">
        <v>2.5</v>
      </c>
      <c r="K266" s="31">
        <v>14</v>
      </c>
      <c r="L266" s="74">
        <f t="shared" si="4"/>
        <v>6.0085836909871242</v>
      </c>
      <c r="M266" s="72">
        <v>2.5</v>
      </c>
      <c r="N266" s="31">
        <v>70</v>
      </c>
      <c r="O266" s="74">
        <f t="shared" si="5"/>
        <v>30.042918454935624</v>
      </c>
      <c r="P266" s="72">
        <v>5</v>
      </c>
      <c r="Q266" s="31">
        <v>7</v>
      </c>
      <c r="R266" s="74">
        <f t="shared" si="6"/>
        <v>3.0042918454935621</v>
      </c>
      <c r="S266" s="72">
        <v>0.1</v>
      </c>
      <c r="T266" s="31">
        <v>0</v>
      </c>
      <c r="U266" s="68"/>
      <c r="V266" s="72">
        <v>0.1</v>
      </c>
      <c r="W266" s="31">
        <v>65</v>
      </c>
      <c r="X266" s="69">
        <f t="shared" si="7"/>
        <v>27.896995708154503</v>
      </c>
      <c r="Y266" s="72">
        <v>0.5</v>
      </c>
      <c r="Z266" s="31">
        <v>3</v>
      </c>
      <c r="AA266" s="74">
        <f t="shared" si="8"/>
        <v>1.2875536480686696</v>
      </c>
      <c r="AB266" s="72">
        <v>0.1</v>
      </c>
      <c r="AC266" s="31">
        <v>0</v>
      </c>
      <c r="AD266" s="68"/>
      <c r="AE266" s="72">
        <v>0.5</v>
      </c>
      <c r="AF266" s="31">
        <v>0</v>
      </c>
      <c r="AG266" s="68"/>
      <c r="AH266" s="342">
        <v>0.5</v>
      </c>
      <c r="AI266" s="343">
        <v>0</v>
      </c>
      <c r="AJ266" s="348"/>
      <c r="AK266" s="342">
        <v>0.1</v>
      </c>
      <c r="AL266" s="343">
        <v>0</v>
      </c>
      <c r="AM266" s="348"/>
      <c r="AN266" s="72">
        <v>0.1</v>
      </c>
      <c r="AO266" s="31">
        <v>5</v>
      </c>
      <c r="AP266" s="68"/>
      <c r="AQ266" s="72">
        <v>2.5</v>
      </c>
      <c r="AR266" s="31">
        <v>60</v>
      </c>
      <c r="AS266" s="74"/>
      <c r="AT266" s="72">
        <v>2.5</v>
      </c>
      <c r="AU266" s="31">
        <v>9</v>
      </c>
      <c r="AV266" s="68"/>
      <c r="AW266" s="72">
        <v>0.1</v>
      </c>
      <c r="AX266" s="31">
        <v>5</v>
      </c>
      <c r="AY266" s="68"/>
      <c r="AZ266" s="45">
        <v>0.1</v>
      </c>
      <c r="BA266" s="31">
        <v>4</v>
      </c>
      <c r="BB266" s="45">
        <v>0.1</v>
      </c>
      <c r="BC266" s="31">
        <v>4</v>
      </c>
    </row>
    <row r="267" spans="1:55" x14ac:dyDescent="0.2">
      <c r="A267" s="345">
        <v>0.2</v>
      </c>
      <c r="B267" s="343">
        <v>0</v>
      </c>
      <c r="C267" s="346">
        <f t="shared" si="1"/>
        <v>0</v>
      </c>
      <c r="D267" s="342">
        <v>1</v>
      </c>
      <c r="E267" s="343">
        <v>0</v>
      </c>
      <c r="F267" s="344">
        <f t="shared" si="2"/>
        <v>0</v>
      </c>
      <c r="G267" s="72">
        <v>20</v>
      </c>
      <c r="H267" s="31">
        <v>84</v>
      </c>
      <c r="I267" s="74">
        <f t="shared" si="3"/>
        <v>36.051502145922747</v>
      </c>
      <c r="J267" s="342">
        <v>5</v>
      </c>
      <c r="K267" s="343">
        <v>0</v>
      </c>
      <c r="L267" s="347">
        <f t="shared" si="4"/>
        <v>0</v>
      </c>
      <c r="M267" s="72">
        <v>5</v>
      </c>
      <c r="N267" s="31">
        <v>60</v>
      </c>
      <c r="O267" s="74">
        <f t="shared" si="5"/>
        <v>25.751072961373389</v>
      </c>
      <c r="P267" s="72">
        <v>10</v>
      </c>
      <c r="Q267" s="31">
        <v>3</v>
      </c>
      <c r="R267" s="74">
        <f t="shared" si="6"/>
        <v>1.2875536480686696</v>
      </c>
      <c r="S267" s="342">
        <v>0.2</v>
      </c>
      <c r="T267" s="343">
        <v>0</v>
      </c>
      <c r="U267" s="348"/>
      <c r="V267" s="72">
        <v>0.2</v>
      </c>
      <c r="W267" s="31">
        <v>87</v>
      </c>
      <c r="X267" s="69">
        <f t="shared" si="7"/>
        <v>37.339055793991413</v>
      </c>
      <c r="Y267" s="72">
        <v>1</v>
      </c>
      <c r="Z267" s="31">
        <v>2</v>
      </c>
      <c r="AA267" s="74">
        <f t="shared" si="8"/>
        <v>0.85836909871244638</v>
      </c>
      <c r="AB267" s="342">
        <v>0.2</v>
      </c>
      <c r="AC267" s="343">
        <v>0</v>
      </c>
      <c r="AD267" s="348"/>
      <c r="AE267" s="72">
        <v>1</v>
      </c>
      <c r="AF267" s="31">
        <v>1</v>
      </c>
      <c r="AG267" s="68"/>
      <c r="AH267" s="342">
        <v>1</v>
      </c>
      <c r="AI267" s="343">
        <v>0</v>
      </c>
      <c r="AJ267" s="348"/>
      <c r="AK267" s="342">
        <v>0.2</v>
      </c>
      <c r="AL267" s="343">
        <v>0</v>
      </c>
      <c r="AM267" s="348"/>
      <c r="AN267" s="72">
        <v>0.2</v>
      </c>
      <c r="AO267" s="31">
        <v>2</v>
      </c>
      <c r="AP267" s="68"/>
      <c r="AQ267" s="72">
        <v>5</v>
      </c>
      <c r="AR267" s="31">
        <v>9</v>
      </c>
      <c r="AS267" s="74"/>
      <c r="AT267" s="72">
        <v>5</v>
      </c>
      <c r="AU267" s="31">
        <v>4</v>
      </c>
      <c r="AV267" s="68"/>
      <c r="AW267" s="342">
        <v>0.2</v>
      </c>
      <c r="AX267" s="343">
        <v>0</v>
      </c>
      <c r="AY267" s="348"/>
      <c r="AZ267" s="45">
        <v>0.2</v>
      </c>
      <c r="BA267" s="31">
        <v>0</v>
      </c>
      <c r="BB267" s="45">
        <v>0.2</v>
      </c>
      <c r="BC267" s="31">
        <v>0</v>
      </c>
    </row>
    <row r="268" spans="1:55" x14ac:dyDescent="0.2">
      <c r="A268" s="67" t="s">
        <v>87</v>
      </c>
      <c r="B268" s="67">
        <v>1</v>
      </c>
      <c r="C268" s="70">
        <f t="shared" si="1"/>
        <v>0.42918454935622319</v>
      </c>
      <c r="D268" s="73" t="s">
        <v>87</v>
      </c>
      <c r="E268" s="67">
        <v>13</v>
      </c>
      <c r="F268" s="79">
        <f t="shared" si="2"/>
        <v>5.5793991416309012</v>
      </c>
      <c r="G268" s="89" t="s">
        <v>87</v>
      </c>
      <c r="H268" s="90">
        <v>47</v>
      </c>
      <c r="I268" s="91">
        <f t="shared" si="3"/>
        <v>20.171673819742487</v>
      </c>
      <c r="J268" s="73" t="s">
        <v>87</v>
      </c>
      <c r="K268" s="67">
        <v>1</v>
      </c>
      <c r="L268" s="80">
        <f t="shared" si="4"/>
        <v>0.42918454935622319</v>
      </c>
      <c r="M268" s="73" t="s">
        <v>87</v>
      </c>
      <c r="N268" s="67">
        <v>15</v>
      </c>
      <c r="O268" s="80">
        <f>N268/233*100</f>
        <v>6.4377682403433472</v>
      </c>
      <c r="P268" s="73" t="s">
        <v>87</v>
      </c>
      <c r="Q268" s="67">
        <v>0</v>
      </c>
      <c r="R268" s="71"/>
      <c r="S268" s="73" t="s">
        <v>87</v>
      </c>
      <c r="T268" s="67">
        <v>1</v>
      </c>
      <c r="U268" s="71"/>
      <c r="V268" s="89" t="s">
        <v>87</v>
      </c>
      <c r="W268" s="90">
        <v>35</v>
      </c>
      <c r="X268" s="93">
        <f t="shared" si="7"/>
        <v>15.021459227467812</v>
      </c>
      <c r="Y268" s="73" t="s">
        <v>87</v>
      </c>
      <c r="Z268" s="67">
        <v>2</v>
      </c>
      <c r="AA268" s="80">
        <f t="shared" si="8"/>
        <v>0.85836909871244638</v>
      </c>
      <c r="AB268" s="73" t="s">
        <v>87</v>
      </c>
      <c r="AC268" s="67">
        <v>1</v>
      </c>
      <c r="AD268" s="71"/>
      <c r="AE268" s="73" t="s">
        <v>87</v>
      </c>
      <c r="AF268" s="67">
        <v>0</v>
      </c>
      <c r="AG268" s="71"/>
      <c r="AH268" s="73" t="s">
        <v>87</v>
      </c>
      <c r="AI268" s="67">
        <v>1</v>
      </c>
      <c r="AJ268" s="71"/>
      <c r="AK268" s="73" t="s">
        <v>87</v>
      </c>
      <c r="AL268" s="67">
        <v>0</v>
      </c>
      <c r="AM268" s="71"/>
      <c r="AN268" s="73" t="s">
        <v>87</v>
      </c>
      <c r="AO268" s="67">
        <v>3</v>
      </c>
      <c r="AP268" s="71"/>
      <c r="AQ268" s="73" t="s">
        <v>87</v>
      </c>
      <c r="AR268" s="67">
        <v>3</v>
      </c>
      <c r="AS268" s="80">
        <f>AR268/233*100</f>
        <v>1.2875536480686696</v>
      </c>
      <c r="AT268" s="73" t="s">
        <v>87</v>
      </c>
      <c r="AU268" s="67">
        <v>5</v>
      </c>
      <c r="AV268" s="71"/>
      <c r="AW268" s="73" t="s">
        <v>87</v>
      </c>
      <c r="AX268" s="67">
        <v>1</v>
      </c>
      <c r="AY268" s="71"/>
      <c r="AZ268" s="67" t="s">
        <v>87</v>
      </c>
      <c r="BA268" s="67">
        <v>1</v>
      </c>
      <c r="BB268" s="67" t="s">
        <v>87</v>
      </c>
      <c r="BC268" s="67">
        <v>1</v>
      </c>
    </row>
    <row r="269" spans="1:55" x14ac:dyDescent="0.2">
      <c r="C269" s="65"/>
    </row>
    <row r="270" spans="1:55" x14ac:dyDescent="0.2">
      <c r="A270" s="380" t="s">
        <v>293</v>
      </c>
      <c r="F270" s="57"/>
    </row>
    <row r="292" spans="1:18" ht="96" x14ac:dyDescent="0.2">
      <c r="A292" s="2" t="s">
        <v>259</v>
      </c>
      <c r="B292" s="2" t="s">
        <v>2</v>
      </c>
      <c r="C292" s="46" t="s">
        <v>90</v>
      </c>
      <c r="D292" s="46" t="s">
        <v>91</v>
      </c>
      <c r="E292" s="46" t="s">
        <v>92</v>
      </c>
      <c r="F292" s="46" t="s">
        <v>93</v>
      </c>
      <c r="G292" s="46" t="s">
        <v>94</v>
      </c>
      <c r="H292" s="46" t="s">
        <v>95</v>
      </c>
      <c r="I292" s="46" t="s">
        <v>96</v>
      </c>
      <c r="J292" s="46" t="s">
        <v>97</v>
      </c>
      <c r="K292" s="46" t="s">
        <v>98</v>
      </c>
      <c r="L292" s="46" t="s">
        <v>99</v>
      </c>
      <c r="M292" s="46" t="s">
        <v>100</v>
      </c>
      <c r="N292" s="46" t="s">
        <v>101</v>
      </c>
      <c r="O292" s="46" t="s">
        <v>102</v>
      </c>
      <c r="P292" s="46" t="s">
        <v>103</v>
      </c>
      <c r="Q292" s="46" t="s">
        <v>104</v>
      </c>
      <c r="R292" s="46" t="s">
        <v>105</v>
      </c>
    </row>
    <row r="293" spans="1:18" x14ac:dyDescent="0.2">
      <c r="A293" s="2" t="s">
        <v>232</v>
      </c>
      <c r="B293" s="8">
        <v>43838</v>
      </c>
      <c r="C293" s="16"/>
      <c r="N293" s="66">
        <v>2.3702534787791454E-2</v>
      </c>
      <c r="O293" s="16">
        <v>2.5012879483384655E-3</v>
      </c>
      <c r="P293" s="16">
        <v>9.723196942112251E-3</v>
      </c>
      <c r="Q293" s="12">
        <v>7.1670216110013812E-2</v>
      </c>
    </row>
    <row r="294" spans="1:18" x14ac:dyDescent="0.2">
      <c r="A294" s="2" t="s">
        <v>232</v>
      </c>
      <c r="B294" s="8">
        <v>43838</v>
      </c>
      <c r="C294" s="16"/>
      <c r="N294" s="66">
        <v>9.3437136345669494E-3</v>
      </c>
      <c r="O294" s="16">
        <v>3.2662379614968903E-3</v>
      </c>
      <c r="P294" s="16">
        <v>6.0101845668108951E-3</v>
      </c>
      <c r="Q294" s="12">
        <v>0.1652946355538106</v>
      </c>
    </row>
    <row r="295" spans="1:18" x14ac:dyDescent="0.2">
      <c r="A295" s="2" t="s">
        <v>232</v>
      </c>
      <c r="B295" s="8">
        <v>43838</v>
      </c>
      <c r="C295" s="16"/>
      <c r="N295" s="66">
        <v>2.209118653533974E-2</v>
      </c>
      <c r="O295" s="16">
        <v>2.4750964528936054E-3</v>
      </c>
      <c r="P295" s="16">
        <v>5.5622661546873746E-3</v>
      </c>
      <c r="Q295" s="12">
        <v>8.1088161691523636E-2</v>
      </c>
    </row>
    <row r="296" spans="1:18" x14ac:dyDescent="0.2">
      <c r="A296" s="2" t="s">
        <v>232</v>
      </c>
      <c r="B296" s="8">
        <v>43789</v>
      </c>
      <c r="C296" s="16"/>
      <c r="N296" s="66">
        <v>2.4447237356738961E-2</v>
      </c>
      <c r="O296" s="16">
        <v>5.0322516122530431E-3</v>
      </c>
      <c r="P296" s="16">
        <v>1.7737978392154765E-2</v>
      </c>
      <c r="Q296" s="12">
        <v>8.9943237772371273E-2</v>
      </c>
    </row>
    <row r="297" spans="1:18" x14ac:dyDescent="0.2">
      <c r="A297" s="2" t="s">
        <v>232</v>
      </c>
      <c r="B297" s="8">
        <v>43888</v>
      </c>
      <c r="C297" s="16"/>
      <c r="N297" s="66">
        <v>1.5765259878044703E-2</v>
      </c>
      <c r="O297" s="16">
        <v>4.1286825414397514E-3</v>
      </c>
      <c r="P297" s="16">
        <v>7.8179669016939825E-3</v>
      </c>
      <c r="Q297" s="12">
        <v>0.21401581514375875</v>
      </c>
    </row>
    <row r="298" spans="1:18" x14ac:dyDescent="0.2">
      <c r="A298" s="2" t="s">
        <v>232</v>
      </c>
      <c r="B298" s="8">
        <v>43888</v>
      </c>
      <c r="C298" s="16"/>
      <c r="D298" s="16"/>
      <c r="N298" s="66">
        <v>1.3407082261881606E-2</v>
      </c>
      <c r="O298" s="16">
        <v>3.3111677119791114E-3</v>
      </c>
      <c r="P298" s="16">
        <v>3.9523526537019633E-3</v>
      </c>
      <c r="Q298" s="12">
        <v>0.11049234709553227</v>
      </c>
    </row>
    <row r="300" spans="1:18" x14ac:dyDescent="0.2">
      <c r="A300" s="60" t="s">
        <v>260</v>
      </c>
      <c r="B300" s="60"/>
      <c r="C300" s="61" t="e">
        <f>AVERAGE(C293:C298)</f>
        <v>#DIV/0!</v>
      </c>
      <c r="D300" s="61" t="e">
        <f t="shared" ref="D300:R300" si="9">AVERAGE(D293:D298)</f>
        <v>#DIV/0!</v>
      </c>
      <c r="E300" s="61" t="e">
        <f t="shared" si="9"/>
        <v>#DIV/0!</v>
      </c>
      <c r="F300" s="61" t="e">
        <f t="shared" si="9"/>
        <v>#DIV/0!</v>
      </c>
      <c r="G300" s="61" t="e">
        <f t="shared" si="9"/>
        <v>#DIV/0!</v>
      </c>
      <c r="H300" s="61" t="e">
        <f t="shared" si="9"/>
        <v>#DIV/0!</v>
      </c>
      <c r="I300" s="61" t="e">
        <f t="shared" si="9"/>
        <v>#DIV/0!</v>
      </c>
      <c r="J300" s="61" t="e">
        <f t="shared" si="9"/>
        <v>#DIV/0!</v>
      </c>
      <c r="K300" s="61" t="e">
        <f t="shared" si="9"/>
        <v>#DIV/0!</v>
      </c>
      <c r="L300" s="61" t="e">
        <f t="shared" si="9"/>
        <v>#DIV/0!</v>
      </c>
      <c r="M300" s="61" t="e">
        <f t="shared" si="9"/>
        <v>#DIV/0!</v>
      </c>
      <c r="N300" s="61">
        <f t="shared" si="9"/>
        <v>1.8126169075727235E-2</v>
      </c>
      <c r="O300" s="61">
        <f t="shared" si="9"/>
        <v>3.4524540380668112E-3</v>
      </c>
      <c r="P300" s="61">
        <f t="shared" si="9"/>
        <v>8.4673242685268709E-3</v>
      </c>
      <c r="Q300" s="61">
        <f t="shared" si="9"/>
        <v>0.12208406889450173</v>
      </c>
      <c r="R300" s="61" t="e">
        <f t="shared" si="9"/>
        <v>#DIV/0!</v>
      </c>
    </row>
  </sheetData>
  <mergeCells count="1">
    <mergeCell ref="B1:U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General</vt:lpstr>
      <vt:lpstr>cobalt_Co</vt:lpstr>
      <vt:lpstr>nickel_Ni</vt:lpstr>
      <vt:lpstr>zinc_Zn</vt:lpstr>
      <vt:lpstr>copper_Cu</vt:lpstr>
      <vt:lpstr>strontium_Sr</vt:lpstr>
      <vt:lpstr>molybdenum_Mo</vt:lpstr>
      <vt:lpstr>antimony_Sb</vt:lpstr>
      <vt:lpstr>cesium_Cs</vt:lpstr>
      <vt:lpstr>barium_Ba</vt:lpstr>
      <vt:lpstr>tungsten_W</vt:lpstr>
      <vt:lpstr>thallium_Tl</vt:lpstr>
      <vt:lpstr>lead_Pb</vt:lpstr>
      <vt:lpstr>uranium_U</vt:lpstr>
      <vt:lpstr>manganese_Mn</vt:lpstr>
      <vt:lpstr>selenium_Se</vt:lpstr>
      <vt:lpstr>arsenic_As </vt:lpstr>
      <vt:lpstr>cadmium_Cd</vt:lpstr>
      <vt:lpstr>Distribution_sample_std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Kathrin Schilling</dc:creator>
  <cp:lastModifiedBy>Microsoft Office User</cp:lastModifiedBy>
  <dcterms:created xsi:type="dcterms:W3CDTF">2021-03-19T18:20:09Z</dcterms:created>
  <dcterms:modified xsi:type="dcterms:W3CDTF">2021-04-27T20:59:31Z</dcterms:modified>
</cp:coreProperties>
</file>