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mile\Nextcloud\Programming\W3230_Reflow_Plate\Doc\"/>
    </mc:Choice>
  </mc:AlternateContent>
  <xr:revisionPtr revIDLastSave="0" documentId="13_ncr:1_{567C0685-1A2E-446B-8D22-AFA038903E1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Meting" sheetId="1" r:id="rId1"/>
    <sheet name="PID" sheetId="2" r:id="rId2"/>
    <sheet name="S to Z" sheetId="3" r:id="rId3"/>
    <sheet name="Display" sheetId="4" r:id="rId4"/>
    <sheet name="Meting (2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V37" i="5"/>
  <c r="M36" i="5"/>
  <c r="O37" i="5" s="1"/>
  <c r="M32" i="5"/>
  <c r="V34" i="5" s="1"/>
  <c r="V27" i="5"/>
  <c r="M26" i="5"/>
  <c r="M25" i="5"/>
  <c r="Q27" i="1"/>
  <c r="H26" i="1"/>
  <c r="H25" i="1"/>
  <c r="H32" i="1"/>
  <c r="E6" i="3" s="1"/>
  <c r="H16" i="3" s="1"/>
  <c r="M27" i="5" l="1"/>
  <c r="V35" i="5" s="1"/>
  <c r="V36" i="5" s="1"/>
  <c r="M34" i="5"/>
  <c r="M37" i="5"/>
  <c r="M30" i="5"/>
  <c r="F16" i="3"/>
  <c r="H27" i="1"/>
  <c r="E4" i="3" s="1"/>
  <c r="D16" i="3"/>
  <c r="H30" i="1"/>
  <c r="Q37" i="1"/>
  <c r="Q35" i="1"/>
  <c r="Q36" i="1" s="1"/>
  <c r="Q34" i="1"/>
  <c r="H36" i="1"/>
  <c r="J37" i="1" s="1"/>
  <c r="H34" i="1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M56" i="2"/>
  <c r="H56" i="2" s="1"/>
  <c r="J56" i="2"/>
  <c r="I56" i="2"/>
  <c r="J55" i="2"/>
  <c r="I55" i="2"/>
  <c r="H55" i="2"/>
  <c r="J54" i="2"/>
  <c r="I54" i="2"/>
  <c r="H54" i="2"/>
  <c r="J53" i="2"/>
  <c r="I53" i="2"/>
  <c r="H53" i="2"/>
  <c r="J52" i="2"/>
  <c r="I52" i="2"/>
  <c r="H52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R20" i="2"/>
  <c r="V27" i="2" s="1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R13" i="2"/>
  <c r="R23" i="2" s="1"/>
  <c r="J13" i="2"/>
  <c r="I13" i="2"/>
  <c r="H13" i="2"/>
  <c r="H12" i="2"/>
  <c r="H11" i="2"/>
  <c r="I10" i="2"/>
  <c r="H6" i="2"/>
  <c r="H10" i="2" s="1"/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R24" i="2"/>
  <c r="H37" i="1"/>
  <c r="R14" i="2"/>
  <c r="V28" i="2" s="1"/>
  <c r="H8" i="2"/>
  <c r="J10" i="2"/>
  <c r="I11" i="2"/>
  <c r="I12" i="2" s="1"/>
  <c r="R22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V29" i="5" l="1"/>
  <c r="Q29" i="1"/>
  <c r="R21" i="2"/>
  <c r="V33" i="2"/>
  <c r="V32" i="2"/>
  <c r="V24" i="2"/>
  <c r="J11" i="2"/>
  <c r="J12" i="2" s="1"/>
  <c r="I8" i="2"/>
  <c r="T24" i="2" l="1"/>
  <c r="V28" i="5"/>
  <c r="Q28" i="1"/>
  <c r="J8" i="2"/>
  <c r="E5" i="1" l="1"/>
  <c r="E6" i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7" i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</calcChain>
</file>

<file path=xl/sharedStrings.xml><?xml version="1.0" encoding="utf-8"?>
<sst xmlns="http://schemas.openxmlformats.org/spreadsheetml/2006/main" count="275" uniqueCount="167">
  <si>
    <t>t (sec.)</t>
  </si>
  <si>
    <t>T (°C)</t>
  </si>
  <si>
    <t>delta T =</t>
  </si>
  <si>
    <t xml:space="preserve"> °C</t>
  </si>
  <si>
    <t>Ksys =</t>
  </si>
  <si>
    <t xml:space="preserve"> °C/%</t>
  </si>
  <si>
    <t>time-delay</t>
  </si>
  <si>
    <t>sec.</t>
  </si>
  <si>
    <t xml:space="preserve"> 0.632 T</t>
  </si>
  <si>
    <t>bereikt op t =</t>
  </si>
  <si>
    <t>delta t (tau-sys) =</t>
  </si>
  <si>
    <t>Metingen</t>
  </si>
  <si>
    <t>Versterking K van systeem</t>
  </si>
  <si>
    <t xml:space="preserve"> [°C]/%</t>
  </si>
  <si>
    <t xml:space="preserve"> 1) Zet de regelaar op een kleine waarde (bijv. 20 %) en laat systeem naar eindwaarde gaan</t>
  </si>
  <si>
    <t>Tijdconstante tau van systeem</t>
  </si>
  <si>
    <t>seconden</t>
  </si>
  <si>
    <t xml:space="preserve">      Bepaal stijging van output / 20 % en tijdconstante d.m.v hellingbepaling</t>
  </si>
  <si>
    <t>Dode-tijd TD van systeem</t>
  </si>
  <si>
    <t>2) Zet regelaar op 100 % en kijk wanneer output begint te stijgen</t>
  </si>
  <si>
    <t>Relatieve helling a van systeem</t>
  </si>
  <si>
    <t xml:space="preserve"> [°C]/(%.sec)</t>
  </si>
  <si>
    <t>Kc</t>
  </si>
  <si>
    <t>Ti [sec.]</t>
  </si>
  <si>
    <t>Td [sec.]</t>
  </si>
  <si>
    <t>Ziegler-Nichols I</t>
  </si>
  <si>
    <t>Quarter Decay Ratio</t>
  </si>
  <si>
    <t>Ziegler-Nichols II</t>
  </si>
  <si>
    <t>Astrom and Hagglund</t>
  </si>
  <si>
    <t>Ultimate cycle, Ziegler-Nichols equivalent</t>
  </si>
  <si>
    <t>Ts =</t>
  </si>
  <si>
    <t>Parr</t>
  </si>
  <si>
    <t>L1 =</t>
  </si>
  <si>
    <t>met L = L1.Ts + L0</t>
  </si>
  <si>
    <t>Chien et al. Regulator</t>
  </si>
  <si>
    <t>0% overshoot: 0.1 &lt; TD/tau &lt; 1</t>
  </si>
  <si>
    <t>L0 =</t>
  </si>
  <si>
    <t>20% overshoot: 0.1 &lt; TD/tau &lt; 1</t>
  </si>
  <si>
    <t xml:space="preserve"> 3 constraints method - Murrill</t>
  </si>
  <si>
    <t>Quarter Decay Ratio; min. Integral error</t>
  </si>
  <si>
    <t>Cohen-Coon</t>
  </si>
  <si>
    <t>Sain and Ozgen</t>
  </si>
  <si>
    <t>Chien et al. Servo</t>
  </si>
  <si>
    <t>a1 =</t>
  </si>
  <si>
    <t xml:space="preserve">b0 = </t>
  </si>
  <si>
    <t>Minimum IAE - Murrill</t>
  </si>
  <si>
    <t>0.1 &lt; TD/tau &lt; 1</t>
  </si>
  <si>
    <t xml:space="preserve">b1 = </t>
  </si>
  <si>
    <t>Modified Minimum IAE - Cheng &amp; Hung</t>
  </si>
  <si>
    <t>d =</t>
  </si>
  <si>
    <t>Minimum ISE - Murrill</t>
  </si>
  <si>
    <t xml:space="preserve">y[]k] = </t>
  </si>
  <si>
    <t xml:space="preserve"> .y[k-1] + </t>
  </si>
  <si>
    <t>Minimum ISE - Zhuang &amp; Atherton</t>
  </si>
  <si>
    <t>1.1 &lt; TD/tau &lt; 2</t>
  </si>
  <si>
    <t>Minimum ITAE - Murrill</t>
  </si>
  <si>
    <t>T =</t>
  </si>
  <si>
    <t>sec</t>
  </si>
  <si>
    <t>Minimum ISTSE - Zhuang &amp; Atherton</t>
  </si>
  <si>
    <t>e^(L0/T) =</t>
  </si>
  <si>
    <t>Minimum ISTES - Zhuang &amp; Atherton</t>
  </si>
  <si>
    <t xml:space="preserve"> K =</t>
  </si>
  <si>
    <t>Minimum IAE - Rovira et al</t>
  </si>
  <si>
    <t>Kapprox =</t>
  </si>
  <si>
    <t>Minimum IAE -Wang et al</t>
  </si>
  <si>
    <t>0.05 &lt; TD/tau &lt; 6</t>
  </si>
  <si>
    <t>Minimum ISE -Wang et al</t>
  </si>
  <si>
    <t>Minimum ITAE - Rovira et al</t>
  </si>
  <si>
    <t>Modified minimum ITAE Cheng &amp; Hung</t>
  </si>
  <si>
    <t>Damping factor of closed loop system = 0.707</t>
  </si>
  <si>
    <t>Minimum ITAE -Wang et al</t>
  </si>
  <si>
    <t>Direct Synthesis</t>
  </si>
  <si>
    <t>Servo - Min. IAE Smith &amp; Corripio</t>
  </si>
  <si>
    <t>5 % overshoot</t>
  </si>
  <si>
    <t>Suyama</t>
  </si>
  <si>
    <t>Abbas</t>
  </si>
  <si>
    <t>V = fract. Overshoot</t>
  </si>
  <si>
    <t>Regulator - min. ISE - Ho et al</t>
  </si>
  <si>
    <t>Am</t>
  </si>
  <si>
    <t>Phi_m (°)</t>
  </si>
  <si>
    <t>Robust</t>
  </si>
  <si>
    <t>Brambilla et al</t>
  </si>
  <si>
    <t>Lambda</t>
  </si>
  <si>
    <t>Rivera et al</t>
  </si>
  <si>
    <t>Fruehauf et al</t>
  </si>
  <si>
    <t>TD/tau &lt; 0.33</t>
  </si>
  <si>
    <t>TD/tau &gt; 0.33</t>
  </si>
  <si>
    <t>Lee et al</t>
  </si>
  <si>
    <t>Minimum IAE - Kaya &amp; Scheib</t>
  </si>
  <si>
    <t>0 &lt; TD/tau &lt; 1</t>
  </si>
  <si>
    <t>Minimum ISE - Kaya &amp; Scheib</t>
  </si>
  <si>
    <t>1 &lt; TD/tau &lt; 1</t>
  </si>
  <si>
    <t>Minimum ITAE - Kaya &amp; Scheib</t>
  </si>
  <si>
    <t>2 &lt; TD/tau &lt; 1</t>
  </si>
  <si>
    <t>Servo</t>
  </si>
  <si>
    <t>3 &lt; TD/tau &lt; 1</t>
  </si>
  <si>
    <t>4 &lt; TD/tau &lt; 1</t>
  </si>
  <si>
    <t>5 &lt; TD/tau &lt; 1</t>
  </si>
  <si>
    <t>Optimale PID-parameters hiervoor:</t>
  </si>
  <si>
    <t>Kc =</t>
  </si>
  <si>
    <t>Ti =</t>
  </si>
  <si>
    <t>Td =</t>
  </si>
  <si>
    <t xml:space="preserve"> %/°C</t>
  </si>
  <si>
    <t>T95 =</t>
  </si>
  <si>
    <t>Ts tussen</t>
  </si>
  <si>
    <t>t95 =</t>
  </si>
  <si>
    <t>en</t>
  </si>
  <si>
    <t>G(s) =</t>
  </si>
  <si>
    <t>2.17 * (1/(45s+1)) * e^(-10s)</t>
  </si>
  <si>
    <t>G(z) =</t>
  </si>
  <si>
    <t>b0 =</t>
  </si>
  <si>
    <t>b1 =</t>
  </si>
  <si>
    <t>Pd(z) =</t>
  </si>
  <si>
    <t>0,2282/(1-0,8948*z^-1)</t>
  </si>
  <si>
    <t>Tsim (°C)</t>
  </si>
  <si>
    <t>Kz =</t>
  </si>
  <si>
    <t>delta t =</t>
  </si>
  <si>
    <t xml:space="preserve"> .x[k-1] +</t>
  </si>
  <si>
    <t xml:space="preserve"> .x[k-2]</t>
  </si>
  <si>
    <t>S-domain</t>
  </si>
  <si>
    <t>a0 =</t>
  </si>
  <si>
    <t>Z-domain</t>
  </si>
  <si>
    <t>yk =</t>
  </si>
  <si>
    <t>K (2/T) =</t>
  </si>
  <si>
    <t>.xk +</t>
  </si>
  <si>
    <t>.xk-1 -</t>
  </si>
  <si>
    <t>yk-1</t>
  </si>
  <si>
    <t xml:space="preserve"> - bot_01 is het display rechts onderaan (de anderen zijn bot_10 en bot_1)</t>
  </si>
  <si>
    <t xml:space="preserve"> - pc_msk: C6A5 lijn wordt in ieder geval geactiveerd (met een 0), daarnaast wordt bit 6 van bot_01 geAND met 0x40, zodat alleen dit bit overblijft.</t>
  </si>
  <si>
    <t xml:space="preserve"> - pc_msk: dit bit wordt 5 plaatsen naar rechts geschoven, zodat het nu op plaats 1 terecht komt (op PC1 dus in PORTC).</t>
  </si>
  <si>
    <t xml:space="preserve"> - pc_msk: voor PORTC wordt dus of 1 bit geactiveerd (alleen C6A5) of 2 bits (als bit 6 in bot_01 een 1 is).</t>
  </si>
  <si>
    <t xml:space="preserve"> - pd_msk: hier wordt bit 7 op plaats 7 gezet (geen shift nodig) en worden bits 5,4 en 3 van bot_01 op plaats 4,3 en 2 gezet (voor PD4, PD3 en PD2)</t>
  </si>
  <si>
    <t xml:space="preserve"> - CBAb: dit is een 1-bit variable (handig in IAR STM) die gelijk is aan PC_ODR_ODR7, pin 7 van PORTC output port.</t>
  </si>
  <si>
    <t xml:space="preserve"> - CBAb: bit 7 van bot_01 wordt geisoleerd (AND met 0x80), als deze 1 is, dan wordt CBAb een 1, anders een 0</t>
  </si>
  <si>
    <t xml:space="preserve"> - PD_ODR: hiermee worden 3 bits direct op de goede plaats gezet, is handiger dan 3 aparte assignments (EDCb = ..., FEDb = ..., GFEb = …)</t>
  </si>
  <si>
    <t xml:space="preserve"> - CXAXb: Omdat de CXAX lijn nu niet als CC/CA lijn gebruikt wordt, maar als aansturing van led 6B, moet deze 1 gemaakt worden als bit 2 in bot_01 een 1 is</t>
  </si>
  <si>
    <t xml:space="preserve"> - C6A5b: dit is de CC lijn van display 6 en moet dus 0 gemaakt worden.</t>
  </si>
  <si>
    <t xml:space="preserve"> - mpx_nr: de volgende msec. wordt deze toestand verlaten en wordt de nieuwe toestand STD_CCX (aansturing overige LEDs met CXAX als CC)</t>
  </si>
  <si>
    <t xml:space="preserve"> - break: einde van deze toestand.</t>
  </si>
  <si>
    <t>BELANGRIJK: alle 9 bits van het display krijgen dus een waarde (0 of 1), maar alleen die bits die actief zijn (C6A5 die 0 is (CC), en de andere bits die 1 zijn),</t>
  </si>
  <si>
    <t>worden ook als output geactiveerd (setAsOutputs(pc_msk,pd_msk), laatste regel van deze functie, niet te zien hier).</t>
  </si>
  <si>
    <t>Een LED bit die 0 is en actief is, kan namelijk in een ander display een led laten oplichten. Dus 0 bits MOETEN als input geschakeld worden.</t>
  </si>
  <si>
    <t xml:space="preserve"> - top_01 is het display rechts bovenaan (de anderen zijn top_10 en top_1)</t>
  </si>
  <si>
    <t xml:space="preserve"> - pc_msk: C4A3 lijn wordt in ieder geval geactiveerd (met een 1), daarnaast wordt bit 7 van top_01 geAND met 0x80, zodat alleen dit bit overblijft.</t>
  </si>
  <si>
    <t xml:space="preserve"> - pc_msk: dit bit wordt 5 plaatsen naar rechts geschoven, zodat het nu op plaats 2 terecht komt (op PC2 dus in PORTC).</t>
  </si>
  <si>
    <t xml:space="preserve"> - pc_msk: hetzelfde gebeurt voor bit 5 (led 3c), deze wordt 4 plaatsen naar rechts geschoven en komt nu op plaat 1 terecht (op PC1 dus in PORTC)</t>
  </si>
  <si>
    <t xml:space="preserve"> - pc_msk: voor PORTC wordt dus of 1 bit geactiveerd (alleen C6A5) of 2 of 3 bits (afhankelijk van bits 7 en 5 in top_01).</t>
  </si>
  <si>
    <t xml:space="preserve"> - pd_msk: hier wordt bit 6 op plaats 7 gezet (shift left 1) en worden bits 4,3 en 2 van top_01 op plaats 4,3 en 2 gezet (voor PD4, PD3 en PD2)</t>
  </si>
  <si>
    <t xml:space="preserve"> - pd_msk: als laatste wordt bit 1 op plaats 0 gezet (PD0 in PORTD)</t>
  </si>
  <si>
    <t xml:space="preserve"> - CBAb: bit 6 van top_01 wordt geisoleerd (AND met 0x40), als deze 1 is, dan wordt CBAb een 1, anders een 0</t>
  </si>
  <si>
    <t xml:space="preserve"> - PGFb: als laatste van PORTD wordt bit 1 vantop_01 (de g) geisoleerd en gekeken of die 1 is, zo ja, dan wordt PGFb een 1</t>
  </si>
  <si>
    <t xml:space="preserve"> - PGFb: als laatste van PORTD wordt bit 2 van bot_01 (de f) geisoleerd en gekeken of die 1 is, zo ja, dan wordt PGFb een 1</t>
  </si>
  <si>
    <t xml:space="preserve"> - C6A5b: Omdat de C6A5 lijn nu niet als CC/CA lijn gebruikt wordt, maar als aansturing van led 3A, moet deze 1 gemaakt worden als bit 7 in top_01 een 1 is</t>
  </si>
  <si>
    <t xml:space="preserve"> - CXAXb: Omdat de CXAX lijn nu niet als CC/CA lijn gebruikt wordt, maar als aansturing van led 3C, moet deze 1 gemaakt worden als bit 5 in top_01 een 1 is</t>
  </si>
  <si>
    <t xml:space="preserve"> - C4A3b: dit is de CA lijn van display 3 en moet dus 1 gemaakt worden.</t>
  </si>
  <si>
    <t xml:space="preserve"> - mpx_nr: de volgende msec. wordt deze toestand verlaten en wordt de nieuwe toestand STD_CA5 (aansturing display 5 met  C6A5 als CA)</t>
  </si>
  <si>
    <t xml:space="preserve"> - pc_msk bekijkt welke CC/CA lijnen actief gemaakt moeten worden, voor een CC display moeten de Kathode 0 gemaakt worden</t>
  </si>
  <si>
    <t xml:space="preserve"> - pc_msk bekijkt welke CC/CA lijnen actief gemaakt moeten worden, voor een CA display moeten de Anode 1 gemaakt worden</t>
  </si>
  <si>
    <t>SP (°C)</t>
  </si>
  <si>
    <t>PV (°C)</t>
  </si>
  <si>
    <t>1 59 3</t>
  </si>
  <si>
    <t>2 15 4</t>
  </si>
  <si>
    <t>2 10 4</t>
  </si>
  <si>
    <t>2 25 4 FF40</t>
  </si>
  <si>
    <t>3 30 4 FF0</t>
  </si>
  <si>
    <t>3 30 4 FF40</t>
  </si>
  <si>
    <t>3 20 4 FF0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</si>
</sst>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0" fillId="2" borderId="0" xfId="0" applyFill="1"/>
    <xf numFmtId="0" fontId="1" fillId="0" borderId="0" xfId="0" applyFont="1"/>
    <xf numFmtId="2" fontId="0" fillId="0" borderId="0" xfId="0" applyNumberFormat="1"/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Meting!$D$2</c:f>
              <c:strCache>
                <c:ptCount val="1"/>
                <c:pt idx="0">
                  <c:v>T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55875962524552E-2"/>
                  <c:y val="0.33718920689887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Meting!$C$3:$C$41</c:f>
              <c:numCache>
                <c:formatCode>General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</c:numCache>
            </c:numRef>
          </c:xVal>
          <c:yVal>
            <c:numRef>
              <c:f>Meting!$D$3:$D$41</c:f>
              <c:numCache>
                <c:formatCode>General</c:formatCode>
                <c:ptCount val="39"/>
                <c:pt idx="0">
                  <c:v>25</c:v>
                </c:pt>
                <c:pt idx="1">
                  <c:v>26</c:v>
                </c:pt>
                <c:pt idx="2">
                  <c:v>29</c:v>
                </c:pt>
                <c:pt idx="3">
                  <c:v>40</c:v>
                </c:pt>
                <c:pt idx="4">
                  <c:v>58</c:v>
                </c:pt>
                <c:pt idx="5">
                  <c:v>75</c:v>
                </c:pt>
                <c:pt idx="6">
                  <c:v>87</c:v>
                </c:pt>
                <c:pt idx="7">
                  <c:v>97</c:v>
                </c:pt>
                <c:pt idx="8">
                  <c:v>112</c:v>
                </c:pt>
                <c:pt idx="9">
                  <c:v>129</c:v>
                </c:pt>
                <c:pt idx="10">
                  <c:v>147</c:v>
                </c:pt>
                <c:pt idx="11">
                  <c:v>162</c:v>
                </c:pt>
                <c:pt idx="12">
                  <c:v>173</c:v>
                </c:pt>
                <c:pt idx="13">
                  <c:v>184</c:v>
                </c:pt>
                <c:pt idx="14">
                  <c:v>192</c:v>
                </c:pt>
                <c:pt idx="15">
                  <c:v>200</c:v>
                </c:pt>
                <c:pt idx="16">
                  <c:v>205</c:v>
                </c:pt>
                <c:pt idx="17">
                  <c:v>212</c:v>
                </c:pt>
                <c:pt idx="18">
                  <c:v>215</c:v>
                </c:pt>
                <c:pt idx="19">
                  <c:v>220</c:v>
                </c:pt>
                <c:pt idx="20">
                  <c:v>223</c:v>
                </c:pt>
                <c:pt idx="21">
                  <c:v>226</c:v>
                </c:pt>
                <c:pt idx="22">
                  <c:v>228</c:v>
                </c:pt>
                <c:pt idx="23">
                  <c:v>230</c:v>
                </c:pt>
                <c:pt idx="24">
                  <c:v>232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237</c:v>
                </c:pt>
                <c:pt idx="29">
                  <c:v>238</c:v>
                </c:pt>
                <c:pt idx="30">
                  <c:v>239</c:v>
                </c:pt>
                <c:pt idx="31">
                  <c:v>240</c:v>
                </c:pt>
                <c:pt idx="32">
                  <c:v>240</c:v>
                </c:pt>
                <c:pt idx="33">
                  <c:v>241</c:v>
                </c:pt>
                <c:pt idx="34">
                  <c:v>241</c:v>
                </c:pt>
                <c:pt idx="35">
                  <c:v>242</c:v>
                </c:pt>
                <c:pt idx="36">
                  <c:v>242</c:v>
                </c:pt>
                <c:pt idx="37">
                  <c:v>242</c:v>
                </c:pt>
                <c:pt idx="38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E-460F-BD5D-E0C26DC1E130}"/>
            </c:ext>
          </c:extLst>
        </c:ser>
        <c:ser>
          <c:idx val="1"/>
          <c:order val="1"/>
          <c:tx>
            <c:strRef>
              <c:f>Meting!$E$2</c:f>
              <c:strCache>
                <c:ptCount val="1"/>
                <c:pt idx="0">
                  <c:v>Tsim (°C)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Meting!$C$3:$C$41</c:f>
              <c:numCache>
                <c:formatCode>General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</c:numCache>
            </c:numRef>
          </c:xVal>
          <c:yVal>
            <c:numRef>
              <c:f>Meting!$E$3:$E$41</c:f>
              <c:numCache>
                <c:formatCode>0</c:formatCode>
                <c:ptCount val="39"/>
                <c:pt idx="0">
                  <c:v>25</c:v>
                </c:pt>
                <c:pt idx="1">
                  <c:v>29</c:v>
                </c:pt>
                <c:pt idx="2">
                  <c:v>54.065361225676334</c:v>
                </c:pt>
                <c:pt idx="3">
                  <c:v>57.644718492933812</c:v>
                </c:pt>
                <c:pt idx="4">
                  <c:v>80.074189207823423</c:v>
                </c:pt>
                <c:pt idx="5">
                  <c:v>83.277138819490645</c:v>
                </c:pt>
                <c:pt idx="6">
                  <c:v>103.34791107051038</c:v>
                </c:pt>
                <c:pt idx="7">
                  <c:v>106.21403631280553</c:v>
                </c:pt>
                <c:pt idx="8">
                  <c:v>124.17415244184484</c:v>
                </c:pt>
                <c:pt idx="9">
                  <c:v>126.73887399556466</c:v>
                </c:pt>
                <c:pt idx="10">
                  <c:v>142.81029204238092</c:v>
                </c:pt>
                <c:pt idx="11">
                  <c:v>145.10530572533065</c:v>
                </c:pt>
                <c:pt idx="12">
                  <c:v>159.48664247058184</c:v>
                </c:pt>
                <c:pt idx="13">
                  <c:v>161.54031094671222</c:v>
                </c:pt>
                <c:pt idx="14">
                  <c:v>174.40929649471019</c:v>
                </c:pt>
                <c:pt idx="15">
                  <c:v>176.24699979085392</c:v>
                </c:pt>
                <c:pt idx="16">
                  <c:v>187.7626740267184</c:v>
                </c:pt>
                <c:pt idx="17">
                  <c:v>189.40712318874719</c:v>
                </c:pt>
                <c:pt idx="18">
                  <c:v>199.71180125462499</c:v>
                </c:pt>
                <c:pt idx="19">
                  <c:v>201.1833190193108</c:v>
                </c:pt>
                <c:pt idx="20">
                  <c:v>210.4043500997729</c:v>
                </c:pt>
                <c:pt idx="21">
                  <c:v>211.72112205100458</c:v>
                </c:pt>
                <c:pt idx="22">
                  <c:v>219.97246320336936</c:v>
                </c:pt>
                <c:pt idx="23">
                  <c:v>221.15076251660983</c:v>
                </c:pt>
                <c:pt idx="24">
                  <c:v>228.53438699619423</c:v>
                </c:pt>
                <c:pt idx="25">
                  <c:v>229.58877554865717</c:v>
                </c:pt>
                <c:pt idx="26">
                  <c:v>236.19593303358232</c:v>
                </c:pt>
                <c:pt idx="27">
                  <c:v>237.13944136552516</c:v>
                </c:pt>
                <c:pt idx="28">
                  <c:v>243.05178565542053</c:v>
                </c:pt>
                <c:pt idx="29">
                  <c:v>243.89607400658491</c:v>
                </c:pt>
                <c:pt idx="30">
                  <c:v>249.18667213172623</c:v>
                </c:pt>
                <c:pt idx="31">
                  <c:v>249.9421745430765</c:v>
                </c:pt>
                <c:pt idx="32">
                  <c:v>254.67640975491733</c:v>
                </c:pt>
                <c:pt idx="33">
                  <c:v>255.35246301654163</c:v>
                </c:pt>
                <c:pt idx="34">
                  <c:v>259.58884281914379</c:v>
                </c:pt>
                <c:pt idx="35">
                  <c:v>260.19380185790584</c:v>
                </c:pt>
                <c:pt idx="36">
                  <c:v>263.98468106623255</c:v>
                </c:pt>
                <c:pt idx="37">
                  <c:v>264.52602219917901</c:v>
                </c:pt>
                <c:pt idx="38">
                  <c:v>267.91824996008393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E-42DC-B849-93B40B92828A}"/>
            </c:ext>
          </c:extLst>
        </c:ser>
        <c:ser>
          <c:idx val="2"/>
          <c:order val="2"/>
          <c:tx>
            <c:strRef>
              <c:f>Meting!$F$2</c:f>
              <c:strCache>
                <c:ptCount val="1"/>
                <c:pt idx="0">
                  <c:v>Tsim (°C)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Meting!$C$3:$C$41</c:f>
              <c:numCache>
                <c:formatCode>General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</c:numCache>
            </c:numRef>
          </c:xVal>
          <c:yVal>
            <c:numRef>
              <c:f>Meting!$F$3:$F$41</c:f>
              <c:numCache>
                <c:formatCode>0</c:formatCode>
                <c:ptCount val="39"/>
                <c:pt idx="0">
                  <c:v>25</c:v>
                </c:pt>
                <c:pt idx="1">
                  <c:v>29</c:v>
                </c:pt>
                <c:pt idx="2">
                  <c:v>40.84299516908213</c:v>
                </c:pt>
                <c:pt idx="3">
                  <c:v>52.171077504725901</c:v>
                </c:pt>
                <c:pt idx="4">
                  <c:v>63.006634521428637</c:v>
                </c:pt>
                <c:pt idx="5">
                  <c:v>73.371080363492126</c:v>
                </c:pt>
                <c:pt idx="6">
                  <c:v>83.284898125465901</c:v>
                </c:pt>
                <c:pt idx="7">
                  <c:v>92.76768033257126</c:v>
                </c:pt>
                <c:pt idx="8">
                  <c:v>101.83816766110681</c:v>
                </c:pt>
                <c:pt idx="9">
                  <c:v>110.51428597535821</c:v>
                </c:pt>
                <c:pt idx="10">
                  <c:v>118.81318175420738</c:v>
                </c:pt>
                <c:pt idx="11">
                  <c:v>126.75125597745441</c:v>
                </c:pt>
                <c:pt idx="12">
                  <c:v>134.34419653882111</c:v>
                </c:pt>
                <c:pt idx="13">
                  <c:v>141.60700924969362</c:v>
                </c:pt>
                <c:pt idx="14">
                  <c:v>148.55404749487602</c:v>
                </c:pt>
                <c:pt idx="15">
                  <c:v>155.19904059896353</c:v>
                </c:pt>
                <c:pt idx="16">
                  <c:v>161.55512095939508</c:v>
                </c:pt>
                <c:pt idx="17">
                  <c:v>167.63484999980787</c:v>
                </c:pt>
                <c:pt idx="18">
                  <c:v>173.4502429949853</c:v>
                </c:pt>
                <c:pt idx="19">
                  <c:v>179.01279281645938</c:v>
                </c:pt>
                <c:pt idx="20">
                  <c:v>184.33349264569546</c:v>
                </c:pt>
                <c:pt idx="21">
                  <c:v>189.42285769974737</c:v>
                </c:pt>
                <c:pt idx="22">
                  <c:v>194.29094601231876</c:v>
                </c:pt>
                <c:pt idx="23">
                  <c:v>198.94737831130007</c:v>
                </c:pt>
                <c:pt idx="24">
                  <c:v>203.40135703206482</c:v>
                </c:pt>
                <c:pt idx="25">
                  <c:v>207.66168450410066</c:v>
                </c:pt>
                <c:pt idx="26">
                  <c:v>211.73678034691756</c:v>
                </c:pt>
                <c:pt idx="27">
                  <c:v>215.63469810961197</c:v>
                </c:pt>
                <c:pt idx="28">
                  <c:v>219.36314118697186</c:v>
                </c:pt>
                <c:pt idx="29">
                  <c:v>222.92947804357695</c:v>
                </c:pt>
                <c:pt idx="30">
                  <c:v>226.34075677598182</c:v>
                </c:pt>
                <c:pt idx="31">
                  <c:v>229.6037190417604</c:v>
                </c:pt>
                <c:pt idx="32">
                  <c:v>232.72481338293991</c:v>
                </c:pt>
                <c:pt idx="33">
                  <c:v>235.7102079701551</c:v>
                </c:pt>
                <c:pt idx="34">
                  <c:v>238.56580279270875</c:v>
                </c:pt>
                <c:pt idx="35">
                  <c:v>241.29724131862963</c:v>
                </c:pt>
                <c:pt idx="36">
                  <c:v>243.90992164777134</c:v>
                </c:pt>
                <c:pt idx="37">
                  <c:v>246.40900717999386</c:v>
                </c:pt>
                <c:pt idx="38">
                  <c:v>248.79943681951104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E-42DC-B849-93B40B92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09192"/>
        <c:axId val="592316392"/>
      </c:scatterChart>
      <c:valAx>
        <c:axId val="59230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2316392"/>
        <c:crosses val="autoZero"/>
        <c:crossBetween val="midCat"/>
      </c:valAx>
      <c:valAx>
        <c:axId val="5923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230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'Meting (2)'!$D$2</c:f>
              <c:strCache>
                <c:ptCount val="1"/>
                <c:pt idx="0">
                  <c:v>SP (°C)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55875962524552E-2"/>
                  <c:y val="0.33718920689887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'Meting (2)'!$C$3:$C$64</c:f>
              <c:numCache>
                <c:formatCode>General</c:formatCode>
                <c:ptCount val="6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</c:numCache>
            </c:numRef>
          </c:xVal>
          <c:yVal>
            <c:numRef>
              <c:f>'Meting (2)'!$D$3:$D$64</c:f>
              <c:numCache>
                <c:formatCode>General</c:formatCode>
                <c:ptCount val="62"/>
                <c:pt idx="0">
                  <c:v>25</c:v>
                </c:pt>
                <c:pt idx="1">
                  <c:v>28</c:v>
                </c:pt>
                <c:pt idx="2">
                  <c:v>34</c:v>
                </c:pt>
                <c:pt idx="3">
                  <c:v>40</c:v>
                </c:pt>
                <c:pt idx="4">
                  <c:v>46</c:v>
                </c:pt>
                <c:pt idx="5">
                  <c:v>53</c:v>
                </c:pt>
                <c:pt idx="6">
                  <c:v>59</c:v>
                </c:pt>
                <c:pt idx="7">
                  <c:v>65</c:v>
                </c:pt>
                <c:pt idx="8">
                  <c:v>73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98</c:v>
                </c:pt>
                <c:pt idx="13">
                  <c:v>104</c:v>
                </c:pt>
                <c:pt idx="14">
                  <c:v>110</c:v>
                </c:pt>
                <c:pt idx="15">
                  <c:v>116</c:v>
                </c:pt>
                <c:pt idx="16">
                  <c:v>120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123</c:v>
                </c:pt>
                <c:pt idx="21">
                  <c:v>124</c:v>
                </c:pt>
                <c:pt idx="22">
                  <c:v>125</c:v>
                </c:pt>
                <c:pt idx="23">
                  <c:v>126</c:v>
                </c:pt>
                <c:pt idx="24">
                  <c:v>127</c:v>
                </c:pt>
                <c:pt idx="25">
                  <c:v>128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139</c:v>
                </c:pt>
                <c:pt idx="41">
                  <c:v>143</c:v>
                </c:pt>
                <c:pt idx="42">
                  <c:v>149</c:v>
                </c:pt>
                <c:pt idx="43">
                  <c:v>155</c:v>
                </c:pt>
                <c:pt idx="44">
                  <c:v>161</c:v>
                </c:pt>
                <c:pt idx="45">
                  <c:v>167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170</c:v>
                </c:pt>
                <c:pt idx="50">
                  <c:v>170</c:v>
                </c:pt>
                <c:pt idx="51">
                  <c:v>168</c:v>
                </c:pt>
                <c:pt idx="52">
                  <c:v>163</c:v>
                </c:pt>
                <c:pt idx="53">
                  <c:v>159</c:v>
                </c:pt>
                <c:pt idx="54">
                  <c:v>154</c:v>
                </c:pt>
                <c:pt idx="55">
                  <c:v>150</c:v>
                </c:pt>
                <c:pt idx="56">
                  <c:v>145</c:v>
                </c:pt>
                <c:pt idx="57">
                  <c:v>141</c:v>
                </c:pt>
                <c:pt idx="58">
                  <c:v>134</c:v>
                </c:pt>
                <c:pt idx="59">
                  <c:v>129</c:v>
                </c:pt>
                <c:pt idx="60">
                  <c:v>125</c:v>
                </c:pt>
                <c:pt idx="6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F-4B7B-AF27-34BB8F90937E}"/>
            </c:ext>
          </c:extLst>
        </c:ser>
        <c:ser>
          <c:idx val="1"/>
          <c:order val="1"/>
          <c:tx>
            <c:strRef>
              <c:f>'Meting (2)'!$E$2</c:f>
              <c:strCache>
                <c:ptCount val="1"/>
                <c:pt idx="0">
                  <c:v>PV (°C)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'Meting (2)'!$C$3:$C$64</c:f>
              <c:numCache>
                <c:formatCode>General</c:formatCode>
                <c:ptCount val="6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</c:numCache>
            </c:numRef>
          </c:xVal>
          <c:yVal>
            <c:numRef>
              <c:f>'Meting (2)'!$E$3:$E$64</c:f>
              <c:numCache>
                <c:formatCode>0</c:formatCode>
                <c:ptCount val="62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36</c:v>
                </c:pt>
                <c:pt idx="10">
                  <c:v>43</c:v>
                </c:pt>
                <c:pt idx="11">
                  <c:v>54</c:v>
                </c:pt>
                <c:pt idx="12">
                  <c:v>67</c:v>
                </c:pt>
                <c:pt idx="13">
                  <c:v>81</c:v>
                </c:pt>
                <c:pt idx="14">
                  <c:v>93</c:v>
                </c:pt>
                <c:pt idx="15">
                  <c:v>107</c:v>
                </c:pt>
                <c:pt idx="16">
                  <c:v>119</c:v>
                </c:pt>
                <c:pt idx="17">
                  <c:v>128</c:v>
                </c:pt>
                <c:pt idx="18">
                  <c:v>134</c:v>
                </c:pt>
                <c:pt idx="19">
                  <c:v>137</c:v>
                </c:pt>
                <c:pt idx="20">
                  <c:v>140</c:v>
                </c:pt>
                <c:pt idx="21">
                  <c:v>141</c:v>
                </c:pt>
                <c:pt idx="22">
                  <c:v>141</c:v>
                </c:pt>
                <c:pt idx="23">
                  <c:v>141</c:v>
                </c:pt>
                <c:pt idx="24">
                  <c:v>140</c:v>
                </c:pt>
                <c:pt idx="25">
                  <c:v>139</c:v>
                </c:pt>
                <c:pt idx="26">
                  <c:v>138</c:v>
                </c:pt>
                <c:pt idx="27">
                  <c:v>137</c:v>
                </c:pt>
                <c:pt idx="28">
                  <c:v>136</c:v>
                </c:pt>
                <c:pt idx="29">
                  <c:v>135</c:v>
                </c:pt>
                <c:pt idx="30">
                  <c:v>134</c:v>
                </c:pt>
                <c:pt idx="31">
                  <c:v>133</c:v>
                </c:pt>
                <c:pt idx="32">
                  <c:v>132</c:v>
                </c:pt>
                <c:pt idx="33">
                  <c:v>132</c:v>
                </c:pt>
                <c:pt idx="34">
                  <c:v>133</c:v>
                </c:pt>
                <c:pt idx="35">
                  <c:v>133</c:v>
                </c:pt>
                <c:pt idx="36">
                  <c:v>135</c:v>
                </c:pt>
                <c:pt idx="37">
                  <c:v>137</c:v>
                </c:pt>
                <c:pt idx="38">
                  <c:v>138</c:v>
                </c:pt>
                <c:pt idx="39">
                  <c:v>138</c:v>
                </c:pt>
                <c:pt idx="40">
                  <c:v>139</c:v>
                </c:pt>
                <c:pt idx="41">
                  <c:v>139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141</c:v>
                </c:pt>
                <c:pt idx="46">
                  <c:v>144</c:v>
                </c:pt>
                <c:pt idx="47">
                  <c:v>147</c:v>
                </c:pt>
                <c:pt idx="48">
                  <c:v>151</c:v>
                </c:pt>
                <c:pt idx="49">
                  <c:v>157</c:v>
                </c:pt>
                <c:pt idx="50" formatCode="General">
                  <c:v>162</c:v>
                </c:pt>
                <c:pt idx="51" formatCode="General">
                  <c:v>168</c:v>
                </c:pt>
                <c:pt idx="52" formatCode="General">
                  <c:v>173</c:v>
                </c:pt>
                <c:pt idx="53" formatCode="General">
                  <c:v>178</c:v>
                </c:pt>
                <c:pt idx="54" formatCode="General">
                  <c:v>183</c:v>
                </c:pt>
                <c:pt idx="55" formatCode="General">
                  <c:v>185</c:v>
                </c:pt>
                <c:pt idx="56" formatCode="General">
                  <c:v>187</c:v>
                </c:pt>
                <c:pt idx="57" formatCode="General">
                  <c:v>187</c:v>
                </c:pt>
                <c:pt idx="58" formatCode="General">
                  <c:v>187</c:v>
                </c:pt>
                <c:pt idx="59" formatCode="General">
                  <c:v>186</c:v>
                </c:pt>
                <c:pt idx="60" formatCode="General">
                  <c:v>184</c:v>
                </c:pt>
                <c:pt idx="61" formatCode="General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EF-4B7B-AF27-34BB8F90937E}"/>
            </c:ext>
          </c:extLst>
        </c:ser>
        <c:ser>
          <c:idx val="2"/>
          <c:order val="2"/>
          <c:tx>
            <c:strRef>
              <c:f>'Meting (2)'!$F$2</c:f>
              <c:strCache>
                <c:ptCount val="1"/>
                <c:pt idx="0">
                  <c:v>PV (°C)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'Meting (2)'!$C$3:$C$64</c:f>
              <c:numCache>
                <c:formatCode>General</c:formatCode>
                <c:ptCount val="6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</c:numCache>
            </c:numRef>
          </c:xVal>
          <c:yVal>
            <c:numRef>
              <c:f>'Meting (2)'!$F$3:$F$64</c:f>
              <c:numCache>
                <c:formatCode>0</c:formatCode>
                <c:ptCount val="6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40</c:v>
                </c:pt>
                <c:pt idx="10">
                  <c:v>51</c:v>
                </c:pt>
                <c:pt idx="11">
                  <c:v>65</c:v>
                </c:pt>
                <c:pt idx="12">
                  <c:v>80</c:v>
                </c:pt>
                <c:pt idx="13">
                  <c:v>94</c:v>
                </c:pt>
                <c:pt idx="14">
                  <c:v>109</c:v>
                </c:pt>
                <c:pt idx="15">
                  <c:v>122</c:v>
                </c:pt>
                <c:pt idx="16">
                  <c:v>134</c:v>
                </c:pt>
                <c:pt idx="17">
                  <c:v>144</c:v>
                </c:pt>
                <c:pt idx="18">
                  <c:v>151</c:v>
                </c:pt>
                <c:pt idx="19">
                  <c:v>155</c:v>
                </c:pt>
                <c:pt idx="20">
                  <c:v>157</c:v>
                </c:pt>
                <c:pt idx="21">
                  <c:v>158</c:v>
                </c:pt>
                <c:pt idx="22">
                  <c:v>158</c:v>
                </c:pt>
                <c:pt idx="23">
                  <c:v>158</c:v>
                </c:pt>
                <c:pt idx="24">
                  <c:v>157</c:v>
                </c:pt>
                <c:pt idx="25">
                  <c:v>156</c:v>
                </c:pt>
                <c:pt idx="26">
                  <c:v>155</c:v>
                </c:pt>
                <c:pt idx="27">
                  <c:v>153</c:v>
                </c:pt>
                <c:pt idx="28">
                  <c:v>152</c:v>
                </c:pt>
                <c:pt idx="29">
                  <c:v>150</c:v>
                </c:pt>
                <c:pt idx="30">
                  <c:v>148</c:v>
                </c:pt>
                <c:pt idx="31">
                  <c:v>147</c:v>
                </c:pt>
                <c:pt idx="32">
                  <c:v>146</c:v>
                </c:pt>
                <c:pt idx="33">
                  <c:v>144</c:v>
                </c:pt>
                <c:pt idx="34">
                  <c:v>142</c:v>
                </c:pt>
                <c:pt idx="35">
                  <c:v>141</c:v>
                </c:pt>
                <c:pt idx="36">
                  <c:v>139</c:v>
                </c:pt>
                <c:pt idx="37">
                  <c:v>138</c:v>
                </c:pt>
                <c:pt idx="38">
                  <c:v>138</c:v>
                </c:pt>
                <c:pt idx="39">
                  <c:v>137</c:v>
                </c:pt>
                <c:pt idx="40">
                  <c:v>137</c:v>
                </c:pt>
                <c:pt idx="41">
                  <c:v>136</c:v>
                </c:pt>
                <c:pt idx="42">
                  <c:v>136</c:v>
                </c:pt>
                <c:pt idx="43">
                  <c:v>138</c:v>
                </c:pt>
                <c:pt idx="44">
                  <c:v>140</c:v>
                </c:pt>
                <c:pt idx="45">
                  <c:v>143</c:v>
                </c:pt>
                <c:pt idx="46">
                  <c:v>147</c:v>
                </c:pt>
                <c:pt idx="47">
                  <c:v>151</c:v>
                </c:pt>
                <c:pt idx="48">
                  <c:v>157</c:v>
                </c:pt>
                <c:pt idx="49">
                  <c:v>163</c:v>
                </c:pt>
                <c:pt idx="50">
                  <c:v>169</c:v>
                </c:pt>
                <c:pt idx="51">
                  <c:v>175</c:v>
                </c:pt>
                <c:pt idx="52">
                  <c:v>180</c:v>
                </c:pt>
                <c:pt idx="53">
                  <c:v>184</c:v>
                </c:pt>
                <c:pt idx="54">
                  <c:v>187</c:v>
                </c:pt>
                <c:pt idx="55">
                  <c:v>189</c:v>
                </c:pt>
                <c:pt idx="56">
                  <c:v>189</c:v>
                </c:pt>
                <c:pt idx="57">
                  <c:v>189</c:v>
                </c:pt>
                <c:pt idx="58">
                  <c:v>188</c:v>
                </c:pt>
                <c:pt idx="59">
                  <c:v>187</c:v>
                </c:pt>
                <c:pt idx="60">
                  <c:v>184</c:v>
                </c:pt>
                <c:pt idx="61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EF-4B7B-AF27-34BB8F90937E}"/>
            </c:ext>
          </c:extLst>
        </c:ser>
        <c:ser>
          <c:idx val="3"/>
          <c:order val="3"/>
          <c:tx>
            <c:strRef>
              <c:f>'Meting (2)'!$G$2</c:f>
              <c:strCache>
                <c:ptCount val="1"/>
                <c:pt idx="0">
                  <c:v>PV (°C)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'Meting (2)'!$C$3:$C$64</c:f>
              <c:numCache>
                <c:formatCode>General</c:formatCode>
                <c:ptCount val="6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</c:numCache>
            </c:numRef>
          </c:xVal>
          <c:yVal>
            <c:numRef>
              <c:f>'Meting (2)'!$G$3:$G$64</c:f>
              <c:numCache>
                <c:formatCode>0</c:formatCode>
                <c:ptCount val="6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47</c:v>
                </c:pt>
                <c:pt idx="18">
                  <c:v>52</c:v>
                </c:pt>
                <c:pt idx="19">
                  <c:v>59</c:v>
                </c:pt>
                <c:pt idx="20">
                  <c:v>67</c:v>
                </c:pt>
                <c:pt idx="21">
                  <c:v>75</c:v>
                </c:pt>
                <c:pt idx="22">
                  <c:v>83</c:v>
                </c:pt>
                <c:pt idx="23">
                  <c:v>91</c:v>
                </c:pt>
                <c:pt idx="24">
                  <c:v>99</c:v>
                </c:pt>
                <c:pt idx="25">
                  <c:v>107</c:v>
                </c:pt>
                <c:pt idx="26">
                  <c:v>112</c:v>
                </c:pt>
                <c:pt idx="27">
                  <c:v>116</c:v>
                </c:pt>
                <c:pt idx="28">
                  <c:v>118</c:v>
                </c:pt>
                <c:pt idx="29">
                  <c:v>120</c:v>
                </c:pt>
                <c:pt idx="30">
                  <c:v>120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121</c:v>
                </c:pt>
                <c:pt idx="40">
                  <c:v>121</c:v>
                </c:pt>
                <c:pt idx="41">
                  <c:v>123</c:v>
                </c:pt>
                <c:pt idx="42">
                  <c:v>123</c:v>
                </c:pt>
                <c:pt idx="43">
                  <c:v>125</c:v>
                </c:pt>
                <c:pt idx="44">
                  <c:v>128</c:v>
                </c:pt>
                <c:pt idx="45">
                  <c:v>130</c:v>
                </c:pt>
                <c:pt idx="46">
                  <c:v>133</c:v>
                </c:pt>
                <c:pt idx="47">
                  <c:v>136</c:v>
                </c:pt>
                <c:pt idx="48">
                  <c:v>139</c:v>
                </c:pt>
                <c:pt idx="49">
                  <c:v>142</c:v>
                </c:pt>
                <c:pt idx="50">
                  <c:v>144</c:v>
                </c:pt>
                <c:pt idx="51">
                  <c:v>147</c:v>
                </c:pt>
                <c:pt idx="52">
                  <c:v>149</c:v>
                </c:pt>
                <c:pt idx="53">
                  <c:v>151</c:v>
                </c:pt>
                <c:pt idx="54">
                  <c:v>153</c:v>
                </c:pt>
                <c:pt idx="55">
                  <c:v>154</c:v>
                </c:pt>
                <c:pt idx="56">
                  <c:v>154</c:v>
                </c:pt>
                <c:pt idx="57">
                  <c:v>155</c:v>
                </c:pt>
                <c:pt idx="58">
                  <c:v>154</c:v>
                </c:pt>
                <c:pt idx="59">
                  <c:v>154</c:v>
                </c:pt>
                <c:pt idx="60">
                  <c:v>153</c:v>
                </c:pt>
                <c:pt idx="61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EF-4B7B-AF27-34BB8F90937E}"/>
            </c:ext>
          </c:extLst>
        </c:ser>
        <c:ser>
          <c:idx val="4"/>
          <c:order val="4"/>
          <c:tx>
            <c:strRef>
              <c:f>'Meting (2)'!$H$2</c:f>
              <c:strCache>
                <c:ptCount val="1"/>
                <c:pt idx="0">
                  <c:v>PV (°C)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'Meting (2)'!$C$3:$C$64</c:f>
              <c:numCache>
                <c:formatCode>General</c:formatCode>
                <c:ptCount val="6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</c:numCache>
            </c:numRef>
          </c:xVal>
          <c:yVal>
            <c:numRef>
              <c:f>'Meting (2)'!$H$3:$H$64</c:f>
              <c:numCache>
                <c:formatCode>0</c:formatCode>
                <c:ptCount val="62"/>
                <c:pt idx="0">
                  <c:v>32</c:v>
                </c:pt>
                <c:pt idx="1">
                  <c:v>32</c:v>
                </c:pt>
                <c:pt idx="2">
                  <c:v>36</c:v>
                </c:pt>
                <c:pt idx="3">
                  <c:v>42</c:v>
                </c:pt>
                <c:pt idx="4">
                  <c:v>51</c:v>
                </c:pt>
                <c:pt idx="5">
                  <c:v>60</c:v>
                </c:pt>
                <c:pt idx="6">
                  <c:v>69</c:v>
                </c:pt>
                <c:pt idx="7">
                  <c:v>76</c:v>
                </c:pt>
                <c:pt idx="8">
                  <c:v>80</c:v>
                </c:pt>
                <c:pt idx="9">
                  <c:v>83</c:v>
                </c:pt>
                <c:pt idx="10">
                  <c:v>85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88</c:v>
                </c:pt>
                <c:pt idx="15">
                  <c:v>89</c:v>
                </c:pt>
                <c:pt idx="16">
                  <c:v>89</c:v>
                </c:pt>
                <c:pt idx="17">
                  <c:v>91</c:v>
                </c:pt>
                <c:pt idx="18">
                  <c:v>92</c:v>
                </c:pt>
                <c:pt idx="19">
                  <c:v>96</c:v>
                </c:pt>
                <c:pt idx="20">
                  <c:v>102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130</c:v>
                </c:pt>
                <c:pt idx="25">
                  <c:v>133</c:v>
                </c:pt>
                <c:pt idx="26">
                  <c:v>135</c:v>
                </c:pt>
                <c:pt idx="27">
                  <c:v>136</c:v>
                </c:pt>
                <c:pt idx="28">
                  <c:v>136</c:v>
                </c:pt>
                <c:pt idx="29">
                  <c:v>136</c:v>
                </c:pt>
                <c:pt idx="30">
                  <c:v>136</c:v>
                </c:pt>
                <c:pt idx="31">
                  <c:v>136</c:v>
                </c:pt>
                <c:pt idx="32">
                  <c:v>136</c:v>
                </c:pt>
                <c:pt idx="33">
                  <c:v>136</c:v>
                </c:pt>
                <c:pt idx="34">
                  <c:v>136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134</c:v>
                </c:pt>
                <c:pt idx="39">
                  <c:v>134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136</c:v>
                </c:pt>
                <c:pt idx="44">
                  <c:v>138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151</c:v>
                </c:pt>
                <c:pt idx="49">
                  <c:v>154</c:v>
                </c:pt>
                <c:pt idx="50">
                  <c:v>159</c:v>
                </c:pt>
                <c:pt idx="51">
                  <c:v>162</c:v>
                </c:pt>
                <c:pt idx="52">
                  <c:v>165</c:v>
                </c:pt>
                <c:pt idx="53">
                  <c:v>167</c:v>
                </c:pt>
                <c:pt idx="54">
                  <c:v>167</c:v>
                </c:pt>
                <c:pt idx="55">
                  <c:v>167</c:v>
                </c:pt>
                <c:pt idx="56">
                  <c:v>167</c:v>
                </c:pt>
                <c:pt idx="57">
                  <c:v>166</c:v>
                </c:pt>
                <c:pt idx="58">
                  <c:v>165</c:v>
                </c:pt>
                <c:pt idx="59">
                  <c:v>163</c:v>
                </c:pt>
                <c:pt idx="60">
                  <c:v>162</c:v>
                </c:pt>
                <c:pt idx="6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EF-4B7B-AF27-34BB8F90937E}"/>
            </c:ext>
          </c:extLst>
        </c:ser>
        <c:ser>
          <c:idx val="5"/>
          <c:order val="5"/>
          <c:tx>
            <c:strRef>
              <c:f>'Meting (2)'!$I$2</c:f>
              <c:strCache>
                <c:ptCount val="1"/>
                <c:pt idx="0">
                  <c:v>PV (°C)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'Meting (2)'!$C$3:$C$64</c:f>
              <c:numCache>
                <c:formatCode>General</c:formatCode>
                <c:ptCount val="6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</c:numCache>
            </c:numRef>
          </c:xVal>
          <c:yVal>
            <c:numRef>
              <c:f>'Meting (2)'!$I$3:$I$64</c:f>
              <c:numCache>
                <c:formatCode>0</c:formatCode>
                <c:ptCount val="6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41</c:v>
                </c:pt>
                <c:pt idx="11">
                  <c:v>48</c:v>
                </c:pt>
                <c:pt idx="12">
                  <c:v>57</c:v>
                </c:pt>
                <c:pt idx="13">
                  <c:v>69</c:v>
                </c:pt>
                <c:pt idx="14">
                  <c:v>80</c:v>
                </c:pt>
                <c:pt idx="15">
                  <c:v>89</c:v>
                </c:pt>
                <c:pt idx="16">
                  <c:v>95</c:v>
                </c:pt>
                <c:pt idx="17">
                  <c:v>100</c:v>
                </c:pt>
                <c:pt idx="18">
                  <c:v>103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110</c:v>
                </c:pt>
                <c:pt idx="23">
                  <c:v>111</c:v>
                </c:pt>
                <c:pt idx="24">
                  <c:v>114</c:v>
                </c:pt>
                <c:pt idx="25">
                  <c:v>118</c:v>
                </c:pt>
                <c:pt idx="26">
                  <c:v>122</c:v>
                </c:pt>
                <c:pt idx="27">
                  <c:v>126</c:v>
                </c:pt>
                <c:pt idx="28">
                  <c:v>128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139</c:v>
                </c:pt>
                <c:pt idx="41">
                  <c:v>139</c:v>
                </c:pt>
                <c:pt idx="42">
                  <c:v>139</c:v>
                </c:pt>
                <c:pt idx="43">
                  <c:v>139</c:v>
                </c:pt>
                <c:pt idx="44">
                  <c:v>140</c:v>
                </c:pt>
                <c:pt idx="45">
                  <c:v>141</c:v>
                </c:pt>
                <c:pt idx="46">
                  <c:v>143</c:v>
                </c:pt>
                <c:pt idx="47">
                  <c:v>146</c:v>
                </c:pt>
                <c:pt idx="48">
                  <c:v>150</c:v>
                </c:pt>
                <c:pt idx="49">
                  <c:v>154</c:v>
                </c:pt>
                <c:pt idx="50">
                  <c:v>159</c:v>
                </c:pt>
                <c:pt idx="51">
                  <c:v>163</c:v>
                </c:pt>
                <c:pt idx="52">
                  <c:v>166</c:v>
                </c:pt>
                <c:pt idx="53">
                  <c:v>167</c:v>
                </c:pt>
                <c:pt idx="54">
                  <c:v>168</c:v>
                </c:pt>
                <c:pt idx="55">
                  <c:v>168</c:v>
                </c:pt>
                <c:pt idx="56">
                  <c:v>169</c:v>
                </c:pt>
                <c:pt idx="57">
                  <c:v>170</c:v>
                </c:pt>
                <c:pt idx="58">
                  <c:v>169</c:v>
                </c:pt>
                <c:pt idx="59">
                  <c:v>169</c:v>
                </c:pt>
                <c:pt idx="60">
                  <c:v>167</c:v>
                </c:pt>
                <c:pt idx="61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EF-4B7B-AF27-34BB8F90937E}"/>
            </c:ext>
          </c:extLst>
        </c:ser>
        <c:ser>
          <c:idx val="6"/>
          <c:order val="6"/>
          <c:tx>
            <c:strRef>
              <c:f>'Meting (2)'!$J$2</c:f>
              <c:strCache>
                <c:ptCount val="1"/>
                <c:pt idx="0">
                  <c:v>PV (°C)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'Meting (2)'!$C$3:$C$64</c:f>
              <c:numCache>
                <c:formatCode>General</c:formatCode>
                <c:ptCount val="6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</c:numCache>
            </c:numRef>
          </c:xVal>
          <c:yVal>
            <c:numRef>
              <c:f>'Meting (2)'!$J$3:$J$64</c:f>
              <c:numCache>
                <c:formatCode>0</c:formatCode>
                <c:ptCount val="62"/>
                <c:pt idx="0">
                  <c:v>32</c:v>
                </c:pt>
                <c:pt idx="1">
                  <c:v>32</c:v>
                </c:pt>
                <c:pt idx="2">
                  <c:v>36</c:v>
                </c:pt>
                <c:pt idx="3">
                  <c:v>42</c:v>
                </c:pt>
                <c:pt idx="4">
                  <c:v>48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68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77</c:v>
                </c:pt>
                <c:pt idx="16">
                  <c:v>79</c:v>
                </c:pt>
                <c:pt idx="17">
                  <c:v>84</c:v>
                </c:pt>
                <c:pt idx="18">
                  <c:v>90</c:v>
                </c:pt>
                <c:pt idx="19">
                  <c:v>98</c:v>
                </c:pt>
                <c:pt idx="20">
                  <c:v>107</c:v>
                </c:pt>
                <c:pt idx="21">
                  <c:v>116</c:v>
                </c:pt>
                <c:pt idx="22">
                  <c:v>122</c:v>
                </c:pt>
                <c:pt idx="23">
                  <c:v>127</c:v>
                </c:pt>
                <c:pt idx="24">
                  <c:v>130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131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137</c:v>
                </c:pt>
                <c:pt idx="42">
                  <c:v>139</c:v>
                </c:pt>
                <c:pt idx="43">
                  <c:v>141</c:v>
                </c:pt>
                <c:pt idx="44">
                  <c:v>142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148</c:v>
                </c:pt>
                <c:pt idx="49">
                  <c:v>152</c:v>
                </c:pt>
                <c:pt idx="50">
                  <c:v>154</c:v>
                </c:pt>
                <c:pt idx="51">
                  <c:v>158</c:v>
                </c:pt>
                <c:pt idx="52">
                  <c:v>162</c:v>
                </c:pt>
                <c:pt idx="53">
                  <c:v>164</c:v>
                </c:pt>
                <c:pt idx="54">
                  <c:v>167</c:v>
                </c:pt>
                <c:pt idx="55">
                  <c:v>168</c:v>
                </c:pt>
                <c:pt idx="56">
                  <c:v>169</c:v>
                </c:pt>
                <c:pt idx="57">
                  <c:v>169</c:v>
                </c:pt>
                <c:pt idx="58">
                  <c:v>168</c:v>
                </c:pt>
                <c:pt idx="59">
                  <c:v>167</c:v>
                </c:pt>
                <c:pt idx="60">
                  <c:v>166</c:v>
                </c:pt>
                <c:pt idx="61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EF-4B7B-AF27-34BB8F90937E}"/>
            </c:ext>
          </c:extLst>
        </c:ser>
        <c:ser>
          <c:idx val="7"/>
          <c:order val="7"/>
          <c:tx>
            <c:strRef>
              <c:f>'Meting (2)'!$K$2</c:f>
              <c:strCache>
                <c:ptCount val="1"/>
                <c:pt idx="0">
                  <c:v>PV (°C)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'Meting (2)'!$C$3:$C$64</c:f>
              <c:numCache>
                <c:formatCode>General</c:formatCode>
                <c:ptCount val="6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</c:numCache>
            </c:numRef>
          </c:xVal>
          <c:yVal>
            <c:numRef>
              <c:f>'Meting (2)'!$K$3:$K$64</c:f>
              <c:numCache>
                <c:formatCode>0</c:formatCode>
                <c:ptCount val="6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38</c:v>
                </c:pt>
                <c:pt idx="10">
                  <c:v>45</c:v>
                </c:pt>
                <c:pt idx="11">
                  <c:v>55</c:v>
                </c:pt>
                <c:pt idx="12">
                  <c:v>67</c:v>
                </c:pt>
                <c:pt idx="13">
                  <c:v>81</c:v>
                </c:pt>
                <c:pt idx="14">
                  <c:v>93</c:v>
                </c:pt>
                <c:pt idx="15">
                  <c:v>102</c:v>
                </c:pt>
                <c:pt idx="16">
                  <c:v>108</c:v>
                </c:pt>
                <c:pt idx="17">
                  <c:v>113</c:v>
                </c:pt>
                <c:pt idx="18">
                  <c:v>116</c:v>
                </c:pt>
                <c:pt idx="19">
                  <c:v>117</c:v>
                </c:pt>
                <c:pt idx="20">
                  <c:v>118</c:v>
                </c:pt>
                <c:pt idx="21">
                  <c:v>120</c:v>
                </c:pt>
                <c:pt idx="22">
                  <c:v>121</c:v>
                </c:pt>
                <c:pt idx="23">
                  <c:v>121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123</c:v>
                </c:pt>
                <c:pt idx="28">
                  <c:v>124</c:v>
                </c:pt>
                <c:pt idx="29">
                  <c:v>126</c:v>
                </c:pt>
                <c:pt idx="30">
                  <c:v>129</c:v>
                </c:pt>
                <c:pt idx="31">
                  <c:v>132</c:v>
                </c:pt>
                <c:pt idx="32">
                  <c:v>135</c:v>
                </c:pt>
                <c:pt idx="33">
                  <c:v>137</c:v>
                </c:pt>
                <c:pt idx="34">
                  <c:v>139</c:v>
                </c:pt>
                <c:pt idx="35">
                  <c:v>139</c:v>
                </c:pt>
                <c:pt idx="36">
                  <c:v>139</c:v>
                </c:pt>
                <c:pt idx="37">
                  <c:v>140</c:v>
                </c:pt>
                <c:pt idx="38">
                  <c:v>140</c:v>
                </c:pt>
                <c:pt idx="39">
                  <c:v>139</c:v>
                </c:pt>
                <c:pt idx="40">
                  <c:v>139</c:v>
                </c:pt>
                <c:pt idx="41">
                  <c:v>139</c:v>
                </c:pt>
                <c:pt idx="42">
                  <c:v>139</c:v>
                </c:pt>
                <c:pt idx="43">
                  <c:v>138</c:v>
                </c:pt>
                <c:pt idx="44">
                  <c:v>138</c:v>
                </c:pt>
                <c:pt idx="45">
                  <c:v>141</c:v>
                </c:pt>
                <c:pt idx="46">
                  <c:v>145</c:v>
                </c:pt>
                <c:pt idx="47">
                  <c:v>150</c:v>
                </c:pt>
                <c:pt idx="48">
                  <c:v>156</c:v>
                </c:pt>
                <c:pt idx="49">
                  <c:v>160</c:v>
                </c:pt>
                <c:pt idx="50">
                  <c:v>166</c:v>
                </c:pt>
                <c:pt idx="51">
                  <c:v>170</c:v>
                </c:pt>
                <c:pt idx="52">
                  <c:v>172</c:v>
                </c:pt>
                <c:pt idx="53">
                  <c:v>174</c:v>
                </c:pt>
                <c:pt idx="54">
                  <c:v>174</c:v>
                </c:pt>
                <c:pt idx="55">
                  <c:v>174</c:v>
                </c:pt>
                <c:pt idx="56">
                  <c:v>173</c:v>
                </c:pt>
                <c:pt idx="57">
                  <c:v>172</c:v>
                </c:pt>
                <c:pt idx="58">
                  <c:v>170</c:v>
                </c:pt>
                <c:pt idx="59">
                  <c:v>169</c:v>
                </c:pt>
                <c:pt idx="60">
                  <c:v>167</c:v>
                </c:pt>
                <c:pt idx="61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EF-4B7B-AF27-34BB8F90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09192"/>
        <c:axId val="592316392"/>
      </c:scatterChart>
      <c:valAx>
        <c:axId val="59230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2316392"/>
        <c:crosses val="autoZero"/>
        <c:crossBetween val="midCat"/>
      </c:valAx>
      <c:valAx>
        <c:axId val="5923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230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52386</xdr:rowOff>
    </xdr:from>
    <xdr:to>
      <xdr:col>18</xdr:col>
      <xdr:colOff>514350</xdr:colOff>
      <xdr:row>22</xdr:row>
      <xdr:rowOff>38099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280F123-B48D-6A37-0E17-EFE5B80AB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6</xdr:row>
      <xdr:rowOff>76200</xdr:rowOff>
    </xdr:from>
    <xdr:to>
      <xdr:col>19</xdr:col>
      <xdr:colOff>200025</xdr:colOff>
      <xdr:row>10</xdr:row>
      <xdr:rowOff>85725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AE08CAF-1EB6-4FF2-9189-8E9ED0609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049250" y="1219200"/>
          <a:ext cx="1971675" cy="7715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47625</xdr:colOff>
      <xdr:row>14</xdr:row>
      <xdr:rowOff>9525</xdr:rowOff>
    </xdr:from>
    <xdr:to>
      <xdr:col>20</xdr:col>
      <xdr:colOff>409575</xdr:colOff>
      <xdr:row>18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938C73B4-C015-4040-ADB1-CEBCB623B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039725" y="2676525"/>
          <a:ext cx="2800350" cy="7524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47625</xdr:colOff>
      <xdr:row>25</xdr:row>
      <xdr:rowOff>0</xdr:rowOff>
    </xdr:from>
    <xdr:to>
      <xdr:col>19</xdr:col>
      <xdr:colOff>400050</xdr:colOff>
      <xdr:row>35</xdr:row>
      <xdr:rowOff>28575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B701F9A0-0D9B-4685-B534-E34718A30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039725" y="4762500"/>
          <a:ext cx="2181225" cy="19335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9526</xdr:colOff>
      <xdr:row>1</xdr:row>
      <xdr:rowOff>0</xdr:rowOff>
    </xdr:from>
    <xdr:to>
      <xdr:col>24</xdr:col>
      <xdr:colOff>322412</xdr:colOff>
      <xdr:row>33</xdr:row>
      <xdr:rowOff>152400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11F8009A-BA5D-63A3-F7B4-7C32BE99F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6" y="190500"/>
          <a:ext cx="8237686" cy="624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171450</xdr:rowOff>
    </xdr:from>
    <xdr:to>
      <xdr:col>9</xdr:col>
      <xdr:colOff>391262</xdr:colOff>
      <xdr:row>17</xdr:row>
      <xdr:rowOff>38533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E0C88071-D79E-ABB5-6F6F-86CA3E3D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71450"/>
          <a:ext cx="5277587" cy="3105583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1</xdr:row>
      <xdr:rowOff>9525</xdr:rowOff>
    </xdr:from>
    <xdr:to>
      <xdr:col>26</xdr:col>
      <xdr:colOff>286554</xdr:colOff>
      <xdr:row>17</xdr:row>
      <xdr:rowOff>171898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6F690B50-B99A-CE60-6A5D-6DE2DCEB2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200025"/>
          <a:ext cx="5763429" cy="32103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52386</xdr:rowOff>
    </xdr:from>
    <xdr:to>
      <xdr:col>27</xdr:col>
      <xdr:colOff>47625</xdr:colOff>
      <xdr:row>24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21221AD-FA44-4023-9EC4-06348F30A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41"/>
  <sheetViews>
    <sheetView workbookViewId="0">
      <selection activeCell="U20" sqref="U20"/>
    </sheetView>
  </sheetViews>
  <sheetFormatPr defaultRowHeight="15" x14ac:dyDescent="0.25"/>
  <cols>
    <col min="3" max="4" width="9.140625" style="1"/>
    <col min="5" max="5" width="12" bestFit="1" customWidth="1"/>
    <col min="6" max="6" width="12" customWidth="1"/>
    <col min="7" max="7" width="16.42578125" bestFit="1" customWidth="1"/>
  </cols>
  <sheetData>
    <row r="2" spans="3:6" x14ac:dyDescent="0.25">
      <c r="C2" s="2" t="s">
        <v>0</v>
      </c>
      <c r="D2" s="2" t="s">
        <v>1</v>
      </c>
      <c r="E2" s="11" t="s">
        <v>114</v>
      </c>
      <c r="F2" s="11" t="s">
        <v>114</v>
      </c>
    </row>
    <row r="3" spans="3:6" x14ac:dyDescent="0.25">
      <c r="C3" s="1">
        <v>0</v>
      </c>
      <c r="D3" s="1">
        <v>25</v>
      </c>
      <c r="E3" s="6">
        <v>25</v>
      </c>
      <c r="F3" s="6">
        <v>25</v>
      </c>
    </row>
    <row r="4" spans="3:6" x14ac:dyDescent="0.25">
      <c r="C4" s="1">
        <f>C3+5</f>
        <v>5</v>
      </c>
      <c r="D4" s="1">
        <v>26</v>
      </c>
      <c r="E4" s="6">
        <v>29</v>
      </c>
      <c r="F4" s="6">
        <v>29</v>
      </c>
    </row>
    <row r="5" spans="3:6" x14ac:dyDescent="0.25">
      <c r="C5" s="1">
        <f t="shared" ref="C5:C41" si="0">C4+5</f>
        <v>10</v>
      </c>
      <c r="D5" s="1">
        <v>29</v>
      </c>
      <c r="E5" s="6">
        <f>Q$28*100+Q$29*100+Q$27*E3</f>
        <v>54.065361225676334</v>
      </c>
      <c r="F5" s="6">
        <f>'S to Z'!D$16*100+'S to Z'!F$16*100-'S to Z'!H$16*F4</f>
        <v>40.84299516908213</v>
      </c>
    </row>
    <row r="6" spans="3:6" x14ac:dyDescent="0.25">
      <c r="C6" s="1">
        <f t="shared" si="0"/>
        <v>15</v>
      </c>
      <c r="D6" s="1">
        <v>40</v>
      </c>
      <c r="E6" s="6">
        <f t="shared" ref="E6:E41" si="1">Q$28*100+Q$29*100+Q$27*E4</f>
        <v>57.644718492933812</v>
      </c>
      <c r="F6" s="6">
        <f>'S to Z'!D$16*100+'S to Z'!F$16*100-'S to Z'!H$16*F5</f>
        <v>52.171077504725901</v>
      </c>
    </row>
    <row r="7" spans="3:6" x14ac:dyDescent="0.25">
      <c r="C7" s="1">
        <f t="shared" si="0"/>
        <v>20</v>
      </c>
      <c r="D7" s="1">
        <v>58</v>
      </c>
      <c r="E7" s="6">
        <f t="shared" si="1"/>
        <v>80.074189207823423</v>
      </c>
      <c r="F7" s="6">
        <f>'S to Z'!D$16*100+'S to Z'!F$16*100-'S to Z'!H$16*F6</f>
        <v>63.006634521428637</v>
      </c>
    </row>
    <row r="8" spans="3:6" x14ac:dyDescent="0.25">
      <c r="C8" s="1">
        <f t="shared" si="0"/>
        <v>25</v>
      </c>
      <c r="D8" s="1">
        <v>75</v>
      </c>
      <c r="E8" s="6">
        <f t="shared" si="1"/>
        <v>83.277138819490645</v>
      </c>
      <c r="F8" s="6">
        <f>'S to Z'!D$16*100+'S to Z'!F$16*100-'S to Z'!H$16*F7</f>
        <v>73.371080363492126</v>
      </c>
    </row>
    <row r="9" spans="3:6" x14ac:dyDescent="0.25">
      <c r="C9" s="1">
        <f t="shared" si="0"/>
        <v>30</v>
      </c>
      <c r="D9" s="1">
        <v>87</v>
      </c>
      <c r="E9" s="6">
        <f t="shared" si="1"/>
        <v>103.34791107051038</v>
      </c>
      <c r="F9" s="6">
        <f>'S to Z'!D$16*100+'S to Z'!F$16*100-'S to Z'!H$16*F8</f>
        <v>83.284898125465901</v>
      </c>
    </row>
    <row r="10" spans="3:6" x14ac:dyDescent="0.25">
      <c r="C10" s="1">
        <f t="shared" si="0"/>
        <v>35</v>
      </c>
      <c r="D10" s="1">
        <v>97</v>
      </c>
      <c r="E10" s="6">
        <f t="shared" si="1"/>
        <v>106.21403631280553</v>
      </c>
      <c r="F10" s="6">
        <f>'S to Z'!D$16*100+'S to Z'!F$16*100-'S to Z'!H$16*F9</f>
        <v>92.76768033257126</v>
      </c>
    </row>
    <row r="11" spans="3:6" x14ac:dyDescent="0.25">
      <c r="C11" s="1">
        <f t="shared" si="0"/>
        <v>40</v>
      </c>
      <c r="D11" s="1">
        <v>112</v>
      </c>
      <c r="E11" s="6">
        <f t="shared" si="1"/>
        <v>124.17415244184484</v>
      </c>
      <c r="F11" s="6">
        <f>'S to Z'!D$16*100+'S to Z'!F$16*100-'S to Z'!H$16*F10</f>
        <v>101.83816766110681</v>
      </c>
    </row>
    <row r="12" spans="3:6" x14ac:dyDescent="0.25">
      <c r="C12" s="1">
        <f t="shared" si="0"/>
        <v>45</v>
      </c>
      <c r="D12" s="1">
        <v>129</v>
      </c>
      <c r="E12" s="6">
        <f t="shared" si="1"/>
        <v>126.73887399556466</v>
      </c>
      <c r="F12" s="6">
        <f>'S to Z'!D$16*100+'S to Z'!F$16*100-'S to Z'!H$16*F11</f>
        <v>110.51428597535821</v>
      </c>
    </row>
    <row r="13" spans="3:6" x14ac:dyDescent="0.25">
      <c r="C13" s="1">
        <f t="shared" si="0"/>
        <v>50</v>
      </c>
      <c r="D13" s="1">
        <v>147</v>
      </c>
      <c r="E13" s="6">
        <f t="shared" si="1"/>
        <v>142.81029204238092</v>
      </c>
      <c r="F13" s="6">
        <f>'S to Z'!D$16*100+'S to Z'!F$16*100-'S to Z'!H$16*F12</f>
        <v>118.81318175420738</v>
      </c>
    </row>
    <row r="14" spans="3:6" x14ac:dyDescent="0.25">
      <c r="C14" s="1">
        <f t="shared" si="0"/>
        <v>55</v>
      </c>
      <c r="D14" s="1">
        <v>162</v>
      </c>
      <c r="E14" s="6">
        <f t="shared" si="1"/>
        <v>145.10530572533065</v>
      </c>
      <c r="F14" s="6">
        <f>'S to Z'!D$16*100+'S to Z'!F$16*100-'S to Z'!H$16*F13</f>
        <v>126.75125597745441</v>
      </c>
    </row>
    <row r="15" spans="3:6" x14ac:dyDescent="0.25">
      <c r="C15" s="1">
        <f t="shared" si="0"/>
        <v>60</v>
      </c>
      <c r="D15" s="1">
        <v>173</v>
      </c>
      <c r="E15" s="6">
        <f t="shared" si="1"/>
        <v>159.48664247058184</v>
      </c>
      <c r="F15" s="6">
        <f>'S to Z'!D$16*100+'S to Z'!F$16*100-'S to Z'!H$16*F14</f>
        <v>134.34419653882111</v>
      </c>
    </row>
    <row r="16" spans="3:6" x14ac:dyDescent="0.25">
      <c r="C16" s="1">
        <f t="shared" si="0"/>
        <v>65</v>
      </c>
      <c r="D16" s="1">
        <v>184</v>
      </c>
      <c r="E16" s="6">
        <f t="shared" si="1"/>
        <v>161.54031094671222</v>
      </c>
      <c r="F16" s="6">
        <f>'S to Z'!D$16*100+'S to Z'!F$16*100-'S to Z'!H$16*F15</f>
        <v>141.60700924969362</v>
      </c>
    </row>
    <row r="17" spans="3:17" x14ac:dyDescent="0.25">
      <c r="C17" s="1">
        <f t="shared" si="0"/>
        <v>70</v>
      </c>
      <c r="D17" s="1">
        <v>192</v>
      </c>
      <c r="E17" s="6">
        <f t="shared" si="1"/>
        <v>174.40929649471019</v>
      </c>
      <c r="F17" s="6">
        <f>'S to Z'!D$16*100+'S to Z'!F$16*100-'S to Z'!H$16*F16</f>
        <v>148.55404749487602</v>
      </c>
    </row>
    <row r="18" spans="3:17" x14ac:dyDescent="0.25">
      <c r="C18" s="1">
        <f t="shared" si="0"/>
        <v>75</v>
      </c>
      <c r="D18" s="1">
        <v>200</v>
      </c>
      <c r="E18" s="6">
        <f t="shared" si="1"/>
        <v>176.24699979085392</v>
      </c>
      <c r="F18" s="6">
        <f>'S to Z'!D$16*100+'S to Z'!F$16*100-'S to Z'!H$16*F17</f>
        <v>155.19904059896353</v>
      </c>
    </row>
    <row r="19" spans="3:17" x14ac:dyDescent="0.25">
      <c r="C19" s="1">
        <f t="shared" si="0"/>
        <v>80</v>
      </c>
      <c r="D19" s="1">
        <v>205</v>
      </c>
      <c r="E19" s="6">
        <f t="shared" si="1"/>
        <v>187.7626740267184</v>
      </c>
      <c r="F19" s="6">
        <f>'S to Z'!D$16*100+'S to Z'!F$16*100-'S to Z'!H$16*F18</f>
        <v>161.55512095939508</v>
      </c>
    </row>
    <row r="20" spans="3:17" x14ac:dyDescent="0.25">
      <c r="C20" s="1">
        <f t="shared" si="0"/>
        <v>85</v>
      </c>
      <c r="D20" s="1">
        <v>212</v>
      </c>
      <c r="E20" s="6">
        <f t="shared" si="1"/>
        <v>189.40712318874719</v>
      </c>
      <c r="F20" s="6">
        <f>'S to Z'!D$16*100+'S to Z'!F$16*100-'S to Z'!H$16*F19</f>
        <v>167.63484999980787</v>
      </c>
    </row>
    <row r="21" spans="3:17" x14ac:dyDescent="0.25">
      <c r="C21" s="1">
        <f t="shared" si="0"/>
        <v>90</v>
      </c>
      <c r="D21" s="1">
        <v>215</v>
      </c>
      <c r="E21" s="6">
        <f t="shared" si="1"/>
        <v>199.71180125462499</v>
      </c>
      <c r="F21" s="6">
        <f>'S to Z'!D$16*100+'S to Z'!F$16*100-'S to Z'!H$16*F20</f>
        <v>173.4502429949853</v>
      </c>
    </row>
    <row r="22" spans="3:17" x14ac:dyDescent="0.25">
      <c r="C22" s="1">
        <f t="shared" si="0"/>
        <v>95</v>
      </c>
      <c r="D22" s="1">
        <v>220</v>
      </c>
      <c r="E22" s="6">
        <f t="shared" si="1"/>
        <v>201.1833190193108</v>
      </c>
      <c r="F22" s="6">
        <f>'S to Z'!D$16*100+'S to Z'!F$16*100-'S to Z'!H$16*F21</f>
        <v>179.01279281645938</v>
      </c>
    </row>
    <row r="23" spans="3:17" x14ac:dyDescent="0.25">
      <c r="C23" s="1">
        <f t="shared" si="0"/>
        <v>100</v>
      </c>
      <c r="D23" s="1">
        <v>223</v>
      </c>
      <c r="E23" s="6">
        <f t="shared" si="1"/>
        <v>210.4043500997729</v>
      </c>
      <c r="F23" s="6">
        <f>'S to Z'!D$16*100+'S to Z'!F$16*100-'S to Z'!H$16*F22</f>
        <v>184.33349264569546</v>
      </c>
    </row>
    <row r="24" spans="3:17" x14ac:dyDescent="0.25">
      <c r="C24" s="1">
        <f t="shared" si="0"/>
        <v>105</v>
      </c>
      <c r="D24" s="1">
        <v>226</v>
      </c>
      <c r="E24" s="6">
        <f t="shared" si="1"/>
        <v>211.72112205100458</v>
      </c>
      <c r="F24" s="6">
        <f>'S to Z'!D$16*100+'S to Z'!F$16*100-'S to Z'!H$16*F23</f>
        <v>189.42285769974737</v>
      </c>
    </row>
    <row r="25" spans="3:17" x14ac:dyDescent="0.25">
      <c r="C25" s="1">
        <f t="shared" si="0"/>
        <v>110</v>
      </c>
      <c r="D25" s="1">
        <v>228</v>
      </c>
      <c r="E25" s="6">
        <f t="shared" si="1"/>
        <v>219.97246320336936</v>
      </c>
      <c r="F25" s="6">
        <f>'S to Z'!D$16*100+'S to Z'!F$16*100-'S to Z'!H$16*F24</f>
        <v>194.29094601231876</v>
      </c>
      <c r="G25" t="s">
        <v>116</v>
      </c>
      <c r="H25">
        <f>82-10</f>
        <v>72</v>
      </c>
    </row>
    <row r="26" spans="3:17" x14ac:dyDescent="0.25">
      <c r="C26" s="1">
        <f t="shared" si="0"/>
        <v>115</v>
      </c>
      <c r="D26" s="1">
        <v>230</v>
      </c>
      <c r="E26" s="6">
        <f t="shared" si="1"/>
        <v>221.15076251660983</v>
      </c>
      <c r="F26" s="6">
        <f>'S to Z'!D$16*100+'S to Z'!F$16*100-'S to Z'!H$16*F25</f>
        <v>198.94737831130007</v>
      </c>
      <c r="G26" t="s">
        <v>2</v>
      </c>
      <c r="H26">
        <f>242-25</f>
        <v>217</v>
      </c>
      <c r="I26" t="s">
        <v>3</v>
      </c>
      <c r="K26" t="s">
        <v>98</v>
      </c>
    </row>
    <row r="27" spans="3:17" x14ac:dyDescent="0.25">
      <c r="C27" s="1">
        <f t="shared" si="0"/>
        <v>120</v>
      </c>
      <c r="D27" s="1">
        <v>232</v>
      </c>
      <c r="E27" s="6">
        <f t="shared" si="1"/>
        <v>228.53438699619423</v>
      </c>
      <c r="F27" s="6">
        <f>'S to Z'!D$16*100+'S to Z'!F$16*100-'S to Z'!H$16*F26</f>
        <v>203.40135703206482</v>
      </c>
      <c r="G27" t="s">
        <v>4</v>
      </c>
      <c r="H27" s="13">
        <f>H26/H25</f>
        <v>3.0138888888888888</v>
      </c>
      <c r="I27" t="s">
        <v>5</v>
      </c>
      <c r="K27" t="s">
        <v>99</v>
      </c>
      <c r="L27">
        <v>2</v>
      </c>
      <c r="M27" t="s">
        <v>102</v>
      </c>
      <c r="P27" t="s">
        <v>43</v>
      </c>
      <c r="Q27" s="12">
        <f>PID!R20</f>
        <v>0.89483931681436979</v>
      </c>
    </row>
    <row r="28" spans="3:17" x14ac:dyDescent="0.25">
      <c r="C28" s="1">
        <f t="shared" si="0"/>
        <v>125</v>
      </c>
      <c r="D28" s="1">
        <v>234</v>
      </c>
      <c r="E28" s="6">
        <f t="shared" si="1"/>
        <v>229.58877554865717</v>
      </c>
      <c r="F28" s="6">
        <f>'S to Z'!D$16*100+'S to Z'!F$16*100-'S to Z'!H$16*F27</f>
        <v>207.66168450410066</v>
      </c>
      <c r="G28" t="s">
        <v>6</v>
      </c>
      <c r="H28">
        <v>10</v>
      </c>
      <c r="I28" t="s">
        <v>7</v>
      </c>
      <c r="K28" t="s">
        <v>100</v>
      </c>
      <c r="L28">
        <v>17</v>
      </c>
      <c r="P28" t="s">
        <v>110</v>
      </c>
      <c r="Q28">
        <f>PID!R21</f>
        <v>0.31694378305317089</v>
      </c>
    </row>
    <row r="29" spans="3:17" x14ac:dyDescent="0.25">
      <c r="C29" s="1">
        <f t="shared" si="0"/>
        <v>130</v>
      </c>
      <c r="D29" s="1">
        <v>235</v>
      </c>
      <c r="E29" s="6">
        <f t="shared" si="1"/>
        <v>236.19593303358232</v>
      </c>
      <c r="F29" s="6">
        <f>'S to Z'!D$16*100+'S to Z'!F$16*100-'S to Z'!H$16*F28</f>
        <v>211.73678034691756</v>
      </c>
      <c r="K29" t="s">
        <v>101</v>
      </c>
      <c r="L29">
        <v>4</v>
      </c>
      <c r="M29" t="s">
        <v>7</v>
      </c>
      <c r="P29" t="s">
        <v>111</v>
      </c>
      <c r="Q29">
        <f>PID!R22</f>
        <v>0</v>
      </c>
    </row>
    <row r="30" spans="3:17" x14ac:dyDescent="0.25">
      <c r="C30" s="1">
        <f t="shared" si="0"/>
        <v>135</v>
      </c>
      <c r="D30" s="1">
        <v>236</v>
      </c>
      <c r="E30" s="6">
        <f t="shared" si="1"/>
        <v>237.13944136552516</v>
      </c>
      <c r="F30" s="6">
        <f>'S to Z'!D$16*100+'S to Z'!F$16*100-'S to Z'!H$16*F29</f>
        <v>215.63469810961197</v>
      </c>
      <c r="G30" t="s">
        <v>8</v>
      </c>
      <c r="H30">
        <f>0.632*H26+25</f>
        <v>162.14400000000001</v>
      </c>
      <c r="I30" t="s">
        <v>3</v>
      </c>
      <c r="K30" t="s">
        <v>30</v>
      </c>
      <c r="L30">
        <v>5</v>
      </c>
      <c r="M30" t="s">
        <v>7</v>
      </c>
      <c r="P30" t="s">
        <v>49</v>
      </c>
      <c r="Q30">
        <v>1</v>
      </c>
    </row>
    <row r="31" spans="3:17" x14ac:dyDescent="0.25">
      <c r="C31" s="1">
        <f t="shared" si="0"/>
        <v>140</v>
      </c>
      <c r="D31" s="1">
        <v>237</v>
      </c>
      <c r="E31" s="6">
        <f t="shared" si="1"/>
        <v>243.05178565542053</v>
      </c>
      <c r="F31" s="6">
        <f>'S to Z'!D$16*100+'S to Z'!F$16*100-'S to Z'!H$16*F30</f>
        <v>219.36314118697186</v>
      </c>
      <c r="G31" t="s">
        <v>9</v>
      </c>
      <c r="H31">
        <v>55</v>
      </c>
      <c r="I31" t="s">
        <v>7</v>
      </c>
    </row>
    <row r="32" spans="3:17" x14ac:dyDescent="0.25">
      <c r="C32" s="1">
        <f t="shared" si="0"/>
        <v>145</v>
      </c>
      <c r="D32" s="1">
        <v>238</v>
      </c>
      <c r="E32" s="6">
        <f t="shared" si="1"/>
        <v>243.89607400658491</v>
      </c>
      <c r="F32" s="6">
        <f>'S to Z'!D$16*100+'S to Z'!F$16*100-'S to Z'!H$16*F31</f>
        <v>222.92947804357695</v>
      </c>
      <c r="G32" t="s">
        <v>10</v>
      </c>
      <c r="H32">
        <f>H31-H28</f>
        <v>45</v>
      </c>
      <c r="I32" t="s">
        <v>7</v>
      </c>
      <c r="P32" t="s">
        <v>112</v>
      </c>
      <c r="Q32" t="s">
        <v>113</v>
      </c>
    </row>
    <row r="33" spans="3:17" x14ac:dyDescent="0.25">
      <c r="C33" s="1">
        <f t="shared" si="0"/>
        <v>150</v>
      </c>
      <c r="D33" s="1">
        <v>239</v>
      </c>
      <c r="E33" s="6">
        <f t="shared" si="1"/>
        <v>249.18667213172623</v>
      </c>
      <c r="F33" s="6">
        <f>'S to Z'!D$16*100+'S to Z'!F$16*100-'S to Z'!H$16*F32</f>
        <v>226.34075677598182</v>
      </c>
      <c r="K33" t="s">
        <v>107</v>
      </c>
      <c r="L33" t="s">
        <v>108</v>
      </c>
    </row>
    <row r="34" spans="3:17" x14ac:dyDescent="0.25">
      <c r="C34" s="1">
        <f t="shared" si="0"/>
        <v>155</v>
      </c>
      <c r="D34" s="1">
        <v>240</v>
      </c>
      <c r="E34" s="6">
        <f t="shared" si="1"/>
        <v>249.9421745430765</v>
      </c>
      <c r="F34" s="6">
        <f>'S to Z'!D$16*100+'S to Z'!F$16*100-'S to Z'!H$16*F33</f>
        <v>229.6037190417604</v>
      </c>
      <c r="G34" t="s">
        <v>103</v>
      </c>
      <c r="H34">
        <f>0.95*H26+29</f>
        <v>235.14999999999998</v>
      </c>
      <c r="K34" t="s">
        <v>109</v>
      </c>
      <c r="P34" t="s">
        <v>43</v>
      </c>
      <c r="Q34" s="12">
        <f>H32/(H32+L30)</f>
        <v>0.9</v>
      </c>
    </row>
    <row r="35" spans="3:17" x14ac:dyDescent="0.25">
      <c r="C35" s="1">
        <f t="shared" si="0"/>
        <v>160</v>
      </c>
      <c r="D35" s="1">
        <v>240</v>
      </c>
      <c r="E35" s="6">
        <f t="shared" si="1"/>
        <v>254.67640975491733</v>
      </c>
      <c r="F35" s="6">
        <f>'S to Z'!D$16*100+'S to Z'!F$16*100-'S to Z'!H$16*F34</f>
        <v>232.72481338293991</v>
      </c>
      <c r="G35" t="s">
        <v>9</v>
      </c>
      <c r="H35">
        <v>130</v>
      </c>
      <c r="I35" t="s">
        <v>7</v>
      </c>
      <c r="P35" t="s">
        <v>115</v>
      </c>
      <c r="Q35">
        <f>H27*L30/(H32+L30)</f>
        <v>0.30138888888888887</v>
      </c>
    </row>
    <row r="36" spans="3:17" x14ac:dyDescent="0.25">
      <c r="C36" s="1">
        <f t="shared" si="0"/>
        <v>165</v>
      </c>
      <c r="D36" s="1">
        <v>241</v>
      </c>
      <c r="E36" s="6">
        <f t="shared" si="1"/>
        <v>255.35246301654163</v>
      </c>
      <c r="F36" s="6">
        <f>'S to Z'!D$16*100+'S to Z'!F$16*100-'S to Z'!H$16*F35</f>
        <v>235.7102079701551</v>
      </c>
      <c r="G36" t="s">
        <v>105</v>
      </c>
      <c r="H36">
        <f>H35-H28</f>
        <v>120</v>
      </c>
      <c r="I36" t="s">
        <v>7</v>
      </c>
      <c r="P36" t="s">
        <v>110</v>
      </c>
      <c r="Q36">
        <f>Q35*(1-H28/L30)</f>
        <v>-0.30138888888888887</v>
      </c>
    </row>
    <row r="37" spans="3:17" x14ac:dyDescent="0.25">
      <c r="C37" s="1">
        <f t="shared" si="0"/>
        <v>170</v>
      </c>
      <c r="D37" s="1">
        <v>241</v>
      </c>
      <c r="E37" s="6">
        <f t="shared" si="1"/>
        <v>259.58884281914379</v>
      </c>
      <c r="F37" s="6">
        <f>'S to Z'!D$16*100+'S to Z'!F$16*100-'S to Z'!H$16*F36</f>
        <v>238.56580279270875</v>
      </c>
      <c r="G37" t="s">
        <v>104</v>
      </c>
      <c r="H37">
        <f>H36/15</f>
        <v>8</v>
      </c>
      <c r="I37" t="s">
        <v>106</v>
      </c>
      <c r="J37">
        <f>H36/6</f>
        <v>20</v>
      </c>
      <c r="K37" t="s">
        <v>7</v>
      </c>
      <c r="P37" t="s">
        <v>111</v>
      </c>
      <c r="Q37">
        <f>H28/L30</f>
        <v>2</v>
      </c>
    </row>
    <row r="38" spans="3:17" x14ac:dyDescent="0.25">
      <c r="C38" s="1">
        <f t="shared" si="0"/>
        <v>175</v>
      </c>
      <c r="D38" s="1">
        <v>242</v>
      </c>
      <c r="E38" s="6">
        <f t="shared" si="1"/>
        <v>260.19380185790584</v>
      </c>
      <c r="F38" s="6">
        <f>'S to Z'!D$16*100+'S to Z'!F$16*100-'S to Z'!H$16*F37</f>
        <v>241.29724131862963</v>
      </c>
    </row>
    <row r="39" spans="3:17" x14ac:dyDescent="0.25">
      <c r="C39" s="1">
        <f t="shared" si="0"/>
        <v>180</v>
      </c>
      <c r="D39" s="1">
        <v>242</v>
      </c>
      <c r="E39" s="6">
        <f t="shared" si="1"/>
        <v>263.98468106623255</v>
      </c>
      <c r="F39" s="6">
        <f>'S to Z'!D$16*100+'S to Z'!F$16*100-'S to Z'!H$16*F38</f>
        <v>243.90992164777134</v>
      </c>
    </row>
    <row r="40" spans="3:17" x14ac:dyDescent="0.25">
      <c r="C40" s="1">
        <f t="shared" si="0"/>
        <v>185</v>
      </c>
      <c r="D40" s="1">
        <v>242</v>
      </c>
      <c r="E40" s="6">
        <f t="shared" si="1"/>
        <v>264.52602219917901</v>
      </c>
      <c r="F40" s="6">
        <f>'S to Z'!D$16*100+'S to Z'!F$16*100-'S to Z'!H$16*F39</f>
        <v>246.40900717999386</v>
      </c>
    </row>
    <row r="41" spans="3:17" x14ac:dyDescent="0.25">
      <c r="C41" s="1">
        <f t="shared" si="0"/>
        <v>190</v>
      </c>
      <c r="D41" s="1">
        <v>242</v>
      </c>
      <c r="E41" s="6">
        <f t="shared" si="1"/>
        <v>267.91824996008393</v>
      </c>
      <c r="F41" s="6">
        <f>'S to Z'!D$16*100+'S to Z'!F$16*100-'S to Z'!H$16*F40</f>
        <v>248.79943681951104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FE7C-F720-4EDE-94D7-8A0054FE9F6D}">
  <dimension ref="D2:W64"/>
  <sheetViews>
    <sheetView topLeftCell="A4" workbookViewId="0">
      <selection activeCell="H6" sqref="H6"/>
    </sheetView>
  </sheetViews>
  <sheetFormatPr defaultRowHeight="15" x14ac:dyDescent="0.25"/>
  <cols>
    <col min="7" max="7" width="45.42578125" bestFit="1" customWidth="1"/>
    <col min="8" max="8" width="12" customWidth="1"/>
    <col min="9" max="9" width="15.7109375" bestFit="1" customWidth="1"/>
    <col min="10" max="10" width="12" customWidth="1"/>
  </cols>
  <sheetData>
    <row r="2" spans="7:20" x14ac:dyDescent="0.25">
      <c r="K2" t="s">
        <v>11</v>
      </c>
    </row>
    <row r="3" spans="7:20" x14ac:dyDescent="0.25">
      <c r="G3" t="s">
        <v>12</v>
      </c>
      <c r="H3" s="3">
        <v>3.0139</v>
      </c>
      <c r="I3" t="s">
        <v>13</v>
      </c>
      <c r="K3" t="s">
        <v>14</v>
      </c>
    </row>
    <row r="4" spans="7:20" x14ac:dyDescent="0.25">
      <c r="G4" t="s">
        <v>15</v>
      </c>
      <c r="H4" s="3">
        <v>45</v>
      </c>
      <c r="I4" t="s">
        <v>16</v>
      </c>
      <c r="K4" t="s">
        <v>17</v>
      </c>
    </row>
    <row r="5" spans="7:20" x14ac:dyDescent="0.25">
      <c r="G5" t="s">
        <v>18</v>
      </c>
      <c r="H5" s="3">
        <v>20</v>
      </c>
      <c r="I5" t="s">
        <v>16</v>
      </c>
      <c r="K5" t="s">
        <v>19</v>
      </c>
    </row>
    <row r="6" spans="7:20" x14ac:dyDescent="0.25">
      <c r="G6" t="s">
        <v>20</v>
      </c>
      <c r="H6" s="4">
        <f>H3/H4</f>
        <v>6.6975555555555552E-2</v>
      </c>
      <c r="I6" t="s">
        <v>21</v>
      </c>
    </row>
    <row r="7" spans="7:20" x14ac:dyDescent="0.25">
      <c r="H7" s="4"/>
    </row>
    <row r="8" spans="7:20" x14ac:dyDescent="0.25">
      <c r="H8" s="5">
        <f>AVERAGE(H10:H18,H22:H31)</f>
        <v>0.99078323638186416</v>
      </c>
      <c r="I8" s="5">
        <f t="shared" ref="I8:J8" si="0">AVERAGE(I10:I18,I22:I31)</f>
        <v>31.273203997578189</v>
      </c>
      <c r="J8" s="5">
        <f t="shared" si="0"/>
        <v>8.8272294897534351</v>
      </c>
    </row>
    <row r="9" spans="7:20" x14ac:dyDescent="0.25">
      <c r="H9" s="2" t="s">
        <v>22</v>
      </c>
      <c r="I9" s="2" t="s">
        <v>23</v>
      </c>
      <c r="J9" s="2" t="s">
        <v>24</v>
      </c>
    </row>
    <row r="10" spans="7:20" x14ac:dyDescent="0.25">
      <c r="G10" t="s">
        <v>25</v>
      </c>
      <c r="H10" s="6">
        <f>1.2/(H6*H5)</f>
        <v>0.89584923189223264</v>
      </c>
      <c r="I10" s="6">
        <f>2*H5</f>
        <v>40</v>
      </c>
      <c r="J10" s="6">
        <f>I10/4</f>
        <v>10</v>
      </c>
      <c r="K10" t="s">
        <v>26</v>
      </c>
    </row>
    <row r="11" spans="7:20" x14ac:dyDescent="0.25">
      <c r="G11" t="s">
        <v>27</v>
      </c>
      <c r="H11" s="6">
        <f>1.2*H4/(H3*H5)</f>
        <v>0.89584923189223264</v>
      </c>
      <c r="I11" s="6">
        <f>I10</f>
        <v>40</v>
      </c>
      <c r="J11" s="6">
        <f>J10</f>
        <v>10</v>
      </c>
    </row>
    <row r="12" spans="7:20" x14ac:dyDescent="0.25">
      <c r="G12" t="s">
        <v>28</v>
      </c>
      <c r="H12" s="6">
        <f>0.94*H4/(H3*H5)</f>
        <v>0.70174856498224891</v>
      </c>
      <c r="I12" s="6">
        <f>I11</f>
        <v>40</v>
      </c>
      <c r="J12" s="6">
        <f>J11</f>
        <v>10</v>
      </c>
      <c r="K12" t="s">
        <v>29</v>
      </c>
      <c r="Q12" t="s">
        <v>30</v>
      </c>
      <c r="R12">
        <v>5</v>
      </c>
      <c r="S12" t="s">
        <v>7</v>
      </c>
    </row>
    <row r="13" spans="7:20" x14ac:dyDescent="0.25">
      <c r="G13" t="s">
        <v>31</v>
      </c>
      <c r="H13" s="6">
        <f>1.25*H4/(H3*H5)</f>
        <v>0.93317628322107571</v>
      </c>
      <c r="I13" s="6">
        <f>2.5*H5</f>
        <v>50</v>
      </c>
      <c r="J13" s="6">
        <f>0.4*H5</f>
        <v>8</v>
      </c>
      <c r="Q13" t="s">
        <v>32</v>
      </c>
      <c r="R13">
        <f>INT($H$5/R12)</f>
        <v>4</v>
      </c>
      <c r="T13" t="s">
        <v>33</v>
      </c>
    </row>
    <row r="14" spans="7:20" x14ac:dyDescent="0.25">
      <c r="G14" t="s">
        <v>34</v>
      </c>
      <c r="H14" s="6">
        <f>0.95*H4/(H3*H5)</f>
        <v>0.70921397524801755</v>
      </c>
      <c r="I14" s="6">
        <f>2.38*H5</f>
        <v>47.599999999999994</v>
      </c>
      <c r="J14" s="6">
        <f>0.42*H5</f>
        <v>8.4</v>
      </c>
      <c r="K14" t="s">
        <v>35</v>
      </c>
      <c r="Q14" t="s">
        <v>36</v>
      </c>
      <c r="R14">
        <f>H5-R13*R12</f>
        <v>0</v>
      </c>
    </row>
    <row r="15" spans="7:20" x14ac:dyDescent="0.25">
      <c r="G15" t="s">
        <v>34</v>
      </c>
      <c r="H15" s="6">
        <f>1.2*H4/(H3*H5)</f>
        <v>0.89584923189223264</v>
      </c>
      <c r="I15" s="6">
        <f>2*H5</f>
        <v>40</v>
      </c>
      <c r="J15" s="6">
        <f>0.42*H5</f>
        <v>8.4</v>
      </c>
      <c r="K15" t="s">
        <v>37</v>
      </c>
    </row>
    <row r="16" spans="7:20" x14ac:dyDescent="0.25">
      <c r="G16" t="s">
        <v>38</v>
      </c>
      <c r="H16" s="6">
        <f>(1.37/H3)*(H4/H5)^0.95</f>
        <v>0.98212127930323245</v>
      </c>
      <c r="I16" s="6">
        <f>(H4/1.351)*(H5/H4)^0.738</f>
        <v>18.308234498297015</v>
      </c>
      <c r="J16" s="6">
        <f>0.365*H4*(H5/H4)^0.95</f>
        <v>7.602072131144598</v>
      </c>
      <c r="K16" t="s">
        <v>39</v>
      </c>
    </row>
    <row r="17" spans="7:23" x14ac:dyDescent="0.25">
      <c r="G17" t="s">
        <v>40</v>
      </c>
      <c r="H17" s="6">
        <f>(H4/(H3*H5))*(H5/(4*H4) + 4/3)</f>
        <v>1.0783370383887987</v>
      </c>
      <c r="I17" s="6">
        <f>H5*(32*H4+6*H5)/(13*H4+8*H5)</f>
        <v>41.879194630872483</v>
      </c>
      <c r="J17" s="6">
        <f>4*H5*H4/(2*H5+11*H4)</f>
        <v>6.7289719626168223</v>
      </c>
    </row>
    <row r="18" spans="7:23" x14ac:dyDescent="0.25">
      <c r="G18" t="s">
        <v>41</v>
      </c>
      <c r="H18" s="6">
        <f>(1/H3)*(0.6939*H4/H5+0.1814)</f>
        <v>0.57821261488436904</v>
      </c>
      <c r="I18" s="6">
        <f>(0.8647*H4+0.226*H5)/(H4/H5+0.8647)</f>
        <v>13.94403955437121</v>
      </c>
      <c r="J18" s="6">
        <f>(0.0565*H4)/((0.8647*H4/H5)+0.226)</f>
        <v>1.1708092053003003</v>
      </c>
    </row>
    <row r="19" spans="7:23" x14ac:dyDescent="0.25">
      <c r="G19" t="s">
        <v>42</v>
      </c>
      <c r="H19" s="6">
        <f>0.6*H4/(H3*H5)</f>
        <v>0.44792461594611632</v>
      </c>
      <c r="I19" s="6">
        <f>H4</f>
        <v>45</v>
      </c>
      <c r="J19" s="6">
        <f>H5/2</f>
        <v>10</v>
      </c>
      <c r="K19" t="s">
        <v>35</v>
      </c>
    </row>
    <row r="20" spans="7:23" x14ac:dyDescent="0.25">
      <c r="G20" t="s">
        <v>42</v>
      </c>
      <c r="H20" s="6">
        <f>0.95*H4/(H3*H5)</f>
        <v>0.70921397524801755</v>
      </c>
      <c r="I20" s="6">
        <f>1.36*H4</f>
        <v>61.2</v>
      </c>
      <c r="J20" s="6">
        <f>0.46*H5</f>
        <v>9.2000000000000011</v>
      </c>
      <c r="K20" t="s">
        <v>35</v>
      </c>
      <c r="Q20" t="s">
        <v>43</v>
      </c>
      <c r="R20" s="7">
        <f>EXP(-R12/$H$4)</f>
        <v>0.89483931681436979</v>
      </c>
    </row>
    <row r="21" spans="7:23" x14ac:dyDescent="0.25">
      <c r="H21" s="6"/>
      <c r="I21" s="6"/>
      <c r="J21" s="6"/>
      <c r="Q21" t="s">
        <v>44</v>
      </c>
      <c r="R21">
        <f>$H$3*(1-R20*EXP(R14/H4))</f>
        <v>0.31694378305317089</v>
      </c>
    </row>
    <row r="22" spans="7:23" x14ac:dyDescent="0.25">
      <c r="G22" t="s">
        <v>45</v>
      </c>
      <c r="H22" s="6">
        <f>(1.435/H3)*(H4/H5)^0.921</f>
        <v>1.0048081795689807</v>
      </c>
      <c r="I22" s="6">
        <f>(H4/0.878)*(H4/H5)^-0.749</f>
        <v>27.921149358194363</v>
      </c>
      <c r="J22" s="6">
        <f>0.482*H4*(H5/H4)^1.137</f>
        <v>8.6263689485966317</v>
      </c>
      <c r="K22" t="s">
        <v>46</v>
      </c>
      <c r="Q22" t="s">
        <v>47</v>
      </c>
      <c r="R22">
        <f>H$3*(R20*EXP(R14/H4)-R20)</f>
        <v>0</v>
      </c>
    </row>
    <row r="23" spans="7:23" x14ac:dyDescent="0.25">
      <c r="G23" t="s">
        <v>48</v>
      </c>
      <c r="H23" s="6">
        <f>(3/H3)*(H4/H5)^0.921</f>
        <v>2.1006442778445589</v>
      </c>
      <c r="I23" s="6">
        <f>(H4/0.878)*(H4/H5)^-0.749</f>
        <v>27.921149358194363</v>
      </c>
      <c r="J23" s="6">
        <f>0.482*H4*(H5/H4)^1.137</f>
        <v>8.6263689485966317</v>
      </c>
      <c r="Q23" t="s">
        <v>49</v>
      </c>
      <c r="R23">
        <f>R13</f>
        <v>4</v>
      </c>
    </row>
    <row r="24" spans="7:23" x14ac:dyDescent="0.25">
      <c r="G24" t="s">
        <v>50</v>
      </c>
      <c r="H24" s="6">
        <f>(1.495/H3)*(H4/H5)^0.945</f>
        <v>1.0673941881251006</v>
      </c>
      <c r="I24" s="6">
        <f>(H4/1.101)*(H4/H5)^-0.771</f>
        <v>21.87220024663111</v>
      </c>
      <c r="J24" s="6">
        <f>0.56*H4*(H5/H4)^1.006</f>
        <v>11.145637848451077</v>
      </c>
      <c r="K24" t="s">
        <v>46</v>
      </c>
      <c r="Q24" s="8" t="s">
        <v>51</v>
      </c>
      <c r="R24" s="9">
        <f>R20</f>
        <v>0.89483931681436979</v>
      </c>
      <c r="S24" s="8" t="s">
        <v>52</v>
      </c>
      <c r="T24" s="8">
        <f>R21</f>
        <v>0.31694378305317089</v>
      </c>
      <c r="U24" s="8" t="s">
        <v>117</v>
      </c>
      <c r="V24" s="8">
        <f>R22</f>
        <v>0</v>
      </c>
      <c r="W24" s="8" t="s">
        <v>118</v>
      </c>
    </row>
    <row r="25" spans="7:23" x14ac:dyDescent="0.25">
      <c r="G25" t="s">
        <v>53</v>
      </c>
      <c r="H25" s="6">
        <f>(1.473/H3)*(H4/H5)^0.97</f>
        <v>1.0732254206393896</v>
      </c>
      <c r="I25" s="6">
        <f>(H4/1.115)*(H4/H5)^-0.753</f>
        <v>21.915138024974173</v>
      </c>
      <c r="J25" s="6">
        <f>0.55*H4*(H5/H4)^0.948</f>
        <v>11.473770956714009</v>
      </c>
      <c r="K25" t="s">
        <v>46</v>
      </c>
    </row>
    <row r="26" spans="7:23" x14ac:dyDescent="0.25">
      <c r="H26" s="6">
        <f>(1.524/H3)*(H4/H5)^0.735</f>
        <v>0.9177201751102424</v>
      </c>
      <c r="I26" s="6">
        <f>(H4/1.13)*(H4/H5)^-0.641</f>
        <v>23.680184194071355</v>
      </c>
      <c r="J26" s="6">
        <f>0.552*H4*(H5/H4)^0.851</f>
        <v>12.457883595897389</v>
      </c>
      <c r="K26" t="s">
        <v>54</v>
      </c>
    </row>
    <row r="27" spans="7:23" x14ac:dyDescent="0.25">
      <c r="G27" t="s">
        <v>55</v>
      </c>
      <c r="H27" s="6">
        <f>(1.357/H3)*(H4/H5)^0.947</f>
        <v>0.97043813340164831</v>
      </c>
      <c r="I27" s="6">
        <f>(H4/0.842)*(H4/H5)^-0.738</f>
        <v>29.375801433728345</v>
      </c>
      <c r="J27" s="6">
        <f>0.381*H4*(H5/H4)^0.995</f>
        <v>7.650959163125413</v>
      </c>
      <c r="K27" t="s">
        <v>46</v>
      </c>
      <c r="U27" t="s">
        <v>56</v>
      </c>
      <c r="V27">
        <f>-R12/LN(R20)</f>
        <v>45.000000000000007</v>
      </c>
      <c r="W27" t="s">
        <v>57</v>
      </c>
    </row>
    <row r="28" spans="7:23" x14ac:dyDescent="0.25">
      <c r="G28" t="s">
        <v>58</v>
      </c>
      <c r="H28" s="6">
        <f>(1.468/H3)*(H4/H5)^0.97</f>
        <v>1.0695824287159699</v>
      </c>
      <c r="I28" s="6">
        <f>(H4/0.942)*(H4/H5)^-0.725</f>
        <v>26.535622813992955</v>
      </c>
      <c r="J28" s="6">
        <f>0.443*H4*(H5/H4)^0.939</f>
        <v>9.3092963443679313</v>
      </c>
      <c r="K28" t="s">
        <v>46</v>
      </c>
      <c r="U28" t="s">
        <v>59</v>
      </c>
      <c r="V28">
        <f>EXP(R14/V27)</f>
        <v>1</v>
      </c>
    </row>
    <row r="29" spans="7:23" x14ac:dyDescent="0.25">
      <c r="H29" s="6">
        <f>(1.515/H3)*(H4/H5)^0.73</f>
        <v>0.90860899636801951</v>
      </c>
      <c r="I29" s="6">
        <f>(H4/0.957)*(H4/H5)^-0.598</f>
        <v>28.953123988854113</v>
      </c>
      <c r="J29" s="6">
        <f>0.444*H4*(H5/H4)^0.847</f>
        <v>10.053027974138942</v>
      </c>
      <c r="K29" t="s">
        <v>46</v>
      </c>
      <c r="V29" s="1"/>
    </row>
    <row r="30" spans="7:23" x14ac:dyDescent="0.25">
      <c r="G30" t="s">
        <v>60</v>
      </c>
      <c r="H30" s="6">
        <f>(1.531/H$3)*(H$4/H$5)^0.96</f>
        <v>1.1064749077200613</v>
      </c>
      <c r="I30" s="6">
        <f>(H$4/0.971)*(H$4/H$5)^-0.746</f>
        <v>25.308425377379422</v>
      </c>
      <c r="J30" s="6">
        <f>0.413*H$4*(H$5/H$4)^0.933</f>
        <v>8.7212006007827707</v>
      </c>
      <c r="K30" t="s">
        <v>46</v>
      </c>
    </row>
    <row r="31" spans="7:23" x14ac:dyDescent="0.25">
      <c r="H31" s="6">
        <f>(1.592/H$3)*(H$4/H$5)^0.705</f>
        <v>0.9356273320570081</v>
      </c>
      <c r="I31" s="6">
        <f>(H$4/0.957)*(H$4/H$5)^-0.597</f>
        <v>28.976612474424687</v>
      </c>
      <c r="J31" s="6">
        <f>0.414*H$4*(H$5/H$4)^0.85</f>
        <v>9.350992625582764</v>
      </c>
      <c r="K31" t="s">
        <v>54</v>
      </c>
    </row>
    <row r="32" spans="7:23" x14ac:dyDescent="0.25">
      <c r="H32" s="6"/>
      <c r="I32" s="6"/>
      <c r="J32" s="6"/>
      <c r="U32" t="s">
        <v>61</v>
      </c>
      <c r="V32" t="e">
        <f>R22/(R20*(EXP(R14/V27)-1))</f>
        <v>#DIV/0!</v>
      </c>
      <c r="W32" t="s">
        <v>5</v>
      </c>
    </row>
    <row r="33" spans="4:22" x14ac:dyDescent="0.25">
      <c r="G33" t="s">
        <v>62</v>
      </c>
      <c r="H33" s="6">
        <f>(1.086/H$3)*(H$4/H$5)^0.869</f>
        <v>0.72903368438623872</v>
      </c>
      <c r="I33" s="6">
        <f>H$4/(0.74 - 0.13*H$5/H$4)</f>
        <v>65.960912052117266</v>
      </c>
      <c r="J33" s="6">
        <f>0.348*H$4*(H$5/H$4)^0.914</f>
        <v>7.4627163725200178</v>
      </c>
      <c r="K33" t="s">
        <v>46</v>
      </c>
      <c r="U33" t="s">
        <v>63</v>
      </c>
      <c r="V33" t="e">
        <f>R22/(R20*R14/V27)</f>
        <v>#DIV/0!</v>
      </c>
    </row>
    <row r="34" spans="4:22" x14ac:dyDescent="0.25">
      <c r="G34" t="s">
        <v>64</v>
      </c>
      <c r="H34" s="6">
        <f>(0.7645+0.6032*H$4/H$5)*(H$4 + 0.5*H$5)/(H$3*(H$4 + H$5))</f>
        <v>0.59566827545194434</v>
      </c>
      <c r="I34" s="6">
        <f>H$4 + 0.5*H$5</f>
        <v>55</v>
      </c>
      <c r="J34" s="6">
        <f>0.5*H$4*H$5/(H$4 + 0.5*H$5)</f>
        <v>8.1818181818181817</v>
      </c>
      <c r="K34" t="s">
        <v>65</v>
      </c>
    </row>
    <row r="35" spans="4:22" x14ac:dyDescent="0.25">
      <c r="G35" t="s">
        <v>66</v>
      </c>
      <c r="H35" s="6">
        <f>(0.9255+0.7524*H$4/H$5)*(H$4 + 0.5*H$5)/(H$3*(H$4 + H$5))</f>
        <v>0.73511703466247413</v>
      </c>
      <c r="I35" s="6">
        <f>H$4 + 0.5*H$5</f>
        <v>55</v>
      </c>
      <c r="J35" s="6">
        <f>0.5*H$4*H$5/(H$4 + 0.5*H$5)</f>
        <v>8.1818181818181817</v>
      </c>
      <c r="K35" t="s">
        <v>65</v>
      </c>
    </row>
    <row r="36" spans="4:22" x14ac:dyDescent="0.25">
      <c r="G36" t="s">
        <v>53</v>
      </c>
      <c r="H36" s="6">
        <f>(1.048/H$3)*(H$4/H$5)^0.897</f>
        <v>0.71968120827358717</v>
      </c>
      <c r="I36" s="6">
        <f>H$4/(1.195 - 0.368*H$5/H$4)</f>
        <v>43.62813745556393</v>
      </c>
      <c r="J36" s="6">
        <f>0.489*H$4*(H$5/H$4)^0.888</f>
        <v>10.709847745615557</v>
      </c>
      <c r="K36" t="s">
        <v>46</v>
      </c>
    </row>
    <row r="37" spans="4:22" x14ac:dyDescent="0.25">
      <c r="H37" s="6">
        <f>(1.154/H$3)*(H$4/H$5)^0.567</f>
        <v>0.60640735214792041</v>
      </c>
      <c r="I37" s="6">
        <f>H$4/(1.047 - 0.22*H$5/H$4)</f>
        <v>47.407233992742597</v>
      </c>
      <c r="J37" s="6">
        <f>0.49*H$4*(H$5/H$4)^0.708</f>
        <v>12.418334990859471</v>
      </c>
      <c r="K37" t="s">
        <v>54</v>
      </c>
    </row>
    <row r="38" spans="4:22" x14ac:dyDescent="0.25">
      <c r="G38" t="s">
        <v>67</v>
      </c>
      <c r="H38" s="6">
        <f>(0.965/H$3)*(H$4/H$5)^0.85</f>
        <v>0.63790148804471813</v>
      </c>
      <c r="I38" s="6">
        <f>H$4/(0.796 - 0.1465*H$5/H$4)</f>
        <v>61.568865916691998</v>
      </c>
      <c r="J38" s="6">
        <f>0.308*H$4*(H$5/H$4)^0.929</f>
        <v>6.5250774501740532</v>
      </c>
      <c r="K38" t="s">
        <v>46</v>
      </c>
    </row>
    <row r="39" spans="4:22" x14ac:dyDescent="0.25">
      <c r="G39" t="s">
        <v>68</v>
      </c>
      <c r="H39" s="6">
        <f>(1.2/H$3)*(H$4/H$5)^0.855</f>
        <v>0.79646823632280583</v>
      </c>
      <c r="I39" s="6">
        <f>H$4/(0.796 - 0.147*H$5/H$4)</f>
        <v>61.587591240875909</v>
      </c>
      <c r="J39" s="6">
        <f>0.308*H$4*(H$5/H$4)^0.929</f>
        <v>6.5250774501740532</v>
      </c>
      <c r="K39" t="s">
        <v>69</v>
      </c>
    </row>
    <row r="40" spans="4:22" x14ac:dyDescent="0.25">
      <c r="G40" t="s">
        <v>70</v>
      </c>
      <c r="H40" s="6">
        <f>(0.7303+0.5307*H$4/H$5)*(H$4 + 0.5*H$5)/(H$3*(H$4 + H$5))</f>
        <v>0.54026918865666007</v>
      </c>
      <c r="I40" s="6">
        <f>H$4 + 0.5*H$5</f>
        <v>55</v>
      </c>
      <c r="J40" s="6">
        <f>0.5*H$4*H$5/(H$4 + 0.5*H$5)</f>
        <v>8.1818181818181817</v>
      </c>
      <c r="K40" t="s">
        <v>65</v>
      </c>
    </row>
    <row r="41" spans="4:22" x14ac:dyDescent="0.25">
      <c r="G41" t="s">
        <v>58</v>
      </c>
      <c r="H41" s="6">
        <f>(1.042/H$3)*(H$4/H$5)^0.897</f>
        <v>0.71556089601247885</v>
      </c>
      <c r="I41" s="6">
        <f>H$4/(0.987 - 0.238*H$5/H$4)</f>
        <v>51.065439414953978</v>
      </c>
      <c r="J41" s="6">
        <f>0.385*H$4*(H$5/H$4)^0.906</f>
        <v>8.309901612813519</v>
      </c>
      <c r="K41" t="s">
        <v>46</v>
      </c>
    </row>
    <row r="42" spans="4:22" x14ac:dyDescent="0.25">
      <c r="H42" s="6">
        <f>(1.142/H$3)*(H$4/H$5)^0.597</f>
        <v>0.61487980405438725</v>
      </c>
      <c r="I42" s="6">
        <f>H$4/(0.919 - 0.172*H$5/H$4)</f>
        <v>53.408941052353946</v>
      </c>
      <c r="J42" s="6">
        <f>0.384*H$4*(H$5/H$4)^0.839</f>
        <v>8.7510991705405985</v>
      </c>
      <c r="K42" t="s">
        <v>54</v>
      </c>
    </row>
    <row r="43" spans="4:22" x14ac:dyDescent="0.25">
      <c r="G43" t="s">
        <v>60</v>
      </c>
      <c r="H43" s="6">
        <f>(0.968/H$3)*(H$4/H$5)^0.904</f>
        <v>0.66852786703044753</v>
      </c>
      <c r="I43" s="6">
        <f>H$4/(0.977 - 0.253*H$5/H$4)</f>
        <v>52.049865055905414</v>
      </c>
      <c r="J43" s="6">
        <f>0.316*H$4*(H$5/H$4)^0.892</f>
        <v>6.8984701629770893</v>
      </c>
      <c r="K43" t="s">
        <v>46</v>
      </c>
    </row>
    <row r="44" spans="4:22" x14ac:dyDescent="0.25">
      <c r="H44" s="6">
        <f>(1.061/H$3)*(H$4/H$5)^0.583</f>
        <v>0.56481855247979817</v>
      </c>
      <c r="I44" s="6">
        <f>H$4/(0.892 - 0.165*H$5/H$4)</f>
        <v>54.967426710097719</v>
      </c>
      <c r="J44" s="6">
        <f>0.315*H$4*(H$5/H$4)^0.832</f>
        <v>7.2195015254277628</v>
      </c>
      <c r="K44" t="s">
        <v>54</v>
      </c>
    </row>
    <row r="46" spans="4:22" x14ac:dyDescent="0.25">
      <c r="D46" t="s">
        <v>71</v>
      </c>
      <c r="G46" t="s">
        <v>72</v>
      </c>
      <c r="H46" s="6">
        <f>5*H$4/(6*H$3*H$5)</f>
        <v>0.62211752214738381</v>
      </c>
      <c r="I46" s="6">
        <f>H$4</f>
        <v>45</v>
      </c>
      <c r="J46" s="6">
        <f>0.5*H$5</f>
        <v>10</v>
      </c>
      <c r="K46" t="s">
        <v>46</v>
      </c>
    </row>
    <row r="47" spans="4:22" x14ac:dyDescent="0.25">
      <c r="H47" s="6">
        <f>H$4/(2*H$3*H$5)</f>
        <v>0.37327051328843031</v>
      </c>
      <c r="I47" s="6">
        <f>H$4</f>
        <v>45</v>
      </c>
      <c r="J47" s="6">
        <f>0.5*H$5</f>
        <v>10</v>
      </c>
      <c r="K47" t="s">
        <v>73</v>
      </c>
    </row>
    <row r="48" spans="4:22" x14ac:dyDescent="0.25">
      <c r="G48" t="s">
        <v>74</v>
      </c>
      <c r="H48" s="6">
        <f>(1/H$3)*(0.7236*H$4/H$5+0.2236)</f>
        <v>0.6143866750721656</v>
      </c>
      <c r="I48" s="6">
        <f>H$4+0.309*H$5</f>
        <v>51.18</v>
      </c>
      <c r="J48" s="6">
        <f>2.236*H$4*H$5/(7.236*H$4 + 2.236*H$5)</f>
        <v>5.4339255818977152</v>
      </c>
    </row>
    <row r="49" spans="4:15" x14ac:dyDescent="0.25">
      <c r="G49" t="s">
        <v>75</v>
      </c>
      <c r="H49" s="6">
        <f>(0.177+0.348*(H$5/H$4)^-1.002)/(0.531-0.359*M49^0.713)</f>
        <v>1.8103031018632723</v>
      </c>
      <c r="I49" s="6">
        <f>H$4+0.5*H$5</f>
        <v>55</v>
      </c>
      <c r="J49" s="6">
        <f>H$4*H$5/(2*H$4 + H$5)</f>
        <v>8.1818181818181817</v>
      </c>
      <c r="K49" t="s">
        <v>76</v>
      </c>
      <c r="M49" s="3">
        <v>0</v>
      </c>
    </row>
    <row r="50" spans="4:15" x14ac:dyDescent="0.25">
      <c r="G50" t="s">
        <v>77</v>
      </c>
      <c r="H50" s="6">
        <f>(1.0722/H$3)*((O50^-0.116)/(M50^0.8432))*(H$5/H$4)^-0.908</f>
        <v>0.27909633463197947</v>
      </c>
      <c r="I50" s="6">
        <f>(1.2479*$H$4*($O50^1.0082)/($M50^0.2099))*($H$5/$H$4)^0.3678</f>
        <v>1111.4937404560199</v>
      </c>
      <c r="J50" s="6">
        <f>(0.4763*$H$4*($O50^-0.328)/($M50^0.0961))*($H$5/$H$4)^1.0317</f>
        <v>2.8465684872683674</v>
      </c>
      <c r="L50" t="s">
        <v>78</v>
      </c>
      <c r="M50" s="10">
        <v>2</v>
      </c>
      <c r="N50" t="s">
        <v>79</v>
      </c>
      <c r="O50" s="3">
        <v>30</v>
      </c>
    </row>
    <row r="51" spans="4:15" x14ac:dyDescent="0.25">
      <c r="H51" s="6"/>
      <c r="I51" s="6"/>
      <c r="J51" s="6"/>
    </row>
    <row r="52" spans="4:15" x14ac:dyDescent="0.25">
      <c r="D52" t="s">
        <v>80</v>
      </c>
      <c r="G52" t="s">
        <v>81</v>
      </c>
      <c r="H52" s="6">
        <f>(1/H$3)*(H$4 + 0.5*H$5)/(M52*H$5)</f>
        <v>2.6069686642366561</v>
      </c>
      <c r="I52" s="6">
        <f>H$4 + 0.5*H$5</f>
        <v>55</v>
      </c>
      <c r="J52" s="6">
        <f>H$4*H$5/(2*H$4+H$5)</f>
        <v>8.1818181818181817</v>
      </c>
      <c r="L52" t="s">
        <v>82</v>
      </c>
      <c r="M52" s="10">
        <v>0.35</v>
      </c>
    </row>
    <row r="53" spans="4:15" x14ac:dyDescent="0.25">
      <c r="G53" t="s">
        <v>83</v>
      </c>
      <c r="H53" s="6">
        <f>(1/H$3)*(H$4 + 0.5*H$5)/(M53 + 0.5*H$5)</f>
        <v>1.7631672125272069</v>
      </c>
      <c r="I53" s="6">
        <f>H$4 + 0.5*H$5</f>
        <v>55</v>
      </c>
      <c r="J53" s="6">
        <f>H$4*H$5/(2*H$4+H$5)</f>
        <v>8.1818181818181817</v>
      </c>
      <c r="L53" t="s">
        <v>82</v>
      </c>
      <c r="M53" s="10">
        <v>0.35</v>
      </c>
    </row>
    <row r="54" spans="4:15" x14ac:dyDescent="0.25">
      <c r="G54" t="s">
        <v>84</v>
      </c>
      <c r="H54" s="6">
        <f>5*H$4/(9*H$5*H$3)</f>
        <v>0.41474501476492254</v>
      </c>
      <c r="I54" s="6">
        <f>5*H$5</f>
        <v>100</v>
      </c>
      <c r="J54" s="6">
        <f>0.5*H$5</f>
        <v>10</v>
      </c>
      <c r="K54" t="s">
        <v>85</v>
      </c>
    </row>
    <row r="55" spans="4:15" x14ac:dyDescent="0.25">
      <c r="H55" s="6">
        <f>H$4/(2*H$5*H$3)</f>
        <v>0.37327051328843031</v>
      </c>
      <c r="I55" s="6">
        <f>H$4</f>
        <v>45</v>
      </c>
      <c r="J55" s="6">
        <f>0.5*H$5</f>
        <v>10</v>
      </c>
      <c r="K55" t="s">
        <v>86</v>
      </c>
    </row>
    <row r="56" spans="4:15" x14ac:dyDescent="0.25">
      <c r="G56" t="s">
        <v>87</v>
      </c>
      <c r="H56" s="6">
        <f>H$4/(H$3*(M56+H$5))</f>
        <v>0.5599057699326454</v>
      </c>
      <c r="I56" s="6">
        <f>H$4 + H$5*H$5/(2*(M56+H$5))</f>
        <v>52.5</v>
      </c>
      <c r="J56" s="6">
        <f>H$5*H$5*(1 - H$5/(3*H$4))/(2*(M56+H$5))</f>
        <v>6.3888888888888893</v>
      </c>
      <c r="L56" t="s">
        <v>82</v>
      </c>
      <c r="M56" s="8">
        <f>H$5/3</f>
        <v>6.666666666666667</v>
      </c>
    </row>
    <row r="57" spans="4:15" x14ac:dyDescent="0.25">
      <c r="H57" s="6"/>
      <c r="I57" s="6"/>
      <c r="J57" s="6"/>
    </row>
    <row r="58" spans="4:15" x14ac:dyDescent="0.25">
      <c r="G58" t="s">
        <v>88</v>
      </c>
      <c r="H58" s="6">
        <f>(0.91/H$3)*(H$4/H$5)^0.7938</f>
        <v>0.5747447814928841</v>
      </c>
      <c r="I58" s="6">
        <f>(H$4/1.01495)*(H$4/H$5)^-1.00403</f>
        <v>19.641111098824162</v>
      </c>
      <c r="J58" s="6">
        <f>0.5414*H$4*(H$5/H$4)^0.7848</f>
        <v>12.892523301136944</v>
      </c>
      <c r="K58" t="s">
        <v>89</v>
      </c>
    </row>
    <row r="59" spans="4:15" x14ac:dyDescent="0.25">
      <c r="G59" t="s">
        <v>90</v>
      </c>
      <c r="H59" s="6">
        <f>(1.1147/H$3)*(H$4/H$5)^0.8992</f>
        <v>0.76685222660355468</v>
      </c>
      <c r="I59" s="6">
        <f>(H$4/0.9324)*(H$4/H$5)^-0.8753</f>
        <v>23.732576574527222</v>
      </c>
      <c r="J59" s="6">
        <f>0.56508*H$4*(H$5/H$4)^0.91107</f>
        <v>12.146734068947364</v>
      </c>
      <c r="K59" t="s">
        <v>91</v>
      </c>
    </row>
    <row r="60" spans="4:15" x14ac:dyDescent="0.25">
      <c r="G60" t="s">
        <v>92</v>
      </c>
      <c r="H60" s="6">
        <f>(0.7058/H$3)*(H$4/H$5)^0.8872</f>
        <v>0.48084947431403136</v>
      </c>
      <c r="I60" s="6">
        <f>(H$4/1.03326)*(H$4/H$5)^-0.99138</f>
        <v>19.49199053612541</v>
      </c>
      <c r="J60" s="6">
        <f>0.60006*H$4*(H$5/H$4)^0.971</f>
        <v>12.286776724792443</v>
      </c>
      <c r="K60" t="s">
        <v>93</v>
      </c>
    </row>
    <row r="61" spans="4:15" x14ac:dyDescent="0.25">
      <c r="F61" t="s">
        <v>94</v>
      </c>
      <c r="G61" t="s">
        <v>88</v>
      </c>
      <c r="H61" s="6">
        <f>(0.81699/H$3)*(H$4/H$5)^1.004</f>
        <v>0.61189816451212053</v>
      </c>
      <c r="I61" s="6">
        <f>H$4/(1.09112 - 0.22387*H$5/H$4)</f>
        <v>45.380185106335297</v>
      </c>
      <c r="J61" s="6">
        <f>0.44278*H$4*(H$5/H$4)^0.97186</f>
        <v>9.0600043804872534</v>
      </c>
      <c r="K61" t="s">
        <v>95</v>
      </c>
    </row>
    <row r="62" spans="4:15" x14ac:dyDescent="0.25">
      <c r="G62" t="s">
        <v>90</v>
      </c>
      <c r="H62" s="6">
        <f>(1.1427/H$3)*(H$4/H$5)^0.9365</f>
        <v>0.81025611454556801</v>
      </c>
      <c r="I62" s="6">
        <f>H$4/(0.99223 - 0.35269*H$5/H$4)</f>
        <v>53.861325041792398</v>
      </c>
      <c r="J62" s="6">
        <f>0.35308*H$4*(H$5/H$4)^0.78088</f>
        <v>8.434771985659026</v>
      </c>
      <c r="K62" t="s">
        <v>96</v>
      </c>
    </row>
    <row r="63" spans="4:15" x14ac:dyDescent="0.25">
      <c r="G63" t="s">
        <v>92</v>
      </c>
      <c r="H63" s="6">
        <f>(0.8326/H$3)*(H$4/H$5)^0.7607</f>
        <v>0.51193262730339495</v>
      </c>
      <c r="I63" s="6">
        <f>H$4/(1.00268 + 0.00854*H$5/H$4)</f>
        <v>44.710474836282387</v>
      </c>
      <c r="J63" s="6">
        <f>0.44243*H$4*(H$5/H$4)^1.11499</f>
        <v>8.060780506404603</v>
      </c>
      <c r="K63" t="s">
        <v>97</v>
      </c>
    </row>
    <row r="64" spans="4:15" x14ac:dyDescent="0.25">
      <c r="H64" s="6"/>
      <c r="I64" s="6"/>
      <c r="J64" s="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F20D-552C-4DD7-BC1B-84F89C6B57E0}">
  <dimension ref="C3:I16"/>
  <sheetViews>
    <sheetView workbookViewId="0">
      <selection activeCell="E9" sqref="E9"/>
    </sheetView>
  </sheetViews>
  <sheetFormatPr defaultRowHeight="15" x14ac:dyDescent="0.25"/>
  <sheetData>
    <row r="3" spans="3:9" x14ac:dyDescent="0.25">
      <c r="D3" t="s">
        <v>119</v>
      </c>
    </row>
    <row r="4" spans="3:9" x14ac:dyDescent="0.25">
      <c r="D4" t="s">
        <v>111</v>
      </c>
      <c r="E4">
        <f>Meting!H27</f>
        <v>3.0138888888888888</v>
      </c>
    </row>
    <row r="5" spans="3:9" x14ac:dyDescent="0.25">
      <c r="D5" t="s">
        <v>110</v>
      </c>
      <c r="E5">
        <v>0</v>
      </c>
    </row>
    <row r="6" spans="3:9" x14ac:dyDescent="0.25">
      <c r="D6" t="s">
        <v>120</v>
      </c>
      <c r="E6">
        <f>Meting!H32</f>
        <v>45</v>
      </c>
    </row>
    <row r="7" spans="3:9" x14ac:dyDescent="0.25">
      <c r="D7" t="s">
        <v>43</v>
      </c>
      <c r="E7">
        <v>1</v>
      </c>
    </row>
    <row r="8" spans="3:9" x14ac:dyDescent="0.25">
      <c r="D8" t="s">
        <v>123</v>
      </c>
      <c r="E8">
        <v>1</v>
      </c>
    </row>
    <row r="10" spans="3:9" x14ac:dyDescent="0.25">
      <c r="D10" t="s">
        <v>121</v>
      </c>
    </row>
    <row r="11" spans="3:9" x14ac:dyDescent="0.25">
      <c r="D11" t="s">
        <v>111</v>
      </c>
    </row>
    <row r="12" spans="3:9" x14ac:dyDescent="0.25">
      <c r="D12" t="s">
        <v>110</v>
      </c>
    </row>
    <row r="13" spans="3:9" x14ac:dyDescent="0.25">
      <c r="D13" t="s">
        <v>120</v>
      </c>
    </row>
    <row r="14" spans="3:9" x14ac:dyDescent="0.25">
      <c r="D14" t="s">
        <v>43</v>
      </c>
    </row>
    <row r="16" spans="3:9" x14ac:dyDescent="0.25">
      <c r="C16" t="s">
        <v>122</v>
      </c>
      <c r="D16">
        <f>(E5*E8+E4)/(E6*E8+E7)</f>
        <v>6.5519323671497584E-2</v>
      </c>
      <c r="E16" s="1" t="s">
        <v>124</v>
      </c>
      <c r="F16">
        <f>(-E5*E8+E4)/(E6*E8+E7)</f>
        <v>6.5519323671497584E-2</v>
      </c>
      <c r="G16" t="s">
        <v>125</v>
      </c>
      <c r="H16">
        <f>(-E6*E8+E7)/(E6*E8+E7)</f>
        <v>-0.95652173913043481</v>
      </c>
      <c r="I16" t="s">
        <v>126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5E8-DE1F-4A8D-9CE8-CF35615A4ECE}">
  <dimension ref="C19:R36"/>
  <sheetViews>
    <sheetView workbookViewId="0">
      <selection activeCell="R21" sqref="R21"/>
    </sheetView>
  </sheetViews>
  <sheetFormatPr defaultRowHeight="15" x14ac:dyDescent="0.25"/>
  <sheetData>
    <row r="19" spans="3:18" x14ac:dyDescent="0.25">
      <c r="C19" t="s">
        <v>127</v>
      </c>
      <c r="R19" t="s">
        <v>142</v>
      </c>
    </row>
    <row r="20" spans="3:18" x14ac:dyDescent="0.25">
      <c r="C20" t="s">
        <v>156</v>
      </c>
      <c r="R20" t="s">
        <v>157</v>
      </c>
    </row>
    <row r="21" spans="3:18" x14ac:dyDescent="0.25">
      <c r="C21" t="s">
        <v>128</v>
      </c>
      <c r="R21" t="s">
        <v>143</v>
      </c>
    </row>
    <row r="22" spans="3:18" x14ac:dyDescent="0.25">
      <c r="C22" t="s">
        <v>129</v>
      </c>
      <c r="R22" t="s">
        <v>144</v>
      </c>
    </row>
    <row r="23" spans="3:18" x14ac:dyDescent="0.25">
      <c r="C23" t="s">
        <v>130</v>
      </c>
      <c r="R23" t="s">
        <v>145</v>
      </c>
    </row>
    <row r="24" spans="3:18" x14ac:dyDescent="0.25">
      <c r="C24" t="s">
        <v>131</v>
      </c>
      <c r="R24" t="s">
        <v>146</v>
      </c>
    </row>
    <row r="25" spans="3:18" x14ac:dyDescent="0.25">
      <c r="C25" t="s">
        <v>132</v>
      </c>
      <c r="R25" t="s">
        <v>147</v>
      </c>
    </row>
    <row r="26" spans="3:18" x14ac:dyDescent="0.25">
      <c r="C26" t="s">
        <v>133</v>
      </c>
      <c r="R26" t="s">
        <v>148</v>
      </c>
    </row>
    <row r="27" spans="3:18" x14ac:dyDescent="0.25">
      <c r="C27" t="s">
        <v>134</v>
      </c>
      <c r="R27" t="s">
        <v>132</v>
      </c>
    </row>
    <row r="28" spans="3:18" x14ac:dyDescent="0.25">
      <c r="C28" t="s">
        <v>151</v>
      </c>
      <c r="R28" t="s">
        <v>149</v>
      </c>
    </row>
    <row r="29" spans="3:18" x14ac:dyDescent="0.25">
      <c r="C29" t="s">
        <v>135</v>
      </c>
      <c r="R29" t="s">
        <v>134</v>
      </c>
    </row>
    <row r="30" spans="3:18" x14ac:dyDescent="0.25">
      <c r="C30" t="s">
        <v>136</v>
      </c>
      <c r="R30" t="s">
        <v>150</v>
      </c>
    </row>
    <row r="31" spans="3:18" x14ac:dyDescent="0.25">
      <c r="C31" t="s">
        <v>137</v>
      </c>
      <c r="R31" t="s">
        <v>152</v>
      </c>
    </row>
    <row r="32" spans="3:18" x14ac:dyDescent="0.25">
      <c r="C32" t="s">
        <v>138</v>
      </c>
      <c r="R32" t="s">
        <v>153</v>
      </c>
    </row>
    <row r="33" spans="3:18" x14ac:dyDescent="0.25">
      <c r="R33" t="s">
        <v>154</v>
      </c>
    </row>
    <row r="34" spans="3:18" x14ac:dyDescent="0.25">
      <c r="C34" t="s">
        <v>139</v>
      </c>
      <c r="R34" t="s">
        <v>155</v>
      </c>
    </row>
    <row r="35" spans="3:18" x14ac:dyDescent="0.25">
      <c r="D35" t="s">
        <v>140</v>
      </c>
      <c r="R35" t="s">
        <v>138</v>
      </c>
    </row>
    <row r="36" spans="3:18" x14ac:dyDescent="0.25">
      <c r="D36" t="s">
        <v>141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F9EC0-DA6A-4CE0-93CC-D91BEFE5CC79}">
  <dimension ref="C1:V78"/>
  <sheetViews>
    <sheetView tabSelected="1" workbookViewId="0">
      <selection activeCell="L11" sqref="L11"/>
    </sheetView>
  </sheetViews>
  <sheetFormatPr defaultRowHeight="15" x14ac:dyDescent="0.25"/>
  <cols>
    <col min="3" max="4" width="9.140625" style="1"/>
    <col min="5" max="5" width="13.85546875" bestFit="1" customWidth="1"/>
    <col min="6" max="11" width="12" customWidth="1"/>
    <col min="12" max="12" width="16.42578125" bestFit="1" customWidth="1"/>
  </cols>
  <sheetData>
    <row r="1" spans="3:11" x14ac:dyDescent="0.25">
      <c r="E1" s="1" t="s">
        <v>161</v>
      </c>
      <c r="F1" s="1" t="s">
        <v>162</v>
      </c>
      <c r="G1" s="1" t="s">
        <v>160</v>
      </c>
      <c r="H1" s="1" t="s">
        <v>163</v>
      </c>
      <c r="I1" s="1" t="s">
        <v>164</v>
      </c>
      <c r="J1" s="1" t="s">
        <v>165</v>
      </c>
      <c r="K1" s="1" t="s">
        <v>166</v>
      </c>
    </row>
    <row r="2" spans="3:11" x14ac:dyDescent="0.25">
      <c r="C2" s="2" t="s">
        <v>0</v>
      </c>
      <c r="D2" s="2" t="s">
        <v>158</v>
      </c>
      <c r="E2" s="11" t="s">
        <v>159</v>
      </c>
      <c r="F2" s="11" t="s">
        <v>159</v>
      </c>
      <c r="G2" s="11" t="s">
        <v>159</v>
      </c>
      <c r="H2" s="11" t="s">
        <v>159</v>
      </c>
      <c r="I2" s="11" t="s">
        <v>159</v>
      </c>
      <c r="J2" s="11" t="s">
        <v>159</v>
      </c>
      <c r="K2" s="11" t="s">
        <v>159</v>
      </c>
    </row>
    <row r="3" spans="3:11" x14ac:dyDescent="0.25">
      <c r="C3" s="1">
        <v>0</v>
      </c>
      <c r="D3" s="1">
        <v>25</v>
      </c>
      <c r="E3" s="6">
        <v>31</v>
      </c>
      <c r="F3" s="6">
        <v>29</v>
      </c>
      <c r="G3" s="6">
        <v>33</v>
      </c>
      <c r="H3" s="6">
        <v>32</v>
      </c>
      <c r="I3" s="6">
        <v>35</v>
      </c>
      <c r="J3" s="6">
        <v>32</v>
      </c>
      <c r="K3" s="6">
        <v>33</v>
      </c>
    </row>
    <row r="4" spans="3:11" x14ac:dyDescent="0.25">
      <c r="C4" s="1">
        <v>4</v>
      </c>
      <c r="D4" s="1">
        <v>28</v>
      </c>
      <c r="E4" s="6">
        <v>31</v>
      </c>
      <c r="F4" s="6">
        <v>29</v>
      </c>
      <c r="G4" s="6">
        <v>33</v>
      </c>
      <c r="H4" s="6">
        <v>32</v>
      </c>
      <c r="I4" s="6">
        <v>35</v>
      </c>
      <c r="J4" s="6">
        <v>32</v>
      </c>
      <c r="K4" s="6">
        <v>33</v>
      </c>
    </row>
    <row r="5" spans="3:11" x14ac:dyDescent="0.25">
      <c r="C5" s="1">
        <f>C4+4</f>
        <v>8</v>
      </c>
      <c r="D5" s="1">
        <v>34</v>
      </c>
      <c r="E5" s="6">
        <v>31</v>
      </c>
      <c r="F5" s="6">
        <v>29</v>
      </c>
      <c r="G5" s="6">
        <v>33</v>
      </c>
      <c r="H5" s="6">
        <v>36</v>
      </c>
      <c r="I5" s="6">
        <v>35</v>
      </c>
      <c r="J5" s="6">
        <v>36</v>
      </c>
      <c r="K5" s="6">
        <v>33</v>
      </c>
    </row>
    <row r="6" spans="3:11" x14ac:dyDescent="0.25">
      <c r="C6" s="1">
        <f t="shared" ref="C6:C64" si="0">C5+4</f>
        <v>12</v>
      </c>
      <c r="D6" s="1">
        <v>40</v>
      </c>
      <c r="E6" s="6">
        <v>31</v>
      </c>
      <c r="F6" s="6">
        <v>29</v>
      </c>
      <c r="G6" s="6">
        <v>33</v>
      </c>
      <c r="H6" s="6">
        <v>42</v>
      </c>
      <c r="I6" s="6">
        <v>35</v>
      </c>
      <c r="J6" s="6">
        <v>42</v>
      </c>
      <c r="K6" s="6">
        <v>33</v>
      </c>
    </row>
    <row r="7" spans="3:11" x14ac:dyDescent="0.25">
      <c r="C7" s="1">
        <f t="shared" si="0"/>
        <v>16</v>
      </c>
      <c r="D7" s="1">
        <v>46</v>
      </c>
      <c r="E7" s="6">
        <v>31</v>
      </c>
      <c r="F7" s="6">
        <v>29</v>
      </c>
      <c r="G7" s="6">
        <v>32</v>
      </c>
      <c r="H7" s="6">
        <v>51</v>
      </c>
      <c r="I7" s="6">
        <v>35</v>
      </c>
      <c r="J7" s="6">
        <v>48</v>
      </c>
      <c r="K7" s="6">
        <v>33</v>
      </c>
    </row>
    <row r="8" spans="3:11" x14ac:dyDescent="0.25">
      <c r="C8" s="1">
        <f t="shared" si="0"/>
        <v>20</v>
      </c>
      <c r="D8" s="1">
        <v>53</v>
      </c>
      <c r="E8" s="6">
        <v>31</v>
      </c>
      <c r="F8" s="6">
        <v>30</v>
      </c>
      <c r="G8" s="6">
        <v>33</v>
      </c>
      <c r="H8" s="6">
        <v>60</v>
      </c>
      <c r="I8" s="6">
        <v>35</v>
      </c>
      <c r="J8" s="6">
        <v>55</v>
      </c>
      <c r="K8" s="6">
        <v>33</v>
      </c>
    </row>
    <row r="9" spans="3:11" x14ac:dyDescent="0.25">
      <c r="C9" s="1">
        <f t="shared" si="0"/>
        <v>24</v>
      </c>
      <c r="D9" s="1">
        <v>59</v>
      </c>
      <c r="E9" s="6">
        <v>32</v>
      </c>
      <c r="F9" s="6">
        <v>30</v>
      </c>
      <c r="G9" s="6">
        <v>33</v>
      </c>
      <c r="H9" s="6">
        <v>69</v>
      </c>
      <c r="I9" s="6">
        <v>35</v>
      </c>
      <c r="J9" s="6">
        <v>60</v>
      </c>
      <c r="K9" s="6">
        <v>33</v>
      </c>
    </row>
    <row r="10" spans="3:11" x14ac:dyDescent="0.25">
      <c r="C10" s="1">
        <f t="shared" si="0"/>
        <v>28</v>
      </c>
      <c r="D10" s="1">
        <v>65</v>
      </c>
      <c r="E10" s="6">
        <v>33</v>
      </c>
      <c r="F10" s="6">
        <v>32</v>
      </c>
      <c r="G10" s="6">
        <v>33</v>
      </c>
      <c r="H10" s="6">
        <v>76</v>
      </c>
      <c r="I10" s="6">
        <v>35</v>
      </c>
      <c r="J10" s="6">
        <v>65</v>
      </c>
      <c r="K10" s="6">
        <v>34</v>
      </c>
    </row>
    <row r="11" spans="3:11" x14ac:dyDescent="0.25">
      <c r="C11" s="1">
        <f t="shared" si="0"/>
        <v>32</v>
      </c>
      <c r="D11" s="1">
        <v>73</v>
      </c>
      <c r="E11" s="6">
        <v>34</v>
      </c>
      <c r="F11" s="6">
        <v>34</v>
      </c>
      <c r="G11" s="6">
        <v>33</v>
      </c>
      <c r="H11" s="6">
        <v>80</v>
      </c>
      <c r="I11" s="6">
        <v>36</v>
      </c>
      <c r="J11" s="6">
        <v>68</v>
      </c>
      <c r="K11" s="6">
        <v>35</v>
      </c>
    </row>
    <row r="12" spans="3:11" x14ac:dyDescent="0.25">
      <c r="C12" s="1">
        <f t="shared" si="0"/>
        <v>36</v>
      </c>
      <c r="D12" s="1">
        <v>78</v>
      </c>
      <c r="E12" s="6">
        <v>36</v>
      </c>
      <c r="F12" s="6">
        <v>40</v>
      </c>
      <c r="G12" s="6">
        <v>33</v>
      </c>
      <c r="H12" s="6">
        <v>83</v>
      </c>
      <c r="I12" s="6">
        <v>38</v>
      </c>
      <c r="J12" s="6">
        <v>70</v>
      </c>
      <c r="K12" s="6">
        <v>38</v>
      </c>
    </row>
    <row r="13" spans="3:11" x14ac:dyDescent="0.25">
      <c r="C13" s="1">
        <f t="shared" si="0"/>
        <v>40</v>
      </c>
      <c r="D13" s="1">
        <v>84</v>
      </c>
      <c r="E13" s="6">
        <v>43</v>
      </c>
      <c r="F13" s="6">
        <v>51</v>
      </c>
      <c r="G13" s="6">
        <v>33</v>
      </c>
      <c r="H13" s="6">
        <v>85</v>
      </c>
      <c r="I13" s="6">
        <v>41</v>
      </c>
      <c r="J13" s="6">
        <v>71</v>
      </c>
      <c r="K13" s="6">
        <v>45</v>
      </c>
    </row>
    <row r="14" spans="3:11" x14ac:dyDescent="0.25">
      <c r="C14" s="1">
        <f t="shared" si="0"/>
        <v>44</v>
      </c>
      <c r="D14" s="1">
        <v>90</v>
      </c>
      <c r="E14" s="6">
        <v>54</v>
      </c>
      <c r="F14" s="6">
        <v>65</v>
      </c>
      <c r="G14" s="6">
        <v>34</v>
      </c>
      <c r="H14" s="6">
        <v>87</v>
      </c>
      <c r="I14" s="6">
        <v>48</v>
      </c>
      <c r="J14" s="6">
        <v>72</v>
      </c>
      <c r="K14" s="6">
        <v>55</v>
      </c>
    </row>
    <row r="15" spans="3:11" x14ac:dyDescent="0.25">
      <c r="C15" s="1">
        <f t="shared" si="0"/>
        <v>48</v>
      </c>
      <c r="D15" s="1">
        <v>98</v>
      </c>
      <c r="E15" s="6">
        <v>67</v>
      </c>
      <c r="F15" s="6">
        <v>80</v>
      </c>
      <c r="G15" s="6">
        <v>35</v>
      </c>
      <c r="H15" s="6">
        <v>87</v>
      </c>
      <c r="I15" s="6">
        <v>57</v>
      </c>
      <c r="J15" s="6">
        <v>73</v>
      </c>
      <c r="K15" s="6">
        <v>67</v>
      </c>
    </row>
    <row r="16" spans="3:11" x14ac:dyDescent="0.25">
      <c r="C16" s="1">
        <f t="shared" si="0"/>
        <v>52</v>
      </c>
      <c r="D16" s="1">
        <v>104</v>
      </c>
      <c r="E16" s="6">
        <v>81</v>
      </c>
      <c r="F16" s="6">
        <v>94</v>
      </c>
      <c r="G16" s="6">
        <v>35</v>
      </c>
      <c r="H16" s="6">
        <v>87</v>
      </c>
      <c r="I16" s="6">
        <v>69</v>
      </c>
      <c r="J16" s="6">
        <v>74</v>
      </c>
      <c r="K16" s="6">
        <v>81</v>
      </c>
    </row>
    <row r="17" spans="3:22" x14ac:dyDescent="0.25">
      <c r="C17" s="1">
        <f t="shared" si="0"/>
        <v>56</v>
      </c>
      <c r="D17" s="1">
        <v>110</v>
      </c>
      <c r="E17" s="6">
        <v>93</v>
      </c>
      <c r="F17" s="6">
        <v>109</v>
      </c>
      <c r="G17" s="6">
        <v>38</v>
      </c>
      <c r="H17" s="6">
        <v>88</v>
      </c>
      <c r="I17" s="6">
        <v>80</v>
      </c>
      <c r="J17" s="6">
        <v>75</v>
      </c>
      <c r="K17" s="6">
        <v>93</v>
      </c>
    </row>
    <row r="18" spans="3:22" x14ac:dyDescent="0.25">
      <c r="C18" s="1">
        <f t="shared" si="0"/>
        <v>60</v>
      </c>
      <c r="D18" s="1">
        <v>116</v>
      </c>
      <c r="E18" s="6">
        <v>107</v>
      </c>
      <c r="F18" s="6">
        <v>122</v>
      </c>
      <c r="G18" s="6">
        <v>40</v>
      </c>
      <c r="H18" s="6">
        <v>89</v>
      </c>
      <c r="I18" s="6">
        <v>89</v>
      </c>
      <c r="J18" s="6">
        <v>77</v>
      </c>
      <c r="K18" s="6">
        <v>102</v>
      </c>
    </row>
    <row r="19" spans="3:22" x14ac:dyDescent="0.25">
      <c r="C19" s="1">
        <f t="shared" si="0"/>
        <v>64</v>
      </c>
      <c r="D19" s="1">
        <v>120</v>
      </c>
      <c r="E19" s="6">
        <v>119</v>
      </c>
      <c r="F19" s="6">
        <v>134</v>
      </c>
      <c r="G19" s="6">
        <v>43</v>
      </c>
      <c r="H19" s="6">
        <v>89</v>
      </c>
      <c r="I19" s="6">
        <v>95</v>
      </c>
      <c r="J19" s="6">
        <v>79</v>
      </c>
      <c r="K19" s="6">
        <v>108</v>
      </c>
    </row>
    <row r="20" spans="3:22" x14ac:dyDescent="0.25">
      <c r="C20" s="1">
        <f t="shared" si="0"/>
        <v>68</v>
      </c>
      <c r="D20" s="1">
        <v>121</v>
      </c>
      <c r="E20" s="6">
        <v>128</v>
      </c>
      <c r="F20" s="6">
        <v>144</v>
      </c>
      <c r="G20" s="6">
        <v>47</v>
      </c>
      <c r="H20" s="6">
        <v>91</v>
      </c>
      <c r="I20" s="6">
        <v>100</v>
      </c>
      <c r="J20" s="6">
        <v>84</v>
      </c>
      <c r="K20" s="6">
        <v>113</v>
      </c>
    </row>
    <row r="21" spans="3:22" x14ac:dyDescent="0.25">
      <c r="C21" s="1">
        <f t="shared" si="0"/>
        <v>72</v>
      </c>
      <c r="D21" s="1">
        <v>122</v>
      </c>
      <c r="E21" s="6">
        <v>134</v>
      </c>
      <c r="F21" s="6">
        <v>151</v>
      </c>
      <c r="G21" s="6">
        <v>52</v>
      </c>
      <c r="H21" s="6">
        <v>92</v>
      </c>
      <c r="I21" s="6">
        <v>103</v>
      </c>
      <c r="J21" s="6">
        <v>90</v>
      </c>
      <c r="K21" s="6">
        <v>116</v>
      </c>
    </row>
    <row r="22" spans="3:22" x14ac:dyDescent="0.25">
      <c r="C22" s="1">
        <f t="shared" si="0"/>
        <v>76</v>
      </c>
      <c r="D22" s="1">
        <v>123</v>
      </c>
      <c r="E22" s="6">
        <v>137</v>
      </c>
      <c r="F22" s="6">
        <v>155</v>
      </c>
      <c r="G22" s="6">
        <v>59</v>
      </c>
      <c r="H22" s="6">
        <v>96</v>
      </c>
      <c r="I22" s="6">
        <v>106</v>
      </c>
      <c r="J22" s="6">
        <v>98</v>
      </c>
      <c r="K22" s="6">
        <v>117</v>
      </c>
    </row>
    <row r="23" spans="3:22" x14ac:dyDescent="0.25">
      <c r="C23" s="1">
        <f t="shared" si="0"/>
        <v>80</v>
      </c>
      <c r="D23" s="1">
        <v>123</v>
      </c>
      <c r="E23" s="6">
        <v>140</v>
      </c>
      <c r="F23" s="6">
        <v>157</v>
      </c>
      <c r="G23" s="6">
        <v>67</v>
      </c>
      <c r="H23" s="6">
        <v>102</v>
      </c>
      <c r="I23" s="6">
        <v>107</v>
      </c>
      <c r="J23" s="6">
        <v>107</v>
      </c>
      <c r="K23" s="6">
        <v>118</v>
      </c>
    </row>
    <row r="24" spans="3:22" x14ac:dyDescent="0.25">
      <c r="C24" s="1">
        <f t="shared" si="0"/>
        <v>84</v>
      </c>
      <c r="D24" s="1">
        <v>124</v>
      </c>
      <c r="E24" s="6">
        <v>141</v>
      </c>
      <c r="F24" s="6">
        <v>158</v>
      </c>
      <c r="G24" s="6">
        <v>75</v>
      </c>
      <c r="H24" s="6">
        <v>109</v>
      </c>
      <c r="I24" s="6">
        <v>108</v>
      </c>
      <c r="J24" s="6">
        <v>116</v>
      </c>
      <c r="K24" s="6">
        <v>120</v>
      </c>
    </row>
    <row r="25" spans="3:22" x14ac:dyDescent="0.25">
      <c r="C25" s="1">
        <f t="shared" si="0"/>
        <v>88</v>
      </c>
      <c r="D25" s="1">
        <v>125</v>
      </c>
      <c r="E25" s="6">
        <v>141</v>
      </c>
      <c r="F25" s="6">
        <v>158</v>
      </c>
      <c r="G25" s="6">
        <v>83</v>
      </c>
      <c r="H25" s="6">
        <v>117</v>
      </c>
      <c r="I25" s="6">
        <v>110</v>
      </c>
      <c r="J25" s="6">
        <v>122</v>
      </c>
      <c r="K25" s="6">
        <v>121</v>
      </c>
      <c r="L25" t="s">
        <v>116</v>
      </c>
      <c r="M25">
        <f>82-10</f>
        <v>72</v>
      </c>
    </row>
    <row r="26" spans="3:22" x14ac:dyDescent="0.25">
      <c r="C26" s="1">
        <f t="shared" si="0"/>
        <v>92</v>
      </c>
      <c r="D26" s="1">
        <v>126</v>
      </c>
      <c r="E26" s="6">
        <v>141</v>
      </c>
      <c r="F26" s="6">
        <v>158</v>
      </c>
      <c r="G26" s="6">
        <v>91</v>
      </c>
      <c r="H26" s="6">
        <v>124</v>
      </c>
      <c r="I26" s="6">
        <v>111</v>
      </c>
      <c r="J26" s="6">
        <v>127</v>
      </c>
      <c r="K26" s="6">
        <v>121</v>
      </c>
      <c r="L26" t="s">
        <v>2</v>
      </c>
      <c r="M26">
        <f>242-25</f>
        <v>217</v>
      </c>
      <c r="N26" t="s">
        <v>3</v>
      </c>
      <c r="P26" t="s">
        <v>98</v>
      </c>
    </row>
    <row r="27" spans="3:22" x14ac:dyDescent="0.25">
      <c r="C27" s="1">
        <f t="shared" si="0"/>
        <v>96</v>
      </c>
      <c r="D27" s="1">
        <v>127</v>
      </c>
      <c r="E27" s="6">
        <v>140</v>
      </c>
      <c r="F27" s="6">
        <v>157</v>
      </c>
      <c r="G27" s="6">
        <v>99</v>
      </c>
      <c r="H27" s="6">
        <v>130</v>
      </c>
      <c r="I27" s="6">
        <v>114</v>
      </c>
      <c r="J27" s="6">
        <v>130</v>
      </c>
      <c r="K27" s="6">
        <v>122</v>
      </c>
      <c r="L27" t="s">
        <v>4</v>
      </c>
      <c r="M27" s="13">
        <f>M26/M25</f>
        <v>3.0138888888888888</v>
      </c>
      <c r="N27" t="s">
        <v>5</v>
      </c>
      <c r="P27" t="s">
        <v>99</v>
      </c>
      <c r="Q27">
        <v>2</v>
      </c>
      <c r="R27" t="s">
        <v>102</v>
      </c>
      <c r="U27" t="s">
        <v>43</v>
      </c>
      <c r="V27" s="12">
        <f>PID!R20</f>
        <v>0.89483931681436979</v>
      </c>
    </row>
    <row r="28" spans="3:22" x14ac:dyDescent="0.25">
      <c r="C28" s="1">
        <f t="shared" si="0"/>
        <v>100</v>
      </c>
      <c r="D28" s="1">
        <v>128</v>
      </c>
      <c r="E28" s="6">
        <v>139</v>
      </c>
      <c r="F28" s="6">
        <v>156</v>
      </c>
      <c r="G28" s="6">
        <v>107</v>
      </c>
      <c r="H28" s="6">
        <v>133</v>
      </c>
      <c r="I28" s="6">
        <v>118</v>
      </c>
      <c r="J28" s="6">
        <v>131</v>
      </c>
      <c r="K28" s="6">
        <v>122</v>
      </c>
      <c r="L28" t="s">
        <v>6</v>
      </c>
      <c r="M28">
        <v>10</v>
      </c>
      <c r="N28" t="s">
        <v>7</v>
      </c>
      <c r="P28" t="s">
        <v>100</v>
      </c>
      <c r="Q28">
        <v>17</v>
      </c>
      <c r="U28" t="s">
        <v>110</v>
      </c>
      <c r="V28">
        <f>PID!R21</f>
        <v>0.31694378305317089</v>
      </c>
    </row>
    <row r="29" spans="3:22" x14ac:dyDescent="0.25">
      <c r="C29" s="1">
        <f t="shared" si="0"/>
        <v>104</v>
      </c>
      <c r="D29" s="1">
        <v>128</v>
      </c>
      <c r="E29" s="6">
        <v>138</v>
      </c>
      <c r="F29" s="6">
        <v>155</v>
      </c>
      <c r="G29" s="6">
        <v>112</v>
      </c>
      <c r="H29" s="6">
        <v>135</v>
      </c>
      <c r="I29" s="6">
        <v>122</v>
      </c>
      <c r="J29" s="6">
        <v>131</v>
      </c>
      <c r="K29" s="6">
        <v>122</v>
      </c>
      <c r="P29" t="s">
        <v>101</v>
      </c>
      <c r="Q29">
        <v>4</v>
      </c>
      <c r="R29" t="s">
        <v>7</v>
      </c>
      <c r="U29" t="s">
        <v>111</v>
      </c>
      <c r="V29">
        <f>PID!R22</f>
        <v>0</v>
      </c>
    </row>
    <row r="30" spans="3:22" x14ac:dyDescent="0.25">
      <c r="C30" s="1">
        <f t="shared" si="0"/>
        <v>108</v>
      </c>
      <c r="D30" s="1">
        <v>129</v>
      </c>
      <c r="E30" s="6">
        <v>137</v>
      </c>
      <c r="F30" s="6">
        <v>153</v>
      </c>
      <c r="G30" s="6">
        <v>116</v>
      </c>
      <c r="H30" s="6">
        <v>136</v>
      </c>
      <c r="I30" s="6">
        <v>126</v>
      </c>
      <c r="J30" s="6">
        <v>132</v>
      </c>
      <c r="K30" s="6">
        <v>123</v>
      </c>
      <c r="L30" t="s">
        <v>8</v>
      </c>
      <c r="M30">
        <f>0.632*M26+25</f>
        <v>162.14400000000001</v>
      </c>
      <c r="N30" t="s">
        <v>3</v>
      </c>
      <c r="P30" t="s">
        <v>30</v>
      </c>
      <c r="Q30">
        <v>5</v>
      </c>
      <c r="R30" t="s">
        <v>7</v>
      </c>
      <c r="U30" t="s">
        <v>49</v>
      </c>
      <c r="V30">
        <v>1</v>
      </c>
    </row>
    <row r="31" spans="3:22" x14ac:dyDescent="0.25">
      <c r="C31" s="1">
        <f t="shared" si="0"/>
        <v>112</v>
      </c>
      <c r="D31" s="1">
        <v>130</v>
      </c>
      <c r="E31" s="6">
        <v>136</v>
      </c>
      <c r="F31" s="6">
        <v>152</v>
      </c>
      <c r="G31" s="6">
        <v>118</v>
      </c>
      <c r="H31" s="6">
        <v>136</v>
      </c>
      <c r="I31" s="6">
        <v>128</v>
      </c>
      <c r="J31" s="6">
        <v>131</v>
      </c>
      <c r="K31" s="6">
        <v>124</v>
      </c>
      <c r="L31" t="s">
        <v>9</v>
      </c>
      <c r="M31">
        <v>55</v>
      </c>
      <c r="N31" t="s">
        <v>7</v>
      </c>
    </row>
    <row r="32" spans="3:22" x14ac:dyDescent="0.25">
      <c r="C32" s="1">
        <f t="shared" si="0"/>
        <v>116</v>
      </c>
      <c r="D32" s="1">
        <v>131</v>
      </c>
      <c r="E32" s="6">
        <v>135</v>
      </c>
      <c r="F32" s="6">
        <v>150</v>
      </c>
      <c r="G32" s="6">
        <v>120</v>
      </c>
      <c r="H32" s="6">
        <v>136</v>
      </c>
      <c r="I32" s="6">
        <v>130</v>
      </c>
      <c r="J32" s="6">
        <v>131</v>
      </c>
      <c r="K32" s="6">
        <v>126</v>
      </c>
      <c r="L32" t="s">
        <v>10</v>
      </c>
      <c r="M32">
        <f>M31-M28</f>
        <v>45</v>
      </c>
      <c r="N32" t="s">
        <v>7</v>
      </c>
      <c r="U32" t="s">
        <v>112</v>
      </c>
      <c r="V32" t="s">
        <v>113</v>
      </c>
    </row>
    <row r="33" spans="3:22" x14ac:dyDescent="0.25">
      <c r="C33" s="1">
        <f t="shared" si="0"/>
        <v>120</v>
      </c>
      <c r="D33" s="1">
        <v>132</v>
      </c>
      <c r="E33" s="6">
        <v>134</v>
      </c>
      <c r="F33" s="6">
        <v>148</v>
      </c>
      <c r="G33" s="6">
        <v>120</v>
      </c>
      <c r="H33" s="6">
        <v>136</v>
      </c>
      <c r="I33" s="6">
        <v>131</v>
      </c>
      <c r="J33" s="6">
        <v>132</v>
      </c>
      <c r="K33" s="6">
        <v>129</v>
      </c>
      <c r="P33" t="s">
        <v>107</v>
      </c>
      <c r="Q33" t="s">
        <v>108</v>
      </c>
    </row>
    <row r="34" spans="3:22" x14ac:dyDescent="0.25">
      <c r="C34" s="1">
        <f t="shared" si="0"/>
        <v>124</v>
      </c>
      <c r="D34" s="1">
        <v>132</v>
      </c>
      <c r="E34" s="6">
        <v>133</v>
      </c>
      <c r="F34" s="6">
        <v>147</v>
      </c>
      <c r="G34" s="6">
        <v>121</v>
      </c>
      <c r="H34" s="6">
        <v>136</v>
      </c>
      <c r="I34" s="6">
        <v>132</v>
      </c>
      <c r="J34" s="6">
        <v>133</v>
      </c>
      <c r="K34" s="6">
        <v>132</v>
      </c>
      <c r="L34" t="s">
        <v>103</v>
      </c>
      <c r="M34">
        <f>0.95*M26+29</f>
        <v>235.14999999999998</v>
      </c>
      <c r="P34" t="s">
        <v>109</v>
      </c>
      <c r="U34" t="s">
        <v>43</v>
      </c>
      <c r="V34" s="12">
        <f>M32/(M32+Q30)</f>
        <v>0.9</v>
      </c>
    </row>
    <row r="35" spans="3:22" x14ac:dyDescent="0.25">
      <c r="C35" s="1">
        <f t="shared" si="0"/>
        <v>128</v>
      </c>
      <c r="D35" s="1">
        <v>133</v>
      </c>
      <c r="E35" s="6">
        <v>132</v>
      </c>
      <c r="F35" s="6">
        <v>146</v>
      </c>
      <c r="G35" s="6">
        <v>121</v>
      </c>
      <c r="H35" s="6">
        <v>136</v>
      </c>
      <c r="I35" s="6">
        <v>133</v>
      </c>
      <c r="J35" s="6">
        <v>134</v>
      </c>
      <c r="K35" s="6">
        <v>135</v>
      </c>
      <c r="L35" t="s">
        <v>9</v>
      </c>
      <c r="M35">
        <v>130</v>
      </c>
      <c r="N35" t="s">
        <v>7</v>
      </c>
      <c r="U35" t="s">
        <v>115</v>
      </c>
      <c r="V35">
        <f>M27*Q30/(M32+Q30)</f>
        <v>0.30138888888888887</v>
      </c>
    </row>
    <row r="36" spans="3:22" x14ac:dyDescent="0.25">
      <c r="C36" s="1">
        <f t="shared" si="0"/>
        <v>132</v>
      </c>
      <c r="D36" s="1">
        <v>134</v>
      </c>
      <c r="E36" s="6">
        <v>132</v>
      </c>
      <c r="F36" s="6">
        <v>144</v>
      </c>
      <c r="G36" s="6">
        <v>121</v>
      </c>
      <c r="H36" s="6">
        <v>136</v>
      </c>
      <c r="I36" s="6">
        <v>133</v>
      </c>
      <c r="J36" s="6">
        <v>134</v>
      </c>
      <c r="K36" s="6">
        <v>137</v>
      </c>
      <c r="L36" t="s">
        <v>105</v>
      </c>
      <c r="M36">
        <f>M35-M28</f>
        <v>120</v>
      </c>
      <c r="N36" t="s">
        <v>7</v>
      </c>
      <c r="U36" t="s">
        <v>110</v>
      </c>
      <c r="V36">
        <f>V35*(1-M28/Q30)</f>
        <v>-0.30138888888888887</v>
      </c>
    </row>
    <row r="37" spans="3:22" x14ac:dyDescent="0.25">
      <c r="C37" s="1">
        <f t="shared" si="0"/>
        <v>136</v>
      </c>
      <c r="D37" s="1">
        <v>135</v>
      </c>
      <c r="E37" s="6">
        <v>133</v>
      </c>
      <c r="F37" s="6">
        <v>142</v>
      </c>
      <c r="G37" s="6">
        <v>120</v>
      </c>
      <c r="H37" s="6">
        <v>136</v>
      </c>
      <c r="I37" s="6">
        <v>134</v>
      </c>
      <c r="J37" s="6">
        <v>134</v>
      </c>
      <c r="K37" s="6">
        <v>139</v>
      </c>
      <c r="L37" t="s">
        <v>104</v>
      </c>
      <c r="M37">
        <f>M36/15</f>
        <v>8</v>
      </c>
      <c r="N37" t="s">
        <v>106</v>
      </c>
      <c r="O37">
        <f>M36/6</f>
        <v>20</v>
      </c>
      <c r="P37" t="s">
        <v>7</v>
      </c>
      <c r="U37" t="s">
        <v>111</v>
      </c>
      <c r="V37">
        <f>M28/Q30</f>
        <v>2</v>
      </c>
    </row>
    <row r="38" spans="3:22" x14ac:dyDescent="0.25">
      <c r="C38" s="1">
        <f t="shared" si="0"/>
        <v>140</v>
      </c>
      <c r="D38" s="1">
        <v>135</v>
      </c>
      <c r="E38" s="6">
        <v>133</v>
      </c>
      <c r="F38" s="6">
        <v>141</v>
      </c>
      <c r="G38" s="6">
        <v>120</v>
      </c>
      <c r="H38" s="6">
        <v>135</v>
      </c>
      <c r="I38" s="6">
        <v>135</v>
      </c>
      <c r="J38" s="6">
        <v>134</v>
      </c>
      <c r="K38" s="6">
        <v>139</v>
      </c>
    </row>
    <row r="39" spans="3:22" x14ac:dyDescent="0.25">
      <c r="C39" s="1">
        <f t="shared" si="0"/>
        <v>144</v>
      </c>
      <c r="D39" s="1">
        <v>136</v>
      </c>
      <c r="E39" s="6">
        <v>135</v>
      </c>
      <c r="F39" s="6">
        <v>139</v>
      </c>
      <c r="G39" s="6">
        <v>120</v>
      </c>
      <c r="H39" s="6">
        <v>135</v>
      </c>
      <c r="I39" s="6">
        <v>136</v>
      </c>
      <c r="J39" s="6">
        <v>134</v>
      </c>
      <c r="K39" s="6">
        <v>139</v>
      </c>
    </row>
    <row r="40" spans="3:22" x14ac:dyDescent="0.25">
      <c r="C40" s="1">
        <f t="shared" si="0"/>
        <v>148</v>
      </c>
      <c r="D40" s="1">
        <v>137</v>
      </c>
      <c r="E40" s="6">
        <v>137</v>
      </c>
      <c r="F40" s="6">
        <v>138</v>
      </c>
      <c r="G40" s="6">
        <v>120</v>
      </c>
      <c r="H40" s="6">
        <v>135</v>
      </c>
      <c r="I40" s="6">
        <v>137</v>
      </c>
      <c r="J40" s="6">
        <v>134</v>
      </c>
      <c r="K40" s="6">
        <v>140</v>
      </c>
    </row>
    <row r="41" spans="3:22" x14ac:dyDescent="0.25">
      <c r="C41" s="1">
        <f t="shared" si="0"/>
        <v>152</v>
      </c>
      <c r="D41" s="1">
        <v>138</v>
      </c>
      <c r="E41" s="6">
        <v>138</v>
      </c>
      <c r="F41" s="6">
        <v>138</v>
      </c>
      <c r="G41" s="6">
        <v>120</v>
      </c>
      <c r="H41" s="6">
        <v>134</v>
      </c>
      <c r="I41" s="6">
        <v>138</v>
      </c>
      <c r="J41" s="6">
        <v>133</v>
      </c>
      <c r="K41" s="6">
        <v>140</v>
      </c>
    </row>
    <row r="42" spans="3:22" x14ac:dyDescent="0.25">
      <c r="C42" s="1">
        <f t="shared" si="0"/>
        <v>156</v>
      </c>
      <c r="D42" s="1">
        <v>139</v>
      </c>
      <c r="E42" s="6">
        <v>138</v>
      </c>
      <c r="F42" s="6">
        <v>137</v>
      </c>
      <c r="G42" s="6">
        <v>121</v>
      </c>
      <c r="H42" s="6">
        <v>134</v>
      </c>
      <c r="I42" s="6">
        <v>139</v>
      </c>
      <c r="J42" s="6">
        <v>134</v>
      </c>
      <c r="K42" s="6">
        <v>139</v>
      </c>
    </row>
    <row r="43" spans="3:22" x14ac:dyDescent="0.25">
      <c r="C43" s="1">
        <f t="shared" si="0"/>
        <v>160</v>
      </c>
      <c r="D43" s="1">
        <v>139</v>
      </c>
      <c r="E43" s="6">
        <v>139</v>
      </c>
      <c r="F43" s="6">
        <v>137</v>
      </c>
      <c r="G43" s="6">
        <v>121</v>
      </c>
      <c r="H43" s="6">
        <v>135</v>
      </c>
      <c r="I43" s="6">
        <v>139</v>
      </c>
      <c r="J43" s="6">
        <v>135</v>
      </c>
      <c r="K43" s="6">
        <v>139</v>
      </c>
    </row>
    <row r="44" spans="3:22" x14ac:dyDescent="0.25">
      <c r="C44" s="1">
        <f t="shared" si="0"/>
        <v>164</v>
      </c>
      <c r="D44" s="1">
        <v>143</v>
      </c>
      <c r="E44" s="6">
        <v>139</v>
      </c>
      <c r="F44" s="6">
        <v>136</v>
      </c>
      <c r="G44" s="6">
        <v>123</v>
      </c>
      <c r="H44" s="6">
        <v>135</v>
      </c>
      <c r="I44" s="6">
        <v>139</v>
      </c>
      <c r="J44" s="6">
        <v>137</v>
      </c>
      <c r="K44" s="6">
        <v>139</v>
      </c>
    </row>
    <row r="45" spans="3:22" x14ac:dyDescent="0.25">
      <c r="C45" s="1">
        <f t="shared" si="0"/>
        <v>168</v>
      </c>
      <c r="D45" s="1">
        <v>149</v>
      </c>
      <c r="E45" s="6">
        <v>140</v>
      </c>
      <c r="F45" s="6">
        <v>136</v>
      </c>
      <c r="G45" s="6">
        <v>123</v>
      </c>
      <c r="H45" s="6">
        <v>135</v>
      </c>
      <c r="I45" s="6">
        <v>139</v>
      </c>
      <c r="J45" s="6">
        <v>139</v>
      </c>
      <c r="K45" s="6">
        <v>139</v>
      </c>
    </row>
    <row r="46" spans="3:22" x14ac:dyDescent="0.25">
      <c r="C46" s="1">
        <f t="shared" si="0"/>
        <v>172</v>
      </c>
      <c r="D46" s="1">
        <v>155</v>
      </c>
      <c r="E46" s="6">
        <v>140</v>
      </c>
      <c r="F46" s="6">
        <v>138</v>
      </c>
      <c r="G46" s="6">
        <v>125</v>
      </c>
      <c r="H46" s="6">
        <v>136</v>
      </c>
      <c r="I46" s="6">
        <v>139</v>
      </c>
      <c r="J46" s="6">
        <v>141</v>
      </c>
      <c r="K46" s="6">
        <v>138</v>
      </c>
    </row>
    <row r="47" spans="3:22" x14ac:dyDescent="0.25">
      <c r="C47" s="1">
        <f t="shared" si="0"/>
        <v>176</v>
      </c>
      <c r="D47" s="1">
        <v>161</v>
      </c>
      <c r="E47" s="6">
        <v>140</v>
      </c>
      <c r="F47" s="6">
        <v>140</v>
      </c>
      <c r="G47" s="6">
        <v>128</v>
      </c>
      <c r="H47" s="6">
        <v>138</v>
      </c>
      <c r="I47" s="6">
        <v>140</v>
      </c>
      <c r="J47" s="6">
        <v>142</v>
      </c>
      <c r="K47" s="6">
        <v>138</v>
      </c>
    </row>
    <row r="48" spans="3:22" x14ac:dyDescent="0.25">
      <c r="C48" s="1">
        <f t="shared" si="0"/>
        <v>180</v>
      </c>
      <c r="D48" s="1">
        <v>167</v>
      </c>
      <c r="E48" s="6">
        <v>141</v>
      </c>
      <c r="F48" s="6">
        <v>143</v>
      </c>
      <c r="G48" s="6">
        <v>130</v>
      </c>
      <c r="H48" s="6">
        <v>140</v>
      </c>
      <c r="I48" s="6">
        <v>141</v>
      </c>
      <c r="J48" s="6">
        <v>144</v>
      </c>
      <c r="K48" s="6">
        <v>141</v>
      </c>
    </row>
    <row r="49" spans="3:11" x14ac:dyDescent="0.25">
      <c r="C49" s="1">
        <f t="shared" si="0"/>
        <v>184</v>
      </c>
      <c r="D49" s="1">
        <v>170</v>
      </c>
      <c r="E49" s="6">
        <v>144</v>
      </c>
      <c r="F49" s="6">
        <v>147</v>
      </c>
      <c r="G49" s="6">
        <v>133</v>
      </c>
      <c r="H49" s="6">
        <v>143</v>
      </c>
      <c r="I49" s="6">
        <v>143</v>
      </c>
      <c r="J49" s="6">
        <v>145</v>
      </c>
      <c r="K49" s="6">
        <v>145</v>
      </c>
    </row>
    <row r="50" spans="3:11" x14ac:dyDescent="0.25">
      <c r="C50" s="1">
        <f t="shared" si="0"/>
        <v>188</v>
      </c>
      <c r="D50" s="1">
        <v>170</v>
      </c>
      <c r="E50" s="6">
        <v>147</v>
      </c>
      <c r="F50" s="6">
        <v>151</v>
      </c>
      <c r="G50" s="6">
        <v>136</v>
      </c>
      <c r="H50" s="6">
        <v>146</v>
      </c>
      <c r="I50" s="6">
        <v>146</v>
      </c>
      <c r="J50" s="6">
        <v>146</v>
      </c>
      <c r="K50" s="6">
        <v>150</v>
      </c>
    </row>
    <row r="51" spans="3:11" x14ac:dyDescent="0.25">
      <c r="C51" s="1">
        <f t="shared" si="0"/>
        <v>192</v>
      </c>
      <c r="D51" s="1">
        <v>170</v>
      </c>
      <c r="E51" s="6">
        <v>151</v>
      </c>
      <c r="F51" s="6">
        <v>157</v>
      </c>
      <c r="G51" s="6">
        <v>139</v>
      </c>
      <c r="H51" s="6">
        <v>151</v>
      </c>
      <c r="I51" s="6">
        <v>150</v>
      </c>
      <c r="J51" s="6">
        <v>148</v>
      </c>
      <c r="K51" s="6">
        <v>156</v>
      </c>
    </row>
    <row r="52" spans="3:11" x14ac:dyDescent="0.25">
      <c r="C52" s="1">
        <f t="shared" si="0"/>
        <v>196</v>
      </c>
      <c r="D52" s="1">
        <v>170</v>
      </c>
      <c r="E52" s="6">
        <v>157</v>
      </c>
      <c r="F52" s="6">
        <v>163</v>
      </c>
      <c r="G52" s="6">
        <v>142</v>
      </c>
      <c r="H52" s="6">
        <v>154</v>
      </c>
      <c r="I52" s="6">
        <v>154</v>
      </c>
      <c r="J52" s="6">
        <v>152</v>
      </c>
      <c r="K52" s="6">
        <v>160</v>
      </c>
    </row>
    <row r="53" spans="3:11" x14ac:dyDescent="0.25">
      <c r="C53" s="1">
        <f t="shared" si="0"/>
        <v>200</v>
      </c>
      <c r="D53" s="1">
        <v>170</v>
      </c>
      <c r="E53" s="1">
        <v>162</v>
      </c>
      <c r="F53" s="6">
        <v>169</v>
      </c>
      <c r="G53" s="6">
        <v>144</v>
      </c>
      <c r="H53" s="6">
        <v>159</v>
      </c>
      <c r="I53" s="6">
        <v>159</v>
      </c>
      <c r="J53" s="6">
        <v>154</v>
      </c>
      <c r="K53" s="6">
        <v>166</v>
      </c>
    </row>
    <row r="54" spans="3:11" x14ac:dyDescent="0.25">
      <c r="C54" s="1">
        <f t="shared" si="0"/>
        <v>204</v>
      </c>
      <c r="D54" s="1">
        <v>168</v>
      </c>
      <c r="E54" s="1">
        <v>168</v>
      </c>
      <c r="F54" s="6">
        <v>175</v>
      </c>
      <c r="G54" s="6">
        <v>147</v>
      </c>
      <c r="H54" s="6">
        <v>162</v>
      </c>
      <c r="I54" s="6">
        <v>163</v>
      </c>
      <c r="J54" s="6">
        <v>158</v>
      </c>
      <c r="K54" s="6">
        <v>170</v>
      </c>
    </row>
    <row r="55" spans="3:11" x14ac:dyDescent="0.25">
      <c r="C55" s="1">
        <f t="shared" si="0"/>
        <v>208</v>
      </c>
      <c r="D55" s="1">
        <v>163</v>
      </c>
      <c r="E55" s="1">
        <v>173</v>
      </c>
      <c r="F55" s="6">
        <v>180</v>
      </c>
      <c r="G55" s="6">
        <v>149</v>
      </c>
      <c r="H55" s="6">
        <v>165</v>
      </c>
      <c r="I55" s="6">
        <v>166</v>
      </c>
      <c r="J55" s="6">
        <v>162</v>
      </c>
      <c r="K55" s="6">
        <v>172</v>
      </c>
    </row>
    <row r="56" spans="3:11" x14ac:dyDescent="0.25">
      <c r="C56" s="1">
        <f t="shared" si="0"/>
        <v>212</v>
      </c>
      <c r="D56" s="1">
        <v>159</v>
      </c>
      <c r="E56" s="1">
        <v>178</v>
      </c>
      <c r="F56" s="6">
        <v>184</v>
      </c>
      <c r="G56" s="6">
        <v>151</v>
      </c>
      <c r="H56" s="6">
        <v>167</v>
      </c>
      <c r="I56" s="6">
        <v>167</v>
      </c>
      <c r="J56" s="6">
        <v>164</v>
      </c>
      <c r="K56" s="6">
        <v>174</v>
      </c>
    </row>
    <row r="57" spans="3:11" x14ac:dyDescent="0.25">
      <c r="C57" s="1">
        <f t="shared" si="0"/>
        <v>216</v>
      </c>
      <c r="D57" s="1">
        <v>154</v>
      </c>
      <c r="E57" s="1">
        <v>183</v>
      </c>
      <c r="F57" s="6">
        <v>187</v>
      </c>
      <c r="G57" s="6">
        <v>153</v>
      </c>
      <c r="H57" s="6">
        <v>167</v>
      </c>
      <c r="I57" s="6">
        <v>168</v>
      </c>
      <c r="J57" s="6">
        <v>167</v>
      </c>
      <c r="K57" s="6">
        <v>174</v>
      </c>
    </row>
    <row r="58" spans="3:11" x14ac:dyDescent="0.25">
      <c r="C58" s="1">
        <f t="shared" si="0"/>
        <v>220</v>
      </c>
      <c r="D58" s="1">
        <v>150</v>
      </c>
      <c r="E58" s="1">
        <v>185</v>
      </c>
      <c r="F58" s="6">
        <v>189</v>
      </c>
      <c r="G58" s="6">
        <v>154</v>
      </c>
      <c r="H58" s="6">
        <v>167</v>
      </c>
      <c r="I58" s="6">
        <v>168</v>
      </c>
      <c r="J58" s="6">
        <v>168</v>
      </c>
      <c r="K58" s="6">
        <v>174</v>
      </c>
    </row>
    <row r="59" spans="3:11" x14ac:dyDescent="0.25">
      <c r="C59" s="1">
        <f t="shared" si="0"/>
        <v>224</v>
      </c>
      <c r="D59" s="1">
        <v>145</v>
      </c>
      <c r="E59" s="1">
        <v>187</v>
      </c>
      <c r="F59" s="6">
        <v>189</v>
      </c>
      <c r="G59" s="6">
        <v>154</v>
      </c>
      <c r="H59" s="6">
        <v>167</v>
      </c>
      <c r="I59" s="6">
        <v>169</v>
      </c>
      <c r="J59" s="6">
        <v>169</v>
      </c>
      <c r="K59" s="6">
        <v>173</v>
      </c>
    </row>
    <row r="60" spans="3:11" x14ac:dyDescent="0.25">
      <c r="C60" s="1">
        <f t="shared" si="0"/>
        <v>228</v>
      </c>
      <c r="D60" s="1">
        <v>141</v>
      </c>
      <c r="E60" s="1">
        <v>187</v>
      </c>
      <c r="F60" s="6">
        <v>189</v>
      </c>
      <c r="G60" s="6">
        <v>155</v>
      </c>
      <c r="H60" s="6">
        <v>166</v>
      </c>
      <c r="I60" s="6">
        <v>170</v>
      </c>
      <c r="J60" s="6">
        <v>169</v>
      </c>
      <c r="K60" s="6">
        <v>172</v>
      </c>
    </row>
    <row r="61" spans="3:11" x14ac:dyDescent="0.25">
      <c r="C61" s="1">
        <f t="shared" si="0"/>
        <v>232</v>
      </c>
      <c r="D61" s="1">
        <v>134</v>
      </c>
      <c r="E61" s="1">
        <v>187</v>
      </c>
      <c r="F61" s="6">
        <v>188</v>
      </c>
      <c r="G61" s="6">
        <v>154</v>
      </c>
      <c r="H61" s="6">
        <v>165</v>
      </c>
      <c r="I61" s="6">
        <v>169</v>
      </c>
      <c r="J61" s="6">
        <v>168</v>
      </c>
      <c r="K61" s="6">
        <v>170</v>
      </c>
    </row>
    <row r="62" spans="3:11" x14ac:dyDescent="0.25">
      <c r="C62" s="1">
        <f t="shared" si="0"/>
        <v>236</v>
      </c>
      <c r="D62" s="1">
        <v>129</v>
      </c>
      <c r="E62" s="1">
        <v>186</v>
      </c>
      <c r="F62" s="6">
        <v>187</v>
      </c>
      <c r="G62" s="6">
        <v>154</v>
      </c>
      <c r="H62" s="6">
        <v>163</v>
      </c>
      <c r="I62" s="6">
        <v>169</v>
      </c>
      <c r="J62" s="6">
        <v>167</v>
      </c>
      <c r="K62" s="6">
        <v>169</v>
      </c>
    </row>
    <row r="63" spans="3:11" x14ac:dyDescent="0.25">
      <c r="C63" s="1">
        <f t="shared" si="0"/>
        <v>240</v>
      </c>
      <c r="D63" s="1">
        <v>125</v>
      </c>
      <c r="E63" s="1">
        <v>184</v>
      </c>
      <c r="F63" s="6">
        <v>184</v>
      </c>
      <c r="G63" s="6">
        <v>153</v>
      </c>
      <c r="H63" s="6">
        <v>162</v>
      </c>
      <c r="I63" s="6">
        <v>167</v>
      </c>
      <c r="J63" s="6">
        <v>166</v>
      </c>
      <c r="K63" s="6">
        <v>167</v>
      </c>
    </row>
    <row r="64" spans="3:11" x14ac:dyDescent="0.25">
      <c r="C64" s="1">
        <f t="shared" si="0"/>
        <v>244</v>
      </c>
      <c r="D64" s="1">
        <v>120</v>
      </c>
      <c r="E64" s="1">
        <v>182</v>
      </c>
      <c r="F64" s="6">
        <v>183</v>
      </c>
      <c r="G64" s="6">
        <v>151</v>
      </c>
      <c r="H64" s="6">
        <v>160</v>
      </c>
      <c r="I64" s="6">
        <v>166</v>
      </c>
      <c r="J64" s="6">
        <v>165</v>
      </c>
      <c r="K64" s="6">
        <v>165</v>
      </c>
    </row>
    <row r="65" spans="7:11" x14ac:dyDescent="0.25">
      <c r="G65" s="6">
        <v>150</v>
      </c>
      <c r="H65" s="6">
        <v>158</v>
      </c>
      <c r="I65" s="6">
        <v>165</v>
      </c>
      <c r="J65" s="6">
        <v>163</v>
      </c>
      <c r="K65" s="6">
        <v>164</v>
      </c>
    </row>
    <row r="66" spans="7:11" x14ac:dyDescent="0.25">
      <c r="G66" s="6">
        <v>149</v>
      </c>
      <c r="H66" s="6">
        <v>157</v>
      </c>
      <c r="I66" s="6">
        <v>163</v>
      </c>
      <c r="J66" s="6">
        <v>161</v>
      </c>
      <c r="K66" s="6">
        <v>162</v>
      </c>
    </row>
    <row r="67" spans="7:11" x14ac:dyDescent="0.25">
      <c r="G67" s="6">
        <v>148</v>
      </c>
      <c r="H67" s="6">
        <v>148</v>
      </c>
      <c r="I67" s="6">
        <v>162</v>
      </c>
      <c r="J67" s="6">
        <v>159</v>
      </c>
      <c r="K67" s="6">
        <v>161</v>
      </c>
    </row>
    <row r="68" spans="7:11" x14ac:dyDescent="0.25">
      <c r="I68" s="6">
        <v>160</v>
      </c>
      <c r="J68" s="6">
        <v>157</v>
      </c>
      <c r="K68" s="6">
        <v>159</v>
      </c>
    </row>
    <row r="69" spans="7:11" x14ac:dyDescent="0.25">
      <c r="I69" s="6">
        <v>159</v>
      </c>
      <c r="J69" s="6">
        <v>156</v>
      </c>
      <c r="K69" s="6">
        <v>157</v>
      </c>
    </row>
    <row r="70" spans="7:11" x14ac:dyDescent="0.25">
      <c r="J70" s="6">
        <v>155</v>
      </c>
      <c r="K70" s="6">
        <v>155</v>
      </c>
    </row>
    <row r="71" spans="7:11" x14ac:dyDescent="0.25">
      <c r="J71" s="6">
        <v>153</v>
      </c>
      <c r="K71" s="6">
        <v>154</v>
      </c>
    </row>
    <row r="72" spans="7:11" x14ac:dyDescent="0.25">
      <c r="J72" s="6">
        <v>152</v>
      </c>
      <c r="K72" s="6">
        <v>152</v>
      </c>
    </row>
    <row r="73" spans="7:11" x14ac:dyDescent="0.25">
      <c r="J73" s="6">
        <v>150</v>
      </c>
      <c r="K73" s="6">
        <v>151</v>
      </c>
    </row>
    <row r="74" spans="7:11" x14ac:dyDescent="0.25">
      <c r="J74" s="6">
        <v>148</v>
      </c>
      <c r="K74" s="6">
        <v>149</v>
      </c>
    </row>
    <row r="75" spans="7:11" x14ac:dyDescent="0.25">
      <c r="J75" s="6">
        <v>146</v>
      </c>
      <c r="K75" s="6">
        <v>148</v>
      </c>
    </row>
    <row r="76" spans="7:11" x14ac:dyDescent="0.25">
      <c r="J76" s="6">
        <v>145</v>
      </c>
      <c r="K76" s="6"/>
    </row>
    <row r="77" spans="7:11" x14ac:dyDescent="0.25">
      <c r="J77" s="6">
        <v>144</v>
      </c>
      <c r="K77" s="6"/>
    </row>
    <row r="78" spans="7:11" x14ac:dyDescent="0.25">
      <c r="J78" s="6">
        <v>142</v>
      </c>
      <c r="K7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Meting</vt:lpstr>
      <vt:lpstr>PID</vt:lpstr>
      <vt:lpstr>S to Z</vt:lpstr>
      <vt:lpstr>Display</vt:lpstr>
      <vt:lpstr>Meting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Emile Van de Logt</cp:lastModifiedBy>
  <cp:lastPrinted>2023-12-07T14:10:14Z</cp:lastPrinted>
  <dcterms:created xsi:type="dcterms:W3CDTF">2015-06-05T18:19:34Z</dcterms:created>
  <dcterms:modified xsi:type="dcterms:W3CDTF">2023-12-11T15:28:31Z</dcterms:modified>
</cp:coreProperties>
</file>