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antacuzene/n-ri-22/divers/"/>
    </mc:Choice>
  </mc:AlternateContent>
  <xr:revisionPtr revIDLastSave="0" documentId="13_ncr:1_{E4DB8A4F-3AC3-D14D-9258-4CFE1E8A27AF}" xr6:coauthVersionLast="47" xr6:coauthVersionMax="47" xr10:uidLastSave="{00000000-0000-0000-0000-000000000000}"/>
  <bookViews>
    <workbookView xWindow="-28800" yWindow="11300" windowWidth="28800" windowHeight="17500" firstSheet="3" activeTab="7" xr2:uid="{E76A3D8A-04E9-2843-901E-00CE4EC30078}"/>
  </bookViews>
  <sheets>
    <sheet name="Tri runs" sheetId="9" r:id="rId1"/>
    <sheet name="Tri runs MANIP" sheetId="8" r:id="rId2"/>
    <sheet name="Eff 82Ga" sheetId="5" r:id="rId3"/>
    <sheet name="Etude effb Qb" sheetId="23" r:id="rId4"/>
    <sheet name="Pn 82Ga" sheetId="16" r:id="rId5"/>
    <sheet name="Eff 84Ga" sheetId="15" r:id="rId6"/>
    <sheet name="&lt;n&gt;  84Ga" sheetId="14" r:id="rId7"/>
    <sheet name="P2n 84Ga" sheetId="24" r:id="rId8"/>
    <sheet name="Eff 125Ag" sheetId="18" r:id="rId9"/>
    <sheet name="Pn 125Ag" sheetId="19" r:id="rId10"/>
    <sheet name="Rapports d'embranchement 84Ga" sheetId="20" r:id="rId11"/>
    <sheet name="Calibration Run par Run" sheetId="22" r:id="rId12"/>
    <sheet name="Efficacité source dans chambre" sheetId="21" r:id="rId13"/>
    <sheet name="Calbration RUN58" sheetId="7" r:id="rId14"/>
    <sheet name="Comparaison reglages beta" sheetId="4" r:id="rId15"/>
    <sheet name="Calcul Pn 82Ga avec RUN29" sheetId="6" r:id="rId16"/>
    <sheet name="RUN51" sheetId="10" r:id="rId17"/>
    <sheet name="RUN55" sheetId="13" r:id="rId18"/>
    <sheet name="RUN56" sheetId="11" r:id="rId19"/>
    <sheet name="RUN61" sheetId="1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5" l="1"/>
  <c r="G19" i="15"/>
  <c r="D24" i="15"/>
  <c r="D19" i="15"/>
  <c r="C24" i="15"/>
  <c r="C29" i="15"/>
  <c r="C19" i="15"/>
  <c r="B29" i="15"/>
  <c r="B24" i="15"/>
  <c r="F24" i="15" s="1"/>
  <c r="B19" i="15"/>
  <c r="F19" i="15" s="1"/>
  <c r="G2" i="24"/>
  <c r="F17" i="20"/>
  <c r="F23" i="20"/>
  <c r="F25" i="20" s="1"/>
  <c r="O2" i="20"/>
  <c r="M6" i="20" s="1"/>
  <c r="D23" i="20"/>
  <c r="E25" i="20"/>
  <c r="E23" i="20"/>
  <c r="E17" i="20"/>
  <c r="J23" i="20"/>
  <c r="J17" i="20"/>
  <c r="D17" i="20"/>
  <c r="C17" i="20"/>
  <c r="C23" i="20"/>
  <c r="C25" i="20" s="1"/>
  <c r="I23" i="20"/>
  <c r="I17" i="20"/>
  <c r="B23" i="20"/>
  <c r="B25" i="20" s="1"/>
  <c r="H17" i="20"/>
  <c r="H23" i="20"/>
  <c r="J8" i="20"/>
  <c r="J10" i="20" s="1"/>
  <c r="J2" i="20"/>
  <c r="B17" i="20"/>
  <c r="F2" i="23"/>
  <c r="E11" i="23"/>
  <c r="G8" i="23"/>
  <c r="F8" i="23"/>
  <c r="C2" i="23"/>
  <c r="D8" i="23"/>
  <c r="C8" i="23"/>
  <c r="H8" i="20"/>
  <c r="G8" i="20"/>
  <c r="I2" i="20"/>
  <c r="H2" i="20"/>
  <c r="G2" i="20"/>
  <c r="D2" i="20"/>
  <c r="C2" i="20"/>
  <c r="B2" i="20"/>
  <c r="K8" i="21"/>
  <c r="C8" i="21"/>
  <c r="D8" i="21"/>
  <c r="E8" i="21"/>
  <c r="F8" i="21"/>
  <c r="G8" i="21"/>
  <c r="H8" i="21"/>
  <c r="I8" i="21"/>
  <c r="J8" i="21"/>
  <c r="B8" i="21"/>
  <c r="Q6" i="21"/>
  <c r="Q8" i="21" s="1"/>
  <c r="I7" i="21" s="1"/>
  <c r="B8" i="20"/>
  <c r="D8" i="20"/>
  <c r="C8" i="20"/>
  <c r="E27" i="5"/>
  <c r="E3" i="14"/>
  <c r="D13" i="18"/>
  <c r="D7" i="18"/>
  <c r="B13" i="18"/>
  <c r="A13" i="18"/>
  <c r="B7" i="18"/>
  <c r="A7" i="18"/>
  <c r="C5" i="19"/>
  <c r="C5" i="16"/>
  <c r="C7" i="16"/>
  <c r="C10" i="15"/>
  <c r="B10" i="15"/>
  <c r="C5" i="15"/>
  <c r="B5" i="15"/>
  <c r="A8" i="13"/>
  <c r="B8" i="13"/>
  <c r="C8" i="13"/>
  <c r="A7" i="12"/>
  <c r="B7" i="12"/>
  <c r="C7" i="12" s="1"/>
  <c r="A7" i="11"/>
  <c r="B7" i="11"/>
  <c r="C7" i="11"/>
  <c r="A13" i="11"/>
  <c r="B13" i="11"/>
  <c r="C13" i="11" s="1"/>
  <c r="A7" i="10"/>
  <c r="C7" i="10" s="1"/>
  <c r="B7" i="10"/>
  <c r="A13" i="10"/>
  <c r="B13" i="10"/>
  <c r="C13" i="10"/>
  <c r="A19" i="10"/>
  <c r="B19" i="10"/>
  <c r="C19" i="10" s="1"/>
  <c r="A25" i="10"/>
  <c r="C25" i="10" s="1"/>
  <c r="B25" i="10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4" i="6"/>
  <c r="E9" i="6"/>
  <c r="E14" i="6"/>
  <c r="H4" i="6" s="1"/>
  <c r="E21" i="6"/>
  <c r="E26" i="6"/>
  <c r="B7" i="5"/>
  <c r="D7" i="5"/>
  <c r="G7" i="5"/>
  <c r="B11" i="5"/>
  <c r="D11" i="5"/>
  <c r="G11" i="5"/>
  <c r="B15" i="5"/>
  <c r="D15" i="5"/>
  <c r="G15" i="5"/>
  <c r="B19" i="5"/>
  <c r="D19" i="5"/>
  <c r="B23" i="5"/>
  <c r="D23" i="5"/>
  <c r="D2" i="4"/>
  <c r="G2" i="4"/>
  <c r="I2" i="4"/>
  <c r="K2" i="4" s="1"/>
  <c r="D8" i="4"/>
  <c r="G8" i="4"/>
  <c r="I8" i="4"/>
  <c r="E24" i="15" l="1"/>
  <c r="E29" i="15"/>
  <c r="E19" i="15"/>
  <c r="I25" i="20"/>
  <c r="D25" i="20"/>
  <c r="H25" i="20"/>
  <c r="J25" i="20"/>
  <c r="D10" i="20"/>
  <c r="B11" i="23"/>
  <c r="H10" i="20"/>
  <c r="I10" i="20"/>
  <c r="G10" i="20"/>
  <c r="J13" i="20" s="1"/>
  <c r="C10" i="20"/>
  <c r="B10" i="20"/>
  <c r="I11" i="21"/>
  <c r="G7" i="21"/>
  <c r="G11" i="21" s="1"/>
  <c r="E7" i="21"/>
  <c r="E11" i="21" s="1"/>
  <c r="D7" i="21"/>
  <c r="D11" i="21" s="1"/>
  <c r="K7" i="21"/>
  <c r="K11" i="21" s="1"/>
  <c r="C7" i="21"/>
  <c r="C11" i="21" s="1"/>
  <c r="F7" i="21"/>
  <c r="F11" i="21" s="1"/>
  <c r="B7" i="21"/>
  <c r="B11" i="21" s="1"/>
  <c r="J7" i="21"/>
  <c r="J11" i="21" s="1"/>
  <c r="H7" i="21"/>
  <c r="H11" i="21" s="1"/>
  <c r="D7" i="15"/>
  <c r="D2" i="15"/>
  <c r="E2" i="15"/>
  <c r="E15" i="5"/>
  <c r="E2" i="10"/>
  <c r="G4" i="6"/>
  <c r="H11" i="5"/>
  <c r="H7" i="5"/>
  <c r="E23" i="5"/>
  <c r="H21" i="6"/>
  <c r="E7" i="5"/>
  <c r="E11" i="5"/>
  <c r="E19" i="5"/>
  <c r="H15" i="5"/>
  <c r="I13" i="20" l="1"/>
  <c r="H13" i="20"/>
  <c r="D13" i="20"/>
  <c r="C13" i="20"/>
  <c r="H27" i="5"/>
  <c r="I12" i="6"/>
</calcChain>
</file>

<file path=xl/sharedStrings.xml><?xml version="1.0" encoding="utf-8"?>
<sst xmlns="http://schemas.openxmlformats.org/spreadsheetml/2006/main" count="367" uniqueCount="225">
  <si>
    <t>Pn</t>
  </si>
  <si>
    <t>Eff_beta/Eff_tetra</t>
  </si>
  <si>
    <t>Efficacité tetra</t>
  </si>
  <si>
    <t>Efficacité beta</t>
  </si>
  <si>
    <t>beta</t>
  </si>
  <si>
    <t>gamma</t>
  </si>
  <si>
    <t>Config 2</t>
  </si>
  <si>
    <t>amélioration</t>
  </si>
  <si>
    <t>ratio pic sur bruit</t>
  </si>
  <si>
    <t>background</t>
  </si>
  <si>
    <t>Max norm</t>
  </si>
  <si>
    <t>Max count</t>
  </si>
  <si>
    <t>Time</t>
  </si>
  <si>
    <t>Eff</t>
  </si>
  <si>
    <t>N</t>
  </si>
  <si>
    <t>Config 1</t>
  </si>
  <si>
    <t>Intégrale</t>
  </si>
  <si>
    <t>Valeur</t>
  </si>
  <si>
    <t>Neutron-conditionné</t>
  </si>
  <si>
    <t>Beta-conditionné</t>
  </si>
  <si>
    <t>Non conditionné</t>
  </si>
  <si>
    <t>Galium 82 (RUN121)</t>
  </si>
  <si>
    <t>single</t>
  </si>
  <si>
    <t>Raie à 1348</t>
  </si>
  <si>
    <t>neutron</t>
  </si>
  <si>
    <t>N_beta</t>
  </si>
  <si>
    <t>N_neutron_RTOT</t>
  </si>
  <si>
    <t>eff_beta</t>
  </si>
  <si>
    <t>eff_neutron</t>
  </si>
  <si>
    <t>Raie à 711</t>
  </si>
  <si>
    <t>b</t>
  </si>
  <si>
    <t>a</t>
  </si>
  <si>
    <t>E (canal)</t>
  </si>
  <si>
    <t>err_E</t>
  </si>
  <si>
    <t>E (keV)</t>
  </si>
  <si>
    <t>RUN 58</t>
  </si>
  <si>
    <t>0.3-2-1-?</t>
  </si>
  <si>
    <t>84Ga</t>
  </si>
  <si>
    <t>0.3-2-1-720</t>
  </si>
  <si>
    <t>0.5-3-3-500</t>
  </si>
  <si>
    <t>82Ga</t>
  </si>
  <si>
    <t>Arrêt prématuré pour mettre des cycles adaptées au 82Ga.</t>
  </si>
  <si>
    <t>Perte des e-, arret de la run.</t>
  </si>
  <si>
    <t>0.3-2-1-704</t>
  </si>
  <si>
    <t>Lumières allumées pendant 5mn.</t>
  </si>
  <si>
    <t>Arret des mesures pour reprendre la faisceaulogie et les laser. Court arret des e- pendant la run.</t>
  </si>
  <si>
    <t>Plusieurs arrêts e- pendant la run.</t>
  </si>
  <si>
    <t>Changement des temps de cycles.</t>
  </si>
  <si>
    <t>0.1-2-1-720</t>
  </si>
  <si>
    <t>Run 82Ga pour comparer aux productions du début, on a perdu un facteur 10.</t>
  </si>
  <si>
    <t>0.1-2-1-186</t>
  </si>
  <si>
    <t>0.1-2-1-137</t>
  </si>
  <si>
    <t>0.1-1-1-88</t>
  </si>
  <si>
    <t>0.1-1-1-?</t>
  </si>
  <si>
    <t>Etalonnage COeCO</t>
  </si>
  <si>
    <t>Comptage beta : 2000 max. Arret de l'Argent car il n y a plus de colorants pour les laser, ce qui peut expliquer le faible taux de comptage depuis le début.</t>
  </si>
  <si>
    <t>0.5-2-2-225</t>
  </si>
  <si>
    <t>125Ag</t>
  </si>
  <si>
    <t>Comptage beta : 2000 max</t>
  </si>
  <si>
    <t>0.5-2-2-700</t>
  </si>
  <si>
    <t>CRAP</t>
  </si>
  <si>
    <t>0.5-2-1.5-?</t>
  </si>
  <si>
    <t>134In / 132In</t>
  </si>
  <si>
    <t>La CF2 n'était pas enlevée, run de fond.</t>
  </si>
  <si>
    <t>0.5-2-1-?</t>
  </si>
  <si>
    <t>134In</t>
  </si>
  <si>
    <t>Laser OFF pour tous les Indiums</t>
  </si>
  <si>
    <t>0.5-2-2-200</t>
  </si>
  <si>
    <t>132In / 130In</t>
  </si>
  <si>
    <t>Taux de comptage à trop baissé, arrêt de la run.</t>
  </si>
  <si>
    <t>0.5-2-2-97</t>
  </si>
  <si>
    <t>Comptage beta : 1500 max. Court arrêt des e-.</t>
  </si>
  <si>
    <t>Panorama à freeze pendant la run. Court arret des e- pendant la run.</t>
  </si>
  <si>
    <t>Comptage beta : 4000 max</t>
  </si>
  <si>
    <t>On ne voit pas d'Argent, problème avec le laser vert, trop faible.</t>
  </si>
  <si>
    <t>124Ag</t>
  </si>
  <si>
    <t>Arrêt de la run en avance car perte des e-.</t>
  </si>
  <si>
    <t>0.5-2-2-333</t>
  </si>
  <si>
    <t>Le YAG était mal réglé , il a été remis pendant la run.</t>
  </si>
  <si>
    <t>Changement des fentes TETRA pendant la run. Les temps R32, R43 et R44 sont bizarres, peut être parce que j'ai débranché les 2 cellules au comportement bizarre. Je décide de les rebrancher à la fin de la run. La run finie plus tôt que prévu.</t>
  </si>
  <si>
    <t>0.5-2-2-?</t>
  </si>
  <si>
    <t>Très peu d'Argent, beaucoup d'Indium. François touche au laser pendant la run.</t>
  </si>
  <si>
    <t>0.5-2-2-112</t>
  </si>
  <si>
    <t>123Ag</t>
  </si>
  <si>
    <t>Laser OFF</t>
  </si>
  <si>
    <t>0.5-2-2-90</t>
  </si>
  <si>
    <t>Beam tuning</t>
  </si>
  <si>
    <t>Run potentiellement utilisable</t>
  </si>
  <si>
    <t>Calibration</t>
  </si>
  <si>
    <t>Run presque parfaite</t>
  </si>
  <si>
    <t>Commentaire</t>
  </si>
  <si>
    <t>Beam intensity (uA)</t>
  </si>
  <si>
    <t>tBgd-tCol-tDec-Ncycle (s)</t>
  </si>
  <si>
    <t>Run parfaite</t>
  </si>
  <si>
    <t>Utile à l'analyse</t>
  </si>
  <si>
    <t>A partir de la run 115 COeCO compte aussi</t>
  </si>
  <si>
    <t>Cellules R3C11 et R4C4 débranchés entre 58 et 65 compris car elles comptaient énormement à basse énergie</t>
  </si>
  <si>
    <t>Runs 58 à 125</t>
  </si>
  <si>
    <t>Rubidium 100</t>
  </si>
  <si>
    <t>Rubidium 98</t>
  </si>
  <si>
    <t>140,141</t>
  </si>
  <si>
    <t>Rubidium 96</t>
  </si>
  <si>
    <t>Indium 134/132</t>
  </si>
  <si>
    <t>Indium 130/132</t>
  </si>
  <si>
    <t xml:space="preserve"> </t>
  </si>
  <si>
    <t>87,88,89,91,92,93,94,95,96,97,98,99,100,101,102,103,104,105,106,107,108,109,110,111,112,113,114,115,116,117118,119,122,123,124</t>
  </si>
  <si>
    <t>Galium 84</t>
  </si>
  <si>
    <t>135,136</t>
  </si>
  <si>
    <t>Galium 83</t>
  </si>
  <si>
    <t>90,121</t>
  </si>
  <si>
    <t>Galium 82</t>
  </si>
  <si>
    <t>137,138</t>
  </si>
  <si>
    <t>Galium 81</t>
  </si>
  <si>
    <t>130,131</t>
  </si>
  <si>
    <t>18, 25</t>
  </si>
  <si>
    <t>Galium 80</t>
  </si>
  <si>
    <t>23, 24</t>
  </si>
  <si>
    <t>Galium 79</t>
  </si>
  <si>
    <t>71,72,73,74,75,76,77,78,84,85</t>
  </si>
  <si>
    <t>Argent 125</t>
  </si>
  <si>
    <t>Argent 124</t>
  </si>
  <si>
    <t>61,62,63</t>
  </si>
  <si>
    <t>Argent 123</t>
  </si>
  <si>
    <t>Argent 122</t>
  </si>
  <si>
    <t>45, 51</t>
  </si>
  <si>
    <t>Argent 121</t>
  </si>
  <si>
    <t>Argent 120</t>
  </si>
  <si>
    <t>Argent 119</t>
  </si>
  <si>
    <t>Argent 118</t>
  </si>
  <si>
    <t>40, 41</t>
  </si>
  <si>
    <t>32,33,36</t>
  </si>
  <si>
    <t>Argent 114</t>
  </si>
  <si>
    <t>128,134</t>
  </si>
  <si>
    <t>Calibration COeCO</t>
  </si>
  <si>
    <t>Reglage beta</t>
  </si>
  <si>
    <t>126,127,143</t>
  </si>
  <si>
    <t>5,10</t>
  </si>
  <si>
    <t>Reglage faisceau</t>
  </si>
  <si>
    <t>129,132,133</t>
  </si>
  <si>
    <t>70,80,81,120</t>
  </si>
  <si>
    <t xml:space="preserve"> 46, 47, 49, 50, 53, 54</t>
  </si>
  <si>
    <t>11, 12, 13, 14, 16, 34, 35</t>
  </si>
  <si>
    <t>Crap</t>
  </si>
  <si>
    <t>59,60,82</t>
  </si>
  <si>
    <t>2, 4, 26</t>
  </si>
  <si>
    <t>Background</t>
  </si>
  <si>
    <t>3,8,9,15,27, 31</t>
  </si>
  <si>
    <t>Calibration sans générateur</t>
  </si>
  <si>
    <t>1,6,7,17</t>
  </si>
  <si>
    <t>Calibration avec générateur</t>
  </si>
  <si>
    <t>Runs 126 à 144</t>
  </si>
  <si>
    <t>Runs 37 à 57</t>
  </si>
  <si>
    <t>Runs 1 à 36</t>
  </si>
  <si>
    <t>Semaine 3 (COeCO)</t>
  </si>
  <si>
    <t>Semaine 3 (TETRA)</t>
  </si>
  <si>
    <t>Semaine 2 (Production Argent)</t>
  </si>
  <si>
    <t>Semaine 1 (Production Galium)</t>
  </si>
  <si>
    <t>Total number of runs</t>
  </si>
  <si>
    <t> 500.22</t>
  </si>
  <si>
    <t>BC</t>
  </si>
  <si>
    <t>ES</t>
  </si>
  <si>
    <t> 263.597</t>
  </si>
  <si>
    <t> 263.485</t>
  </si>
  <si>
    <t>Nbeta</t>
  </si>
  <si>
    <t>Nneutron</t>
  </si>
  <si>
    <t>TetraCoinc windows 0-200 us</t>
  </si>
  <si>
    <t xml:space="preserve">Moyenne </t>
  </si>
  <si>
    <t>Tetra-cond</t>
  </si>
  <si>
    <t>Beta-cond</t>
  </si>
  <si>
    <t>All_runs</t>
  </si>
  <si>
    <t>N beta</t>
  </si>
  <si>
    <t>N neutron</t>
  </si>
  <si>
    <t>Eff beta</t>
  </si>
  <si>
    <t>Eff tetra</t>
  </si>
  <si>
    <t>Pn connu</t>
  </si>
  <si>
    <t>Pn Calculé</t>
  </si>
  <si>
    <t>Eff beta calculée</t>
  </si>
  <si>
    <t>Ici je cherche Pn grace aux mesure des deux eff</t>
  </si>
  <si>
    <t>Ici je cherche eff beta en me basant sur Pn connu et mesure eff neutron</t>
  </si>
  <si>
    <t>Courbe activité beta moche</t>
  </si>
  <si>
    <t>20, 29</t>
  </si>
  <si>
    <t>Ratio eff beta/neutron</t>
  </si>
  <si>
    <t>64,65,66,67,68,69</t>
  </si>
  <si>
    <t>beta-gamma</t>
  </si>
  <si>
    <t>gamma single</t>
  </si>
  <si>
    <t>eff beta</t>
  </si>
  <si>
    <t>Moyenne</t>
  </si>
  <si>
    <t>Données corrompues</t>
  </si>
  <si>
    <t>BetaCoinc window 1.14-1.59 us</t>
  </si>
  <si>
    <t>AllBut97.root</t>
  </si>
  <si>
    <t>&lt;n&gt;*</t>
  </si>
  <si>
    <t>delta t</t>
  </si>
  <si>
    <t>A0</t>
  </si>
  <si>
    <t>t</t>
  </si>
  <si>
    <t>T1/2</t>
  </si>
  <si>
    <t>Ndec</t>
  </si>
  <si>
    <t>A</t>
  </si>
  <si>
    <t>Aire</t>
  </si>
  <si>
    <t>Taux</t>
  </si>
  <si>
    <t>Nthéo</t>
  </si>
  <si>
    <t>Ndét</t>
  </si>
  <si>
    <t>Energie littérature</t>
  </si>
  <si>
    <t>Efficiency</t>
  </si>
  <si>
    <t>Gaussienne</t>
  </si>
  <si>
    <t>Ntrue</t>
  </si>
  <si>
    <t>Rapport</t>
  </si>
  <si>
    <t>beta-neutron-gamma</t>
  </si>
  <si>
    <t>NBeta84Ga</t>
  </si>
  <si>
    <t>Iabs pour 100 82Ga</t>
  </si>
  <si>
    <t>Iabs pour 100 84Ga</t>
  </si>
  <si>
    <t>P2n</t>
  </si>
  <si>
    <t>Effn</t>
  </si>
  <si>
    <t>Intensitées relatives</t>
  </si>
  <si>
    <t>Intensitées absolues</t>
  </si>
  <si>
    <t>Surface</t>
  </si>
  <si>
    <t>N2n</t>
  </si>
  <si>
    <t>Ratio Eff</t>
  </si>
  <si>
    <t>Eff n</t>
  </si>
  <si>
    <t>NBeta82Ga</t>
  </si>
  <si>
    <t>Iabs 1348</t>
  </si>
  <si>
    <t>AllRecalibrated</t>
  </si>
  <si>
    <t>Beta-Neutron cond</t>
  </si>
  <si>
    <t>Beta cond</t>
  </si>
  <si>
    <t>Eff neutron</t>
  </si>
  <si>
    <t>Neutron 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</si>
</sst>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)_ ;_ * \(#,##0.00\)_ ;_ * &quot;-&quot;??_)_ ;_ @_ "/>
    <numFmt numFmtId="164" formatCode="0.000"/>
    <numFmt numFmtId="165" formatCode="0.0000"/>
    <numFmt numFmtId="166" formatCode="0.00000"/>
    <numFmt numFmtId="167" formatCode="0.000000"/>
  </numFmts>
  <fonts count="20">
    <font>
      <sz val="14"/>
      <color theme="1"/>
      <name val="Menlo"/>
      <family val="2"/>
    </font>
    <font>
      <sz val="12"/>
      <color theme="1"/>
      <name val="Calibri"/>
      <family val="2"/>
      <scheme val="minor"/>
    </font>
    <font>
      <sz val="14"/>
      <color theme="1"/>
      <name val="Menlo Regular"/>
    </font>
    <font>
      <b/>
      <sz val="14"/>
      <color theme="1"/>
      <name val="Menlo Regular"/>
    </font>
    <font>
      <sz val="14"/>
      <color rgb="FF000000"/>
      <name val="Menlo"/>
      <family val="2"/>
    </font>
    <font>
      <b/>
      <sz val="16"/>
      <color theme="1"/>
      <name val="Menlo Regular"/>
    </font>
    <font>
      <b/>
      <sz val="20"/>
      <color rgb="FFFF0000"/>
      <name val="Menlo Regula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Menlo"/>
      <family val="2"/>
    </font>
    <font>
      <b/>
      <sz val="18"/>
      <color theme="1"/>
      <name val="Menlo Regular"/>
    </font>
    <font>
      <b/>
      <sz val="14"/>
      <color theme="1"/>
      <name val="Menlo"/>
      <family val="2"/>
    </font>
    <font>
      <sz val="14"/>
      <color rgb="FF000000"/>
      <name val="Menlo Regular"/>
    </font>
    <font>
      <b/>
      <i/>
      <sz val="14"/>
      <color theme="1"/>
      <name val="Menlo Regular"/>
    </font>
    <font>
      <b/>
      <sz val="14"/>
      <color rgb="FFFF0000"/>
      <name val="Menlo"/>
      <family val="2"/>
    </font>
    <font>
      <b/>
      <sz val="14"/>
      <color rgb="FFFF0000"/>
      <name val="Menlo Regular"/>
    </font>
    <font>
      <b/>
      <sz val="16"/>
      <color rgb="FFFF0000"/>
      <name val="Menlo Regula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1"/>
    <xf numFmtId="2" fontId="2" fillId="0" borderId="0" xfId="1" applyNumberFormat="1" applyFont="1"/>
    <xf numFmtId="0" fontId="2" fillId="0" borderId="0" xfId="1" applyFont="1"/>
    <xf numFmtId="2" fontId="1" fillId="0" borderId="0" xfId="1" applyNumberFormat="1"/>
    <xf numFmtId="0" fontId="3" fillId="0" borderId="0" xfId="1" applyFont="1"/>
    <xf numFmtId="0" fontId="4" fillId="0" borderId="0" xfId="1" applyFont="1"/>
    <xf numFmtId="11" fontId="4" fillId="0" borderId="0" xfId="1" applyNumberFormat="1" applyFont="1"/>
    <xf numFmtId="2" fontId="4" fillId="0" borderId="0" xfId="1" applyNumberFormat="1" applyFont="1"/>
    <xf numFmtId="0" fontId="4" fillId="3" borderId="0" xfId="1" applyFont="1" applyFill="1"/>
    <xf numFmtId="0" fontId="2" fillId="3" borderId="0" xfId="1" applyFont="1" applyFill="1"/>
    <xf numFmtId="11" fontId="1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6" borderId="0" xfId="1" applyFont="1" applyFill="1"/>
    <xf numFmtId="0" fontId="1" fillId="2" borderId="0" xfId="1" applyFill="1"/>
    <xf numFmtId="0" fontId="1" fillId="4" borderId="0" xfId="1" applyFill="1"/>
    <xf numFmtId="0" fontId="1" fillId="7" borderId="0" xfId="1" applyFill="1"/>
    <xf numFmtId="0" fontId="11" fillId="0" borderId="0" xfId="1" applyFont="1"/>
    <xf numFmtId="11" fontId="12" fillId="0" borderId="0" xfId="1" applyNumberFormat="1" applyFont="1"/>
    <xf numFmtId="0" fontId="13" fillId="0" borderId="0" xfId="1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4" fillId="0" borderId="0" xfId="0" applyFont="1"/>
    <xf numFmtId="17" fontId="3" fillId="0" borderId="0" xfId="1" applyNumberFormat="1" applyFont="1"/>
    <xf numFmtId="0" fontId="3" fillId="7" borderId="0" xfId="1" applyFont="1" applyFill="1"/>
    <xf numFmtId="0" fontId="3" fillId="6" borderId="0" xfId="1" applyFont="1" applyFill="1"/>
    <xf numFmtId="0" fontId="3" fillId="4" borderId="0" xfId="1" applyFont="1" applyFill="1"/>
    <xf numFmtId="0" fontId="3" fillId="2" borderId="0" xfId="1" applyFont="1" applyFill="1"/>
    <xf numFmtId="0" fontId="15" fillId="0" borderId="0" xfId="1" applyFont="1"/>
    <xf numFmtId="0" fontId="3" fillId="5" borderId="0" xfId="1" applyFont="1" applyFill="1"/>
    <xf numFmtId="0" fontId="16" fillId="0" borderId="0" xfId="1" applyFont="1"/>
    <xf numFmtId="0" fontId="17" fillId="0" borderId="0" xfId="0" applyFont="1"/>
    <xf numFmtId="2" fontId="4" fillId="0" borderId="0" xfId="0" applyNumberFormat="1" applyFont="1"/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horizontal="center"/>
    </xf>
    <xf numFmtId="2" fontId="0" fillId="0" borderId="0" xfId="0" applyNumberFormat="1"/>
    <xf numFmtId="2" fontId="6" fillId="0" borderId="0" xfId="1" applyNumberFormat="1" applyFont="1"/>
    <xf numFmtId="2" fontId="3" fillId="0" borderId="0" xfId="1" applyNumberFormat="1" applyFont="1"/>
    <xf numFmtId="2" fontId="5" fillId="7" borderId="0" xfId="1" applyNumberFormat="1" applyFont="1" applyFill="1"/>
    <xf numFmtId="2" fontId="2" fillId="7" borderId="0" xfId="1" applyNumberFormat="1" applyFont="1" applyFill="1"/>
    <xf numFmtId="2" fontId="3" fillId="7" borderId="0" xfId="1" applyNumberFormat="1" applyFont="1" applyFill="1"/>
    <xf numFmtId="2" fontId="4" fillId="7" borderId="0" xfId="1" applyNumberFormat="1" applyFont="1" applyFill="1"/>
    <xf numFmtId="2" fontId="4" fillId="7" borderId="0" xfId="0" applyNumberFormat="1" applyFont="1" applyFill="1"/>
    <xf numFmtId="2" fontId="5" fillId="8" borderId="0" xfId="1" applyNumberFormat="1" applyFont="1" applyFill="1"/>
    <xf numFmtId="2" fontId="2" fillId="8" borderId="0" xfId="1" applyNumberFormat="1" applyFont="1" applyFill="1"/>
    <xf numFmtId="2" fontId="3" fillId="8" borderId="0" xfId="1" applyNumberFormat="1" applyFont="1" applyFill="1"/>
    <xf numFmtId="2" fontId="4" fillId="8" borderId="0" xfId="0" applyNumberFormat="1" applyFont="1" applyFill="1"/>
    <xf numFmtId="2" fontId="5" fillId="9" borderId="0" xfId="1" applyNumberFormat="1" applyFont="1" applyFill="1"/>
    <xf numFmtId="2" fontId="2" fillId="9" borderId="0" xfId="1" applyNumberFormat="1" applyFont="1" applyFill="1"/>
    <xf numFmtId="2" fontId="3" fillId="9" borderId="0" xfId="1" applyNumberFormat="1" applyFont="1" applyFill="1"/>
    <xf numFmtId="2" fontId="4" fillId="9" borderId="0" xfId="0" applyNumberFormat="1" applyFont="1" applyFill="1"/>
    <xf numFmtId="2" fontId="5" fillId="0" borderId="0" xfId="1" applyNumberFormat="1" applyFont="1"/>
    <xf numFmtId="164" fontId="2" fillId="8" borderId="0" xfId="1" applyNumberFormat="1" applyFont="1" applyFill="1"/>
    <xf numFmtId="164" fontId="2" fillId="9" borderId="0" xfId="1" applyNumberFormat="1" applyFont="1" applyFill="1"/>
    <xf numFmtId="166" fontId="0" fillId="0" borderId="0" xfId="0" applyNumberFormat="1"/>
    <xf numFmtId="166" fontId="14" fillId="0" borderId="0" xfId="0" applyNumberFormat="1" applyFont="1"/>
    <xf numFmtId="166" fontId="2" fillId="0" borderId="0" xfId="1" applyNumberFormat="1" applyFont="1"/>
    <xf numFmtId="165" fontId="2" fillId="0" borderId="0" xfId="1" applyNumberFormat="1" applyFont="1"/>
    <xf numFmtId="0" fontId="19" fillId="0" borderId="0" xfId="1" applyFont="1"/>
    <xf numFmtId="11" fontId="0" fillId="0" borderId="0" xfId="0" applyNumberFormat="1"/>
    <xf numFmtId="165" fontId="0" fillId="0" borderId="0" xfId="0" applyNumberFormat="1"/>
    <xf numFmtId="167" fontId="0" fillId="0" borderId="0" xfId="0" applyNumberFormat="1"/>
    <xf numFmtId="165" fontId="4" fillId="0" borderId="0" xfId="0" applyNumberFormat="1" applyFont="1"/>
    <xf numFmtId="167" fontId="0" fillId="10" borderId="0" xfId="0" applyNumberFormat="1" applyFill="1"/>
    <xf numFmtId="0" fontId="0" fillId="10" borderId="0" xfId="0" applyFill="1"/>
    <xf numFmtId="0" fontId="4" fillId="10" borderId="0" xfId="0" applyFont="1" applyFill="1"/>
    <xf numFmtId="2" fontId="0" fillId="10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1" fontId="14" fillId="0" borderId="0" xfId="0" applyNumberFormat="1" applyFont="1"/>
  </cellXfs>
  <cellStyles count="3">
    <cellStyle name="Milliers 2" xfId="2" xr:uid="{16FDB774-F211-F14E-9453-8C6A1F24C04D}"/>
    <cellStyle name="Normal" xfId="0" builtinId="0"/>
    <cellStyle name="Normal 2" xfId="1" xr:uid="{F01D0E81-8BA0-9840-B460-DB2E79494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'Calibration Run par Run'!$A$13:$A$19</c:f>
              <c:numCache>
                <c:formatCode>0.0000</c:formatCode>
                <c:ptCount val="7"/>
                <c:pt idx="0">
                  <c:v>100.2</c:v>
                </c:pt>
                <c:pt idx="1">
                  <c:v>242</c:v>
                </c:pt>
                <c:pt idx="2">
                  <c:v>247.58</c:v>
                </c:pt>
                <c:pt idx="3">
                  <c:v>306.51</c:v>
                </c:pt>
                <c:pt idx="4">
                  <c:v>624.1</c:v>
                </c:pt>
                <c:pt idx="5">
                  <c:v>1045.93</c:v>
                </c:pt>
                <c:pt idx="6">
                  <c:v>1454.55</c:v>
                </c:pt>
              </c:numCache>
            </c:numRef>
          </c:xVal>
          <c:yVal>
            <c:numRef>
              <c:f>'Calibration Run par Run'!$B$13:$B$19</c:f>
              <c:numCache>
                <c:formatCode>0.0000</c:formatCode>
                <c:ptCount val="7"/>
                <c:pt idx="0">
                  <c:v>100.71599999999999</c:v>
                </c:pt>
                <c:pt idx="1">
                  <c:v>242.71799999999999</c:v>
                </c:pt>
                <c:pt idx="2">
                  <c:v>247.91</c:v>
                </c:pt>
                <c:pt idx="3">
                  <c:v>307.02499999999998</c:v>
                </c:pt>
                <c:pt idx="4">
                  <c:v>624.62</c:v>
                </c:pt>
                <c:pt idx="5">
                  <c:v>1046.33</c:v>
                </c:pt>
                <c:pt idx="6">
                  <c:v>1455.16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B-904A-AB57-C98B328A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43168"/>
        <c:axId val="397644880"/>
      </c:scatterChart>
      <c:valAx>
        <c:axId val="3976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44880"/>
        <c:crosses val="autoZero"/>
        <c:crossBetween val="midCat"/>
      </c:valAx>
      <c:valAx>
        <c:axId val="3976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19159376"/>
        <c:axId val="1119161104"/>
      </c:scatterChart>
      <c:valAx>
        <c:axId val="1119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61104"/>
        <c:crosses val="autoZero"/>
        <c:crossBetween val="midCat"/>
      </c:valAx>
      <c:valAx>
        <c:axId val="11191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815112133123579E-2"/>
          <c:y val="7.63139120095125E-2"/>
          <c:w val="0.93069679020749707"/>
          <c:h val="0.85662718735663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7998829482108091E-2"/>
                  <c:y val="-0.18022638965610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'Efficacité source dans chambre'!$B$13:$K$13</c:f>
              <c:numCache>
                <c:formatCode>General</c:formatCode>
                <c:ptCount val="10"/>
                <c:pt idx="0">
                  <c:v>121.7817</c:v>
                </c:pt>
                <c:pt idx="1">
                  <c:v>244.69749999999999</c:v>
                </c:pt>
                <c:pt idx="2">
                  <c:v>344.27850000000001</c:v>
                </c:pt>
                <c:pt idx="3">
                  <c:v>411.11630000000002</c:v>
                </c:pt>
                <c:pt idx="4">
                  <c:v>443.96499999999997</c:v>
                </c:pt>
                <c:pt idx="5">
                  <c:v>778.904</c:v>
                </c:pt>
                <c:pt idx="6">
                  <c:v>867.37800000000004</c:v>
                </c:pt>
                <c:pt idx="7">
                  <c:v>964.07899999999995</c:v>
                </c:pt>
                <c:pt idx="8">
                  <c:v>1112.0740000000001</c:v>
                </c:pt>
                <c:pt idx="9">
                  <c:v>1408.0060000000001</c:v>
                </c:pt>
              </c:numCache>
            </c:numRef>
          </c:xVal>
          <c:yVal>
            <c:numRef>
              <c:f>'Efficacité source dans chambre'!$B$11:$K$11</c:f>
              <c:numCache>
                <c:formatCode>0.0000</c:formatCode>
                <c:ptCount val="10"/>
                <c:pt idx="0">
                  <c:v>2.5125699847774823</c:v>
                </c:pt>
                <c:pt idx="1">
                  <c:v>1.6669352666747448</c:v>
                </c:pt>
                <c:pt idx="2">
                  <c:v>1.4461557514026859</c:v>
                </c:pt>
                <c:pt idx="3">
                  <c:v>1.1516152559638302</c:v>
                </c:pt>
                <c:pt idx="4">
                  <c:v>1.2068796029240123</c:v>
                </c:pt>
                <c:pt idx="5">
                  <c:v>0.77087953259847164</c:v>
                </c:pt>
                <c:pt idx="6">
                  <c:v>0.64397710990879198</c:v>
                </c:pt>
                <c:pt idx="7">
                  <c:v>0.65971899301499148</c:v>
                </c:pt>
                <c:pt idx="8">
                  <c:v>0.62400875875056105</c:v>
                </c:pt>
                <c:pt idx="9">
                  <c:v>0.4944072814339644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0-2F45-9F1F-1D77DA47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159376"/>
        <c:axId val="1119161104"/>
      </c:scatterChart>
      <c:valAx>
        <c:axId val="1119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61104"/>
        <c:crosses val="autoZero"/>
        <c:crossBetween val="midCat"/>
      </c:valAx>
      <c:valAx>
        <c:axId val="11191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Etalonnage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'Calbration RUN58'!$G$4:$G$17</c:f>
              <c:numCache>
                <c:formatCode>0.00E+00</c:formatCode>
                <c:ptCount val="14"/>
                <c:pt idx="2">
                  <c:v>537.65</c:v>
                </c:pt>
                <c:pt idx="3">
                  <c:v>1232</c:v>
                </c:pt>
                <c:pt idx="4">
                  <c:v>1794</c:v>
                </c:pt>
                <c:pt idx="5">
                  <c:v>2172</c:v>
                </c:pt>
                <c:pt idx="6">
                  <c:v>2358</c:v>
                </c:pt>
                <c:pt idx="7">
                  <c:v>4249.8</c:v>
                </c:pt>
                <c:pt idx="8">
                  <c:v>4749</c:v>
                </c:pt>
                <c:pt idx="9">
                  <c:v>5296</c:v>
                </c:pt>
                <c:pt idx="10">
                  <c:v>5983.6</c:v>
                </c:pt>
                <c:pt idx="11">
                  <c:v>6005.5</c:v>
                </c:pt>
                <c:pt idx="12">
                  <c:v>6132.08</c:v>
                </c:pt>
                <c:pt idx="13">
                  <c:v>7804.35</c:v>
                </c:pt>
              </c:numCache>
            </c:numRef>
          </c:xVal>
          <c:yVal>
            <c:numRef>
              <c:f>'Calbration RUN58'!$E$4:$E$17</c:f>
              <c:numCache>
                <c:formatCode>General</c:formatCode>
                <c:ptCount val="14"/>
                <c:pt idx="2">
                  <c:v>121.7817</c:v>
                </c:pt>
                <c:pt idx="3">
                  <c:v>244.69739999999999</c:v>
                </c:pt>
                <c:pt idx="4">
                  <c:v>344.27850000000001</c:v>
                </c:pt>
                <c:pt idx="5">
                  <c:v>411.11649999999997</c:v>
                </c:pt>
                <c:pt idx="6">
                  <c:v>443.9606</c:v>
                </c:pt>
                <c:pt idx="7">
                  <c:v>778.90449999999998</c:v>
                </c:pt>
                <c:pt idx="8">
                  <c:v>867.38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1089.7370000000001</c:v>
                </c:pt>
                <c:pt idx="12">
                  <c:v>1112.076</c:v>
                </c:pt>
                <c:pt idx="13">
                  <c:v>1408.0129999999999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5-4D42-B690-C73B6BF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832"/>
        <c:axId val="1499838560"/>
      </c:scatterChart>
      <c:valAx>
        <c:axId val="1499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8560"/>
        <c:crosses val="autoZero"/>
        <c:crossBetween val="midCat"/>
      </c:valAx>
      <c:valAx>
        <c:axId val="1499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433613</xdr:colOff>
      <xdr:row>29</xdr:row>
      <xdr:rowOff>179615</xdr:rowOff>
    </xdr:from>
    <xdr:to>
      <xdr:col>6</xdr:col>
      <xdr:colOff>1117600</xdr:colOff>
      <xdr:row>32</xdr:row>
      <xdr:rowOff>25400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90EF435-E819-E3AF-A653-FC12932E3CC9}"/>
            </a:ext>
          </a:extLst>
        </xdr:cNvPr>
        <xdr:cNvSpPr txBox="1"/>
      </xdr:nvSpPr>
      <xdr:spPr>
        <a:xfrm>
          <a:off x="6948713" y="6948715"/>
          <a:ext cx="4125687" cy="531585"/>
        </a:xfrm>
        <a:prstGeom prst="rect">
          <a:avLst/>
        </a:prstGeom>
        <a:solidFill>
          <a:schemeClr val="bg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 b="1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Beta-Gamma</a:t>
          </a:r>
          <a:r>
            <a:rPr lang="fr-FR" sz="1400" b="1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window : 1.16 - 1.59 us</a:t>
          </a:r>
        </a:p>
        <a:p>
          <a:pPr algn="l"/>
          <a:r>
            <a:rPr lang="fr-FR" sz="1400" b="1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Neutron - Gamma windows : 0 - 200 us</a:t>
          </a:r>
          <a:endParaRPr lang="fr-FR" sz="1400" b="1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9</xdr:row>
      <xdr:rowOff>76200</xdr:rowOff>
    </xdr:from>
    <xdr:to>
      <xdr:col>3</xdr:col>
      <xdr:colOff>5092700</xdr:colOff>
      <xdr:row>10</xdr:row>
      <xdr:rowOff>127000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60FA127-5314-A048-810F-0DB994DB605D}"/>
            </a:ext>
          </a:extLst>
        </xdr:cNvPr>
        <xdr:cNvSpPr txBox="1"/>
      </xdr:nvSpPr>
      <xdr:spPr>
        <a:xfrm>
          <a:off x="4940300" y="2133600"/>
          <a:ext cx="4470400" cy="2794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méthode Dmitry, je trouve 24%.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4</xdr:row>
      <xdr:rowOff>50800</xdr:rowOff>
    </xdr:from>
    <xdr:to>
      <xdr:col>6</xdr:col>
      <xdr:colOff>977900</xdr:colOff>
      <xdr:row>10</xdr:row>
      <xdr:rowOff>177800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EC477BA0-EB36-C346-2CD7-9399CC8D46A2}"/>
            </a:ext>
          </a:extLst>
        </xdr:cNvPr>
        <xdr:cNvSpPr txBox="1"/>
      </xdr:nvSpPr>
      <xdr:spPr>
        <a:xfrm>
          <a:off x="5168900" y="965200"/>
          <a:ext cx="7188200" cy="14986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ce n'est pas Pn mais bien &lt;n&gt;* = P1n + (1+Effn)*P2n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(voir démo cahier)</a:t>
          </a:r>
        </a:p>
        <a:p>
          <a:pPr algn="l"/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10</xdr:row>
      <xdr:rowOff>12700</xdr:rowOff>
    </xdr:from>
    <xdr:to>
      <xdr:col>7</xdr:col>
      <xdr:colOff>520700</xdr:colOff>
      <xdr:row>16</xdr:row>
      <xdr:rowOff>12700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9267023-4B30-1890-15FD-B6C88A98B0A8}"/>
            </a:ext>
          </a:extLst>
        </xdr:cNvPr>
        <xdr:cNvSpPr txBox="1"/>
      </xdr:nvSpPr>
      <xdr:spPr>
        <a:xfrm>
          <a:off x="2222500" y="2298700"/>
          <a:ext cx="5854700" cy="13716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j'ai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fitté l'activité 2n puis fais la difference d'integrale du fit et des faux coups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28</xdr:row>
      <xdr:rowOff>190500</xdr:rowOff>
    </xdr:from>
    <xdr:to>
      <xdr:col>9</xdr:col>
      <xdr:colOff>736600</xdr:colOff>
      <xdr:row>30</xdr:row>
      <xdr:rowOff>177800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9B4541F-6990-9D7B-406C-BC573976D925}"/>
            </a:ext>
          </a:extLst>
        </xdr:cNvPr>
        <xdr:cNvSpPr txBox="1"/>
      </xdr:nvSpPr>
      <xdr:spPr>
        <a:xfrm>
          <a:off x="5194300" y="6591300"/>
          <a:ext cx="6400800" cy="444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Ici,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il faut que je refasse une fenetre de coinc beta-gamma qui englobe tout pour les intensitées abs</a:t>
          </a:r>
        </a:p>
      </xdr:txBody>
    </xdr:sp>
    <xdr:clientData/>
  </xdr:twoCellAnchor>
  <xdr:twoCellAnchor>
    <xdr:from>
      <xdr:col>10</xdr:col>
      <xdr:colOff>635000</xdr:colOff>
      <xdr:row>18</xdr:row>
      <xdr:rowOff>88900</xdr:rowOff>
    </xdr:from>
    <xdr:to>
      <xdr:col>14</xdr:col>
      <xdr:colOff>342900</xdr:colOff>
      <xdr:row>20</xdr:row>
      <xdr:rowOff>177800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D3D2009C-DD22-519D-6F80-1FC8CAFEA045}"/>
            </a:ext>
          </a:extLst>
        </xdr:cNvPr>
        <xdr:cNvSpPr txBox="1"/>
      </xdr:nvSpPr>
      <xdr:spPr>
        <a:xfrm>
          <a:off x="12573000" y="4203700"/>
          <a:ext cx="4025900" cy="5461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le sigma est trop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faible, contrairement aux coincs beta-gamma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</xdr:row>
      <xdr:rowOff>38100</xdr:rowOff>
    </xdr:from>
    <xdr:to>
      <xdr:col>15</xdr:col>
      <xdr:colOff>139700</xdr:colOff>
      <xdr:row>30</xdr:row>
      <xdr:rowOff>215900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AA32FA-8253-6B05-83CE-8A646F50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17</xdr:row>
      <xdr:rowOff>146050</xdr:rowOff>
    </xdr:from>
    <xdr:to>
      <xdr:col>13</xdr:col>
      <xdr:colOff>742950</xdr:colOff>
      <xdr:row>29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A10496-8FDC-B126-F7ED-98C10D93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120650</xdr:colOff>
      <xdr:row>15</xdr:row>
      <xdr:rowOff>139700</xdr:rowOff>
    </xdr:from>
    <xdr:to>
      <xdr:col>15</xdr:col>
      <xdr:colOff>990600</xdr:colOff>
      <xdr:row>40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197BC6-D4CD-DB75-DADB-31A923B2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117929</xdr:rowOff>
    </xdr:from>
    <xdr:to>
      <xdr:col>13</xdr:col>
      <xdr:colOff>172356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2B801-3575-3240-A3AE-BB470973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bg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EF2-46CF-E446-B33F-5F6D80182EE1}">
  <dimension ref="A1:E34"/>
  <sheetViews>
    <sheetView topLeftCell="A11" zoomScale="110" zoomScaleNormal="110" workbookViewId="0">
      <selection activeCell="D6" sqref="D6"/>
    </sheetView>
  </sheetViews>
  <sheetFormatPr baseColWidth="10" defaultRowHeight="18"/>
  <cols>
    <col min="1" max="1" width="30.75" style="3" customWidth="1"/>
    <col min="2" max="2" width="30.625" style="3" customWidth="1"/>
    <col min="3" max="3" width="30.75" style="3" customWidth="1"/>
    <col min="4" max="4" width="18.125" style="3" customWidth="1"/>
    <col min="5" max="5" width="18.25" style="3" customWidth="1"/>
    <col min="6" max="16384" width="10.625" style="3"/>
  </cols>
  <sheetData>
    <row r="1" spans="1:5">
      <c r="A1" s="38" t="s">
        <v>157</v>
      </c>
      <c r="B1" s="37">
        <v>144</v>
      </c>
    </row>
    <row r="2" spans="1:5">
      <c r="B2" s="5" t="s">
        <v>156</v>
      </c>
      <c r="C2" s="5" t="s">
        <v>155</v>
      </c>
      <c r="D2" s="5" t="s">
        <v>154</v>
      </c>
      <c r="E2" s="5" t="s">
        <v>153</v>
      </c>
    </row>
    <row r="3" spans="1:5">
      <c r="B3" s="27" t="s">
        <v>152</v>
      </c>
      <c r="C3" s="5" t="s">
        <v>151</v>
      </c>
      <c r="D3" s="5" t="s">
        <v>97</v>
      </c>
      <c r="E3" s="5" t="s">
        <v>150</v>
      </c>
    </row>
    <row r="4" spans="1:5">
      <c r="A4" s="5" t="s">
        <v>149</v>
      </c>
      <c r="B4" s="3" t="s">
        <v>148</v>
      </c>
      <c r="C4" s="3">
        <v>37</v>
      </c>
    </row>
    <row r="5" spans="1:5">
      <c r="A5" s="5" t="s">
        <v>147</v>
      </c>
      <c r="B5" s="3" t="s">
        <v>146</v>
      </c>
      <c r="C5" s="3">
        <v>48</v>
      </c>
      <c r="D5" s="3">
        <v>58</v>
      </c>
    </row>
    <row r="6" spans="1:5">
      <c r="A6" s="5" t="s">
        <v>145</v>
      </c>
      <c r="B6" s="3" t="s">
        <v>144</v>
      </c>
      <c r="C6" s="3">
        <v>57</v>
      </c>
      <c r="D6" s="3" t="s">
        <v>143</v>
      </c>
    </row>
    <row r="7" spans="1:5">
      <c r="A7" s="5" t="s">
        <v>142</v>
      </c>
      <c r="B7" s="3" t="s">
        <v>141</v>
      </c>
      <c r="C7" s="3" t="s">
        <v>140</v>
      </c>
      <c r="D7" s="3" t="s">
        <v>139</v>
      </c>
      <c r="E7" s="3" t="s">
        <v>138</v>
      </c>
    </row>
    <row r="8" spans="1:5">
      <c r="A8" s="5" t="s">
        <v>137</v>
      </c>
      <c r="B8" s="3" t="s">
        <v>136</v>
      </c>
      <c r="C8" s="3">
        <v>38</v>
      </c>
      <c r="E8" s="3" t="s">
        <v>135</v>
      </c>
    </row>
    <row r="9" spans="1:5">
      <c r="A9" s="5" t="s">
        <v>134</v>
      </c>
      <c r="B9" s="3">
        <v>28</v>
      </c>
      <c r="C9" s="3">
        <v>39</v>
      </c>
      <c r="D9" s="3">
        <v>86</v>
      </c>
    </row>
    <row r="10" spans="1:5">
      <c r="A10" s="5" t="s">
        <v>133</v>
      </c>
      <c r="E10" s="3" t="s">
        <v>132</v>
      </c>
    </row>
    <row r="12" spans="1:5">
      <c r="A12" s="5" t="s">
        <v>131</v>
      </c>
      <c r="B12" s="3" t="s">
        <v>130</v>
      </c>
      <c r="C12" s="3" t="s">
        <v>129</v>
      </c>
    </row>
    <row r="13" spans="1:5">
      <c r="A13" s="5" t="s">
        <v>128</v>
      </c>
      <c r="C13" s="3">
        <v>42</v>
      </c>
    </row>
    <row r="14" spans="1:5">
      <c r="A14" s="5" t="s">
        <v>127</v>
      </c>
      <c r="C14" s="3">
        <v>43</v>
      </c>
    </row>
    <row r="15" spans="1:5">
      <c r="A15" s="5" t="s">
        <v>126</v>
      </c>
      <c r="C15" s="3">
        <v>44</v>
      </c>
    </row>
    <row r="16" spans="1:5">
      <c r="A16" s="5" t="s">
        <v>125</v>
      </c>
      <c r="C16" s="3" t="s">
        <v>124</v>
      </c>
    </row>
    <row r="17" spans="1:5">
      <c r="A17" s="5" t="s">
        <v>123</v>
      </c>
      <c r="C17" s="3">
        <v>52</v>
      </c>
    </row>
    <row r="18" spans="1:5">
      <c r="A18" s="5" t="s">
        <v>122</v>
      </c>
      <c r="C18" s="3">
        <v>55</v>
      </c>
      <c r="D18" s="3" t="s">
        <v>121</v>
      </c>
    </row>
    <row r="19" spans="1:5">
      <c r="A19" s="5" t="s">
        <v>120</v>
      </c>
      <c r="C19" s="3">
        <v>56</v>
      </c>
      <c r="D19" s="3" t="s">
        <v>182</v>
      </c>
    </row>
    <row r="20" spans="1:5">
      <c r="A20" s="5" t="s">
        <v>119</v>
      </c>
      <c r="D20" s="3" t="s">
        <v>118</v>
      </c>
    </row>
    <row r="21" spans="1:5">
      <c r="A21" s="5"/>
    </row>
    <row r="22" spans="1:5">
      <c r="A22" s="5" t="s">
        <v>117</v>
      </c>
      <c r="B22" s="3" t="s">
        <v>116</v>
      </c>
    </row>
    <row r="23" spans="1:5">
      <c r="A23" s="5" t="s">
        <v>115</v>
      </c>
      <c r="B23" s="3" t="s">
        <v>114</v>
      </c>
      <c r="E23" s="3" t="s">
        <v>113</v>
      </c>
    </row>
    <row r="24" spans="1:5">
      <c r="A24" s="5" t="s">
        <v>112</v>
      </c>
      <c r="B24" s="3">
        <v>19</v>
      </c>
      <c r="E24" s="3" t="s">
        <v>111</v>
      </c>
    </row>
    <row r="25" spans="1:5">
      <c r="A25" s="5" t="s">
        <v>110</v>
      </c>
      <c r="B25" s="3" t="s">
        <v>180</v>
      </c>
      <c r="D25" s="3" t="s">
        <v>109</v>
      </c>
      <c r="E25" s="3">
        <v>139</v>
      </c>
    </row>
    <row r="26" spans="1:5">
      <c r="A26" s="5" t="s">
        <v>108</v>
      </c>
      <c r="B26" s="3">
        <v>21</v>
      </c>
      <c r="E26" s="3" t="s">
        <v>107</v>
      </c>
    </row>
    <row r="27" spans="1:5">
      <c r="A27" s="5" t="s">
        <v>106</v>
      </c>
      <c r="B27" s="3">
        <v>22</v>
      </c>
      <c r="D27" s="3" t="s">
        <v>105</v>
      </c>
      <c r="E27" s="3" t="s">
        <v>104</v>
      </c>
    </row>
    <row r="28" spans="1:5">
      <c r="A28" s="5"/>
    </row>
    <row r="29" spans="1:5">
      <c r="A29" s="5" t="s">
        <v>103</v>
      </c>
      <c r="D29" s="3">
        <v>79</v>
      </c>
    </row>
    <row r="30" spans="1:5">
      <c r="A30" s="5" t="s">
        <v>102</v>
      </c>
      <c r="D30" s="3">
        <v>83</v>
      </c>
    </row>
    <row r="32" spans="1:5">
      <c r="A32" s="5" t="s">
        <v>101</v>
      </c>
      <c r="E32" s="3" t="s">
        <v>100</v>
      </c>
    </row>
    <row r="33" spans="1:5">
      <c r="A33" s="5" t="s">
        <v>99</v>
      </c>
      <c r="E33" s="3">
        <v>142</v>
      </c>
    </row>
    <row r="34" spans="1:5">
      <c r="A34" s="5" t="s">
        <v>98</v>
      </c>
      <c r="E34" s="3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DCAB-2D63-E741-858D-EABD32ED0100}">
  <dimension ref="A1:C5"/>
  <sheetViews>
    <sheetView workbookViewId="0">
      <selection activeCell="D19" sqref="D19"/>
    </sheetView>
  </sheetViews>
  <sheetFormatPr baseColWidth="10" defaultRowHeight="18"/>
  <cols>
    <col min="1" max="1" width="10.875" bestFit="1" customWidth="1"/>
  </cols>
  <sheetData>
    <row r="1" spans="1:3">
      <c r="A1" s="26" t="s">
        <v>170</v>
      </c>
      <c r="B1" s="26" t="s">
        <v>171</v>
      </c>
    </row>
    <row r="2" spans="1:3">
      <c r="A2" s="36">
        <v>1241480</v>
      </c>
      <c r="B2" s="22">
        <v>16208.4</v>
      </c>
    </row>
    <row r="4" spans="1:3">
      <c r="A4" s="26" t="s">
        <v>172</v>
      </c>
      <c r="B4" s="26" t="s">
        <v>173</v>
      </c>
      <c r="C4" s="26" t="s">
        <v>175</v>
      </c>
    </row>
    <row r="5" spans="1:3">
      <c r="A5" s="25">
        <v>0.77900000000000003</v>
      </c>
      <c r="B5" s="25">
        <v>0.57799999999999996</v>
      </c>
      <c r="C5" s="25">
        <f>(B2/A2)*(A5/B5)*100</f>
        <v>1.7595841351537898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C828-4E33-9640-BC5E-FFD8A4FD6CFA}">
  <dimension ref="A1:O29"/>
  <sheetViews>
    <sheetView workbookViewId="0">
      <selection activeCell="M26" sqref="M26"/>
    </sheetView>
  </sheetViews>
  <sheetFormatPr baseColWidth="10" defaultRowHeight="18"/>
  <cols>
    <col min="1" max="1" width="21.875" customWidth="1"/>
  </cols>
  <sheetData>
    <row r="1" spans="1:15">
      <c r="A1" s="35" t="s">
        <v>212</v>
      </c>
      <c r="B1" s="26" t="s">
        <v>183</v>
      </c>
      <c r="G1" s="26" t="s">
        <v>206</v>
      </c>
      <c r="L1" s="26" t="s">
        <v>207</v>
      </c>
      <c r="M1" s="26" t="s">
        <v>210</v>
      </c>
      <c r="N1" s="26" t="s">
        <v>211</v>
      </c>
      <c r="O1" s="26" t="s">
        <v>218</v>
      </c>
    </row>
    <row r="2" spans="1:15">
      <c r="A2" s="26" t="s">
        <v>202</v>
      </c>
      <c r="B2" s="65">
        <f>(68.856*(B5^(-0.676)))/100</f>
        <v>1.6549686378398976E-2</v>
      </c>
      <c r="C2" s="65">
        <f t="shared" ref="C2" si="0">(68.856*(C5^(-0.676)))/100</f>
        <v>6.260382576393414E-3</v>
      </c>
      <c r="D2" s="65">
        <f>(68.856*(D5^(-0.676)))/100</f>
        <v>5.2721317462434848E-3</v>
      </c>
      <c r="G2" s="65">
        <f>(68.856*(G5^(-0.676)))/100</f>
        <v>1.6550406962355872E-2</v>
      </c>
      <c r="H2" s="65">
        <f>(68.856*(H5^(-0.676)))/100</f>
        <v>6.2606656731358833E-3</v>
      </c>
      <c r="I2" s="65">
        <f>(68.856*(I5^(-0.676)))/100</f>
        <v>5.2714715184612989E-3</v>
      </c>
      <c r="J2" s="65">
        <f>(68.856*(J5^(-0.676)))/100</f>
        <v>1.8184622897557332E-2</v>
      </c>
      <c r="L2" s="23">
        <v>1107360</v>
      </c>
      <c r="M2">
        <v>1.6E-2</v>
      </c>
      <c r="N2">
        <v>0.5</v>
      </c>
      <c r="O2" s="63">
        <f>L2*M2</f>
        <v>17717.760000000002</v>
      </c>
    </row>
    <row r="3" spans="1:15">
      <c r="A3" s="26"/>
    </row>
    <row r="4" spans="1:15">
      <c r="A4" s="26" t="s">
        <v>203</v>
      </c>
      <c r="B4" s="23">
        <v>425.55099999999999</v>
      </c>
      <c r="C4" s="23">
        <v>92.220600000000005</v>
      </c>
      <c r="D4" s="23">
        <v>25.5579</v>
      </c>
      <c r="G4" s="23">
        <v>222.64699999999999</v>
      </c>
      <c r="H4" s="23">
        <v>41.212000000000003</v>
      </c>
      <c r="I4" s="23">
        <v>9.6862999999999992</v>
      </c>
      <c r="J4" s="23">
        <v>10.580299999999999</v>
      </c>
    </row>
    <row r="5" spans="1:15">
      <c r="A5" s="26"/>
      <c r="B5" s="23">
        <v>248.42500000000001</v>
      </c>
      <c r="C5" s="23">
        <v>1046.49</v>
      </c>
      <c r="D5" s="23">
        <v>1349.31</v>
      </c>
      <c r="G5" s="23">
        <v>248.40899999999999</v>
      </c>
      <c r="H5" s="23">
        <v>1046.42</v>
      </c>
      <c r="I5" s="23">
        <v>1349.56</v>
      </c>
      <c r="J5" s="23">
        <v>216.108</v>
      </c>
    </row>
    <row r="6" spans="1:15">
      <c r="A6" s="26"/>
      <c r="B6" s="23">
        <v>1.0161</v>
      </c>
      <c r="C6" s="23">
        <v>1.2176199999999999</v>
      </c>
      <c r="D6" s="23">
        <v>1.42838</v>
      </c>
      <c r="G6" s="23">
        <v>1.00502</v>
      </c>
      <c r="H6" s="23">
        <v>1.3639300000000001</v>
      </c>
      <c r="I6" s="23">
        <v>1.8105500000000001</v>
      </c>
      <c r="J6" s="23">
        <v>1.0967499999999999</v>
      </c>
      <c r="L6" s="73" t="s">
        <v>219</v>
      </c>
      <c r="M6" s="39">
        <f>(D23/O2)*(1/D17)*100</f>
        <v>89.12925353270667</v>
      </c>
    </row>
    <row r="7" spans="1:15">
      <c r="A7" s="26"/>
      <c r="M7" s="63"/>
    </row>
    <row r="8" spans="1:15">
      <c r="A8" s="26" t="s">
        <v>214</v>
      </c>
      <c r="B8" s="63">
        <f>SQRT(2*PI())*B4*B6</f>
        <v>1083.8720094167466</v>
      </c>
      <c r="C8">
        <f>SQRT(2*PI())*C6*C4</f>
        <v>281.46840404834848</v>
      </c>
      <c r="D8">
        <f>SQRT(2*PI())*D6*D4</f>
        <v>91.507957404930139</v>
      </c>
      <c r="G8" s="39">
        <f>SQRT(2*PI())*G4*G6</f>
        <v>560.89489365438635</v>
      </c>
      <c r="H8" s="39">
        <f>SQRT(2*PI())*H4*H6</f>
        <v>140.89828509387078</v>
      </c>
      <c r="I8" s="39">
        <v>16</v>
      </c>
      <c r="J8" s="39">
        <f>SQRT(2*PI())*J4*J6</f>
        <v>29.086774190300449</v>
      </c>
    </row>
    <row r="9" spans="1:15">
      <c r="A9" s="26"/>
    </row>
    <row r="10" spans="1:15">
      <c r="A10" s="26" t="s">
        <v>204</v>
      </c>
      <c r="B10">
        <f>B8/B2</f>
        <v>65491.996925781066</v>
      </c>
      <c r="C10">
        <f>C8/C2</f>
        <v>44960.25612072122</v>
      </c>
      <c r="D10">
        <f>D8/D2</f>
        <v>17356.917810358525</v>
      </c>
      <c r="G10">
        <f>G8/G2</f>
        <v>33890.096777085273</v>
      </c>
      <c r="H10">
        <f>H8/H2</f>
        <v>22505.320112916481</v>
      </c>
      <c r="I10">
        <f>I8/I2</f>
        <v>3035.2056240778616</v>
      </c>
      <c r="J10">
        <f>J8/J2</f>
        <v>1599.5258386253124</v>
      </c>
    </row>
    <row r="11" spans="1:15">
      <c r="A11" s="26"/>
    </row>
    <row r="12" spans="1:15">
      <c r="A12" s="26"/>
    </row>
    <row r="13" spans="1:15">
      <c r="A13" s="26" t="s">
        <v>205</v>
      </c>
      <c r="C13">
        <f>C10/B10</f>
        <v>0.68650000352978269</v>
      </c>
      <c r="D13">
        <f>D10/B10</f>
        <v>0.26502349332893738</v>
      </c>
      <c r="H13">
        <f>H10/G10</f>
        <v>0.66406774406538172</v>
      </c>
      <c r="I13">
        <f>I10/$G$10</f>
        <v>8.9560252484439953E-2</v>
      </c>
      <c r="J13">
        <f>J10/$G$10</f>
        <v>4.7197440867351816E-2</v>
      </c>
    </row>
    <row r="16" spans="1:15">
      <c r="A16" s="35" t="s">
        <v>213</v>
      </c>
      <c r="B16" s="26" t="s">
        <v>183</v>
      </c>
      <c r="H16" s="26" t="s">
        <v>206</v>
      </c>
    </row>
    <row r="17" spans="1:14">
      <c r="A17" s="26" t="s">
        <v>202</v>
      </c>
      <c r="B17" s="65">
        <f>(68.856*(B20^(-0.676)))/100</f>
        <v>8.8769043172426242E-3</v>
      </c>
      <c r="C17" s="65">
        <f>(68.856*(C20^(-0.676)))/100</f>
        <v>1.6580560927521595E-2</v>
      </c>
      <c r="D17" s="65">
        <f>(68.856*(D20^(-0.676)))/100</f>
        <v>5.2734263876051358E-3</v>
      </c>
      <c r="E17" s="65">
        <f>(68.856*(E20^(-0.676)))/100</f>
        <v>6.2632554586870958E-3</v>
      </c>
      <c r="F17" s="65">
        <f>(68.856*(F20^(-0.676)))/100</f>
        <v>6.081742361652728E-3</v>
      </c>
      <c r="H17" s="65">
        <f>(68.856*(H20^(-0.676)))/100</f>
        <v>1.6580425200950922E-2</v>
      </c>
      <c r="I17" s="65">
        <f>(68.856*(I20^(-0.676)))/100</f>
        <v>6.2629720715264414E-3</v>
      </c>
      <c r="J17" s="67">
        <f>(68.856*(J20^(-0.676)))/100</f>
        <v>5.2775268773856913E-3</v>
      </c>
    </row>
    <row r="18" spans="1:14">
      <c r="A18" s="26"/>
      <c r="J18" s="68"/>
    </row>
    <row r="19" spans="1:14">
      <c r="A19" s="26" t="s">
        <v>203</v>
      </c>
      <c r="B19" s="23">
        <v>294.02699999999999</v>
      </c>
      <c r="C19" s="23">
        <v>710.19299999999998</v>
      </c>
      <c r="D19" s="23">
        <v>27.942</v>
      </c>
      <c r="E19" s="23">
        <v>120.044</v>
      </c>
      <c r="F19" s="23">
        <v>19.048999999999999</v>
      </c>
      <c r="H19" s="22">
        <v>350.45400000000001</v>
      </c>
      <c r="I19" s="22">
        <v>52.873699999999999</v>
      </c>
      <c r="J19" s="69">
        <v>8.5186600000000006</v>
      </c>
    </row>
    <row r="20" spans="1:14">
      <c r="A20" s="26"/>
      <c r="B20" s="23">
        <v>624.28800000000001</v>
      </c>
      <c r="C20" s="23">
        <v>247.74100000000001</v>
      </c>
      <c r="D20" s="23">
        <v>1348.82</v>
      </c>
      <c r="E20" s="23">
        <v>1045.78</v>
      </c>
      <c r="F20" s="23">
        <v>1092.28</v>
      </c>
      <c r="H20" s="22">
        <v>247.744</v>
      </c>
      <c r="I20" s="22">
        <v>1045.8499999999999</v>
      </c>
      <c r="J20" s="69">
        <v>1347.27</v>
      </c>
    </row>
    <row r="21" spans="1:14">
      <c r="A21" s="26"/>
      <c r="B21" s="23">
        <v>1.1854199999999999</v>
      </c>
      <c r="C21" s="23">
        <v>0.94900399999999996</v>
      </c>
      <c r="D21" s="23">
        <v>1.1889799999999999</v>
      </c>
      <c r="E21" s="23">
        <v>1.2574700000000001</v>
      </c>
      <c r="F21" s="23">
        <v>1.0034400000000001</v>
      </c>
      <c r="H21" s="22">
        <v>0.99024900000000005</v>
      </c>
      <c r="I21" s="22">
        <v>1.39036</v>
      </c>
      <c r="J21" s="69">
        <v>0.769397</v>
      </c>
    </row>
    <row r="22" spans="1:14">
      <c r="A22" s="26"/>
      <c r="J22" s="68"/>
    </row>
    <row r="23" spans="1:14">
      <c r="A23" s="26" t="s">
        <v>214</v>
      </c>
      <c r="B23" s="39">
        <f>SQRT(2*PI())*B19*B21</f>
        <v>873.67397105485702</v>
      </c>
      <c r="C23" s="39">
        <f>SQRT(2*PI())*C19*C21</f>
        <v>1689.4072924379352</v>
      </c>
      <c r="D23" s="39">
        <f>SQRT(2*PI())*D19*D21</f>
        <v>83.276405615795156</v>
      </c>
      <c r="E23" s="39">
        <f>SQRT(2*PI())*E19*E21</f>
        <v>378.37987121371532</v>
      </c>
      <c r="F23" s="39">
        <f>SQRT(2*PI())*F19*F21</f>
        <v>47.913017744737786</v>
      </c>
      <c r="H23" s="39">
        <f>SQRT(2*PI())*H19*H21</f>
        <v>869.89206232239133</v>
      </c>
      <c r="I23" s="39">
        <f>SQRT(2*PI())*I19*I21</f>
        <v>184.27096134816199</v>
      </c>
      <c r="J23" s="70">
        <f>SQRT(2*PI())*J19*J21</f>
        <v>16.429021866082614</v>
      </c>
    </row>
    <row r="24" spans="1:14">
      <c r="A24" s="26"/>
      <c r="J24" s="68"/>
    </row>
    <row r="25" spans="1:14">
      <c r="A25" s="26" t="s">
        <v>209</v>
      </c>
      <c r="B25" s="25">
        <f>(B23/$L$2)*(1/B17)*100</f>
        <v>8.8878972774306391</v>
      </c>
      <c r="C25" s="25">
        <f>(C23/$L$2)*(1/C17)*100</f>
        <v>9.2012390474092243</v>
      </c>
      <c r="D25" s="72">
        <f>(D23/$L$2)*(1/D17)*100</f>
        <v>1.4260680565233068</v>
      </c>
      <c r="E25" s="25">
        <f>(E23/$L$2)*(1/E17)*100</f>
        <v>5.4555566219258642</v>
      </c>
      <c r="F25" s="25">
        <f>(F23/$L$2)*(1/F17)*100</f>
        <v>0.71143737188614276</v>
      </c>
      <c r="H25" s="25">
        <f>(H23/($L$2*H17*$N$2))*100</f>
        <v>9.4756905191032423</v>
      </c>
      <c r="I25" s="25">
        <f>(I23/($L$2*I17*$N$2))*100</f>
        <v>5.313951548550282</v>
      </c>
      <c r="J25" s="71">
        <f>(J23/($L$2*J17*$N$2))*100</f>
        <v>0.56224087751829466</v>
      </c>
    </row>
    <row r="26" spans="1:14">
      <c r="A26" s="26"/>
    </row>
    <row r="27" spans="1:14">
      <c r="A27" s="26" t="s">
        <v>208</v>
      </c>
    </row>
    <row r="28" spans="1:14">
      <c r="H28" s="39"/>
      <c r="J28" s="39"/>
    </row>
    <row r="29" spans="1:14">
      <c r="N29" s="3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7EAE-683C-2C49-8A3A-5A156BF8F341}">
  <dimension ref="A1:K19"/>
  <sheetViews>
    <sheetView workbookViewId="0">
      <selection activeCell="E35" sqref="E35"/>
    </sheetView>
  </sheetViews>
  <sheetFormatPr baseColWidth="10" defaultRowHeight="18"/>
  <sheetData>
    <row r="1" spans="1:11">
      <c r="A1">
        <v>100.2</v>
      </c>
    </row>
    <row r="2" spans="1:11">
      <c r="A2">
        <v>242</v>
      </c>
      <c r="D2" s="23">
        <v>242.684</v>
      </c>
      <c r="E2" s="23">
        <v>242.26300000000001</v>
      </c>
      <c r="F2" s="23">
        <v>242.874</v>
      </c>
      <c r="G2" s="23">
        <v>242.84</v>
      </c>
      <c r="H2" s="63">
        <v>242.72200000000001</v>
      </c>
    </row>
    <row r="3" spans="1:11">
      <c r="A3">
        <v>247.58</v>
      </c>
      <c r="B3" s="22">
        <v>248.214</v>
      </c>
      <c r="C3" s="22">
        <v>248.12700000000001</v>
      </c>
      <c r="D3" s="23">
        <v>247.846</v>
      </c>
      <c r="E3" s="23">
        <v>248.00299999999999</v>
      </c>
      <c r="G3" s="23">
        <v>247.91800000000001</v>
      </c>
      <c r="I3" s="23">
        <v>247.93700000000001</v>
      </c>
      <c r="J3" s="23">
        <v>247.815</v>
      </c>
      <c r="K3" s="23">
        <v>247.518</v>
      </c>
    </row>
    <row r="4" spans="1:11">
      <c r="A4">
        <v>306.51</v>
      </c>
      <c r="C4" s="22">
        <v>306.904</v>
      </c>
      <c r="D4" s="23">
        <v>306.52</v>
      </c>
      <c r="E4" s="23">
        <v>305.59899999999999</v>
      </c>
      <c r="F4" s="23">
        <v>306.84199999999998</v>
      </c>
      <c r="G4" s="23">
        <v>306.55399999999997</v>
      </c>
      <c r="H4" s="23">
        <v>307.15199999999999</v>
      </c>
      <c r="I4" s="23">
        <v>306.68700000000001</v>
      </c>
      <c r="J4" s="23">
        <v>306.82799999999997</v>
      </c>
      <c r="K4" s="23">
        <v>306.70699999999999</v>
      </c>
    </row>
    <row r="5" spans="1:11">
      <c r="A5">
        <v>347</v>
      </c>
      <c r="D5" s="22">
        <v>346.69499999999999</v>
      </c>
      <c r="F5" s="23">
        <v>347.00799999999998</v>
      </c>
    </row>
    <row r="6" spans="1:11">
      <c r="A6">
        <v>386.4</v>
      </c>
      <c r="D6" s="22">
        <v>386.94400000000002</v>
      </c>
    </row>
    <row r="7" spans="1:11">
      <c r="A7">
        <v>624.1</v>
      </c>
      <c r="B7" s="22">
        <v>624.875</v>
      </c>
      <c r="C7" s="22">
        <v>624.33699999999999</v>
      </c>
      <c r="D7" s="22">
        <v>624.43700000000001</v>
      </c>
      <c r="E7" s="23">
        <v>624.26499999999999</v>
      </c>
      <c r="F7" s="63">
        <v>624.20000000000005</v>
      </c>
      <c r="G7" s="23">
        <v>624.75400000000002</v>
      </c>
      <c r="H7" s="23">
        <v>623.80200000000002</v>
      </c>
      <c r="I7" s="23">
        <v>624.673</v>
      </c>
      <c r="J7" s="23">
        <v>624.30200000000002</v>
      </c>
      <c r="K7" s="23">
        <v>623.46199999999999</v>
      </c>
    </row>
    <row r="8" spans="1:11">
      <c r="C8" s="22"/>
    </row>
    <row r="9" spans="1:11">
      <c r="A9">
        <v>1045.93</v>
      </c>
      <c r="D9" s="22">
        <v>1046.3</v>
      </c>
      <c r="E9" s="23">
        <v>1045.26</v>
      </c>
      <c r="F9" s="23">
        <v>1046.04</v>
      </c>
      <c r="G9" s="23">
        <v>1046.0899999999999</v>
      </c>
      <c r="H9" s="23">
        <v>1045.5999999999999</v>
      </c>
      <c r="I9" s="23">
        <v>1046.5</v>
      </c>
      <c r="J9" s="23">
        <v>1046.44</v>
      </c>
    </row>
    <row r="10" spans="1:11">
      <c r="F10" s="23">
        <v>1455.29</v>
      </c>
    </row>
    <row r="13" spans="1:11">
      <c r="A13" s="64">
        <v>100.2</v>
      </c>
      <c r="B13" s="66">
        <v>100.71599999999999</v>
      </c>
    </row>
    <row r="14" spans="1:11">
      <c r="A14" s="64">
        <v>242</v>
      </c>
      <c r="B14" s="66">
        <v>242.71799999999999</v>
      </c>
    </row>
    <row r="15" spans="1:11">
      <c r="A15" s="64">
        <v>247.58</v>
      </c>
      <c r="B15" s="66">
        <v>247.91</v>
      </c>
    </row>
    <row r="16" spans="1:11">
      <c r="A16" s="64">
        <v>306.51</v>
      </c>
      <c r="B16" s="66">
        <v>307.02499999999998</v>
      </c>
    </row>
    <row r="17" spans="1:2">
      <c r="A17" s="64">
        <v>624.1</v>
      </c>
      <c r="B17" s="66">
        <v>624.62</v>
      </c>
    </row>
    <row r="18" spans="1:2">
      <c r="A18" s="64">
        <v>1045.93</v>
      </c>
      <c r="B18" s="66">
        <v>1046.33</v>
      </c>
    </row>
    <row r="19" spans="1:2">
      <c r="A19" s="64">
        <v>1454.55</v>
      </c>
      <c r="B19" s="66">
        <v>1455.16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CB77-69EC-9341-BB56-CB609F66E1D8}">
  <dimension ref="A1:Q25"/>
  <sheetViews>
    <sheetView workbookViewId="0">
      <selection activeCell="C31" sqref="C31"/>
    </sheetView>
  </sheetViews>
  <sheetFormatPr baseColWidth="10" defaultRowHeight="18"/>
  <cols>
    <col min="2" max="2" width="14.875" bestFit="1" customWidth="1"/>
    <col min="3" max="3" width="13.875" bestFit="1" customWidth="1"/>
    <col min="4" max="4" width="14.875" bestFit="1" customWidth="1"/>
    <col min="5" max="8" width="13.875" bestFit="1" customWidth="1"/>
    <col min="9" max="9" width="14.875" bestFit="1" customWidth="1"/>
    <col min="10" max="10" width="13.875" bestFit="1" customWidth="1"/>
    <col min="11" max="11" width="14.875" bestFit="1" customWidth="1"/>
  </cols>
  <sheetData>
    <row r="1" spans="1:17">
      <c r="A1" t="s">
        <v>197</v>
      </c>
      <c r="B1" s="23">
        <v>1797.44</v>
      </c>
      <c r="C1" s="23">
        <v>321.18700000000001</v>
      </c>
      <c r="D1" s="23">
        <v>933.28599999999994</v>
      </c>
      <c r="E1" s="23">
        <v>61.035299999999999</v>
      </c>
      <c r="F1" s="23">
        <v>81.859700000000004</v>
      </c>
      <c r="G1" s="23">
        <v>218.34</v>
      </c>
      <c r="H1" s="23">
        <v>58.0242</v>
      </c>
      <c r="I1" s="23">
        <v>196.58799999999999</v>
      </c>
      <c r="J1" s="23">
        <v>165.56200000000001</v>
      </c>
      <c r="K1" s="23">
        <v>195.53800000000001</v>
      </c>
      <c r="P1" t="s">
        <v>191</v>
      </c>
      <c r="Q1" s="23">
        <v>1606</v>
      </c>
    </row>
    <row r="2" spans="1:17">
      <c r="B2" s="23">
        <v>587.59</v>
      </c>
      <c r="C2" s="23">
        <v>1335.42</v>
      </c>
      <c r="D2" s="23">
        <v>1941</v>
      </c>
      <c r="E2" s="23">
        <v>2347.71</v>
      </c>
      <c r="F2" s="23">
        <v>2548.0500000000002</v>
      </c>
      <c r="G2" s="23">
        <v>4585.25</v>
      </c>
      <c r="H2" s="23">
        <v>5124.21</v>
      </c>
      <c r="I2" s="23">
        <v>5711.91</v>
      </c>
      <c r="J2" s="23">
        <v>6612.65</v>
      </c>
      <c r="K2" s="23">
        <v>8413.08</v>
      </c>
      <c r="P2" t="s">
        <v>192</v>
      </c>
      <c r="Q2" s="23">
        <v>4325</v>
      </c>
    </row>
    <row r="3" spans="1:17">
      <c r="B3" s="23">
        <v>7.5418399999999997</v>
      </c>
      <c r="C3" s="23">
        <v>7.4293899999999997</v>
      </c>
      <c r="D3" s="23">
        <v>7.7517100000000001</v>
      </c>
      <c r="E3" s="23">
        <v>7.9572099999999999</v>
      </c>
      <c r="F3" s="23">
        <v>7.8514200000000001</v>
      </c>
      <c r="G3" s="23">
        <v>8.6259300000000003</v>
      </c>
      <c r="H3" s="23">
        <v>8.8938600000000001</v>
      </c>
      <c r="I3" s="23">
        <v>9.2524099999999994</v>
      </c>
      <c r="J3" s="23">
        <v>9.7078500000000005</v>
      </c>
      <c r="K3" s="23">
        <v>10.026</v>
      </c>
      <c r="P3" t="s">
        <v>193</v>
      </c>
      <c r="Q3">
        <v>236390400</v>
      </c>
    </row>
    <row r="4" spans="1:17">
      <c r="B4" s="39"/>
      <c r="C4" s="39"/>
      <c r="D4" s="39"/>
      <c r="E4" s="39"/>
      <c r="F4" s="39"/>
      <c r="G4" s="39"/>
      <c r="H4" s="39"/>
      <c r="I4" s="39"/>
      <c r="J4" s="39"/>
      <c r="K4" s="39"/>
      <c r="P4" t="s">
        <v>194</v>
      </c>
      <c r="Q4">
        <v>426902832</v>
      </c>
    </row>
    <row r="5" spans="1:17">
      <c r="A5" t="s">
        <v>198</v>
      </c>
      <c r="B5" s="36">
        <v>28.58</v>
      </c>
      <c r="C5" s="36">
        <v>7.5830000000000002</v>
      </c>
      <c r="D5" s="36">
        <v>26.5</v>
      </c>
      <c r="E5" s="36">
        <v>2.234</v>
      </c>
      <c r="F5" s="36">
        <v>2.8210000000000002</v>
      </c>
      <c r="G5" s="36">
        <v>12.942</v>
      </c>
      <c r="H5" s="36">
        <v>4.2450000000000001</v>
      </c>
      <c r="I5" s="36">
        <v>14.605</v>
      </c>
      <c r="J5" s="36">
        <v>13.644</v>
      </c>
      <c r="K5" s="36">
        <v>21.004999999999999</v>
      </c>
    </row>
    <row r="6" spans="1:17">
      <c r="B6" s="39"/>
      <c r="C6" s="39"/>
      <c r="D6" s="39"/>
      <c r="E6" s="39"/>
      <c r="F6" s="39"/>
      <c r="G6" s="39"/>
      <c r="H6" s="39"/>
      <c r="I6" s="39"/>
      <c r="J6" s="39"/>
      <c r="K6" s="39"/>
      <c r="P6" t="s">
        <v>196</v>
      </c>
      <c r="Q6">
        <f>Q2*EXP(-LN(2)/Q4*Q3)</f>
        <v>2946.4272214137341</v>
      </c>
    </row>
    <row r="7" spans="1:17">
      <c r="A7" t="s">
        <v>199</v>
      </c>
      <c r="B7" s="39">
        <f>(B5/100)*$Q$8</f>
        <v>1352394.7732073527</v>
      </c>
      <c r="C7" s="39">
        <f t="shared" ref="C7:K7" si="0">(C5/100)*$Q$8</f>
        <v>358824.68737688439</v>
      </c>
      <c r="D7" s="39">
        <f t="shared" si="0"/>
        <v>1253969.9611614712</v>
      </c>
      <c r="E7" s="39">
        <f t="shared" si="0"/>
        <v>105712.0337069708</v>
      </c>
      <c r="F7" s="39">
        <f t="shared" si="0"/>
        <v>133488.65133722682</v>
      </c>
      <c r="G7" s="39">
        <f t="shared" si="0"/>
        <v>612410.53725855704</v>
      </c>
      <c r="H7" s="39">
        <f t="shared" si="0"/>
        <v>200871.79189171491</v>
      </c>
      <c r="I7" s="39">
        <f t="shared" si="0"/>
        <v>691103.06727408629</v>
      </c>
      <c r="J7" s="39">
        <f t="shared" si="0"/>
        <v>645628.91132404201</v>
      </c>
      <c r="K7" s="39">
        <f t="shared" si="0"/>
        <v>993948.64279987547</v>
      </c>
    </row>
    <row r="8" spans="1:17">
      <c r="A8" t="s">
        <v>200</v>
      </c>
      <c r="B8" s="39">
        <f t="shared" ref="B8:K8" si="1">SQRT(2*PI())*B1*B3</f>
        <v>33979.86514730745</v>
      </c>
      <c r="C8" s="39">
        <f t="shared" si="1"/>
        <v>5981.3752594206871</v>
      </c>
      <c r="D8" s="39">
        <f t="shared" si="1"/>
        <v>18134.358714198643</v>
      </c>
      <c r="E8" s="39">
        <f t="shared" si="1"/>
        <v>1217.3959075591022</v>
      </c>
      <c r="F8" s="39">
        <f t="shared" si="1"/>
        <v>1611.0473052073421</v>
      </c>
      <c r="G8" s="39">
        <f t="shared" si="1"/>
        <v>4720.947487202553</v>
      </c>
      <c r="H8" s="39">
        <f t="shared" si="1"/>
        <v>1293.5683600462687</v>
      </c>
      <c r="I8" s="39">
        <f t="shared" si="1"/>
        <v>4559.3381961163213</v>
      </c>
      <c r="J8" s="39">
        <f t="shared" si="1"/>
        <v>4028.7809556879147</v>
      </c>
      <c r="K8" s="39">
        <f t="shared" si="1"/>
        <v>4914.1544637166498</v>
      </c>
      <c r="P8" t="s">
        <v>195</v>
      </c>
      <c r="Q8" s="63">
        <f>Q1*Q6</f>
        <v>4731962.1175904572</v>
      </c>
    </row>
    <row r="9" spans="1:17"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7"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spans="1:17">
      <c r="A11" t="s">
        <v>13</v>
      </c>
      <c r="B11" s="64">
        <f>(B8/B7)*100</f>
        <v>2.5125699847774823</v>
      </c>
      <c r="C11" s="64">
        <f t="shared" ref="C11:K11" si="2">(C8/C7)*100</f>
        <v>1.6669352666747448</v>
      </c>
      <c r="D11" s="64">
        <f t="shared" si="2"/>
        <v>1.4461557514026859</v>
      </c>
      <c r="E11" s="64">
        <f t="shared" si="2"/>
        <v>1.1516152559638302</v>
      </c>
      <c r="F11" s="64">
        <f t="shared" si="2"/>
        <v>1.2068796029240123</v>
      </c>
      <c r="G11" s="64">
        <f t="shared" si="2"/>
        <v>0.77087953259847164</v>
      </c>
      <c r="H11" s="64">
        <f t="shared" si="2"/>
        <v>0.64397710990879198</v>
      </c>
      <c r="I11" s="64">
        <f t="shared" si="2"/>
        <v>0.65971899301499148</v>
      </c>
      <c r="J11" s="64">
        <f t="shared" si="2"/>
        <v>0.62400875875056105</v>
      </c>
      <c r="K11" s="64">
        <f t="shared" si="2"/>
        <v>0.4944072814339644</v>
      </c>
    </row>
    <row r="13" spans="1:17">
      <c r="A13" t="s">
        <v>201</v>
      </c>
      <c r="B13">
        <v>121.7817</v>
      </c>
      <c r="C13">
        <v>244.69749999999999</v>
      </c>
      <c r="D13">
        <v>344.27850000000001</v>
      </c>
      <c r="E13">
        <v>411.11630000000002</v>
      </c>
      <c r="F13">
        <v>443.96499999999997</v>
      </c>
      <c r="G13">
        <v>778.904</v>
      </c>
      <c r="H13">
        <v>867.37800000000004</v>
      </c>
      <c r="I13">
        <v>964.07899999999995</v>
      </c>
      <c r="J13">
        <v>1112.0740000000001</v>
      </c>
      <c r="K13">
        <v>1408.0060000000001</v>
      </c>
    </row>
    <row r="21" spans="2:4">
      <c r="B21" s="22"/>
      <c r="C21" s="23"/>
      <c r="D21" s="22"/>
    </row>
    <row r="22" spans="2:4">
      <c r="B22" s="22"/>
      <c r="C22" s="23"/>
      <c r="D22" s="22"/>
    </row>
    <row r="23" spans="2:4">
      <c r="B23" s="22"/>
      <c r="C23" s="23"/>
      <c r="D23" s="22"/>
    </row>
    <row r="25" spans="2:4">
      <c r="C25" s="39"/>
      <c r="D25" s="3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71B-B785-D444-906E-B14BE718062E}">
  <dimension ref="A1:H21"/>
  <sheetViews>
    <sheetView zoomScale="140" zoomScaleNormal="140" workbookViewId="0">
      <selection activeCell="L31" sqref="L31"/>
    </sheetView>
  </sheetViews>
  <sheetFormatPr baseColWidth="10" defaultRowHeight="16"/>
  <cols>
    <col min="1" max="1" width="10.625" style="1"/>
    <col min="2" max="2" width="14" style="1" bestFit="1" customWidth="1"/>
    <col min="3" max="3" width="10.5" style="1" customWidth="1"/>
    <col min="4" max="16384" width="10.625" style="1"/>
  </cols>
  <sheetData>
    <row r="1" spans="1:8" ht="24">
      <c r="A1" s="14" t="s">
        <v>35</v>
      </c>
    </row>
    <row r="3" spans="1:8">
      <c r="E3" s="13" t="s">
        <v>34</v>
      </c>
      <c r="F3" s="13" t="s">
        <v>33</v>
      </c>
      <c r="G3" s="13" t="s">
        <v>32</v>
      </c>
      <c r="H3" s="13"/>
    </row>
    <row r="4" spans="1:8">
      <c r="A4" s="13"/>
      <c r="G4" s="11"/>
    </row>
    <row r="5" spans="1:8">
      <c r="G5" s="11"/>
    </row>
    <row r="6" spans="1:8">
      <c r="E6" s="1">
        <v>121.7817</v>
      </c>
      <c r="F6" s="1">
        <v>2.9999999999999997E-4</v>
      </c>
      <c r="G6" s="11">
        <v>537.65</v>
      </c>
    </row>
    <row r="7" spans="1:8">
      <c r="E7" s="1">
        <v>244.69739999999999</v>
      </c>
      <c r="F7" s="1">
        <v>8.0000000000000004E-4</v>
      </c>
      <c r="G7" s="11">
        <v>1232</v>
      </c>
      <c r="H7" s="11"/>
    </row>
    <row r="8" spans="1:8">
      <c r="E8" s="1">
        <v>344.27850000000001</v>
      </c>
      <c r="F8" s="1">
        <v>1.1999999999999999E-3</v>
      </c>
      <c r="G8" s="11">
        <v>1794</v>
      </c>
      <c r="H8" s="11"/>
    </row>
    <row r="9" spans="1:8">
      <c r="E9" s="1">
        <v>411.11649999999997</v>
      </c>
      <c r="F9" s="1">
        <v>1.1999999999999999E-3</v>
      </c>
      <c r="G9" s="11">
        <v>2172</v>
      </c>
    </row>
    <row r="10" spans="1:8">
      <c r="E10" s="1">
        <v>443.9606</v>
      </c>
      <c r="F10" s="1">
        <v>1.6000000000000001E-3</v>
      </c>
      <c r="G10" s="11">
        <v>2358</v>
      </c>
    </row>
    <row r="11" spans="1:8">
      <c r="E11" s="1">
        <v>778.90449999999998</v>
      </c>
      <c r="F11" s="1">
        <v>2.3999999999999998E-3</v>
      </c>
      <c r="G11" s="11">
        <v>4249.8</v>
      </c>
      <c r="H11" s="11"/>
    </row>
    <row r="12" spans="1:8">
      <c r="E12" s="1">
        <v>867.38</v>
      </c>
      <c r="F12" s="1">
        <v>3.0000000000000001E-3</v>
      </c>
      <c r="G12" s="11">
        <v>4749</v>
      </c>
      <c r="H12" s="11"/>
    </row>
    <row r="13" spans="1:8">
      <c r="E13" s="1">
        <v>964.05700000000002</v>
      </c>
      <c r="F13" s="1">
        <v>5.0000000000000001E-3</v>
      </c>
      <c r="G13" s="11">
        <v>5296</v>
      </c>
      <c r="H13" s="11"/>
    </row>
    <row r="14" spans="1:8">
      <c r="E14" s="1">
        <v>1085.837</v>
      </c>
      <c r="F14" s="1">
        <v>0.01</v>
      </c>
      <c r="G14" s="11">
        <v>5983.6</v>
      </c>
    </row>
    <row r="15" spans="1:8">
      <c r="E15" s="1">
        <v>1089.7370000000001</v>
      </c>
      <c r="F15" s="1">
        <v>5.0000000000000001E-3</v>
      </c>
      <c r="G15" s="11">
        <v>6005.5</v>
      </c>
    </row>
    <row r="16" spans="1:8">
      <c r="E16" s="1">
        <v>1112.076</v>
      </c>
      <c r="F16" s="1">
        <v>3.0000000000000001E-3</v>
      </c>
      <c r="G16" s="11">
        <v>6132.08</v>
      </c>
      <c r="H16" s="11"/>
    </row>
    <row r="17" spans="1:8">
      <c r="E17" s="1">
        <v>1408.0129999999999</v>
      </c>
      <c r="F17" s="1">
        <v>3.0000000000000001E-3</v>
      </c>
      <c r="G17" s="11">
        <v>7804.35</v>
      </c>
      <c r="H17" s="11"/>
    </row>
    <row r="20" spans="1:8" ht="21">
      <c r="A20" s="12" t="s">
        <v>31</v>
      </c>
      <c r="B20" s="11">
        <v>0.17701043557000001</v>
      </c>
    </row>
    <row r="21" spans="1:8" ht="21">
      <c r="A21" s="12" t="s">
        <v>30</v>
      </c>
      <c r="B21" s="11">
        <v>26.646713013999999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681-1608-124E-8520-29226F63BDFF}">
  <dimension ref="A1:K10"/>
  <sheetViews>
    <sheetView zoomScaleNormal="100" workbookViewId="0">
      <selection activeCell="C18" sqref="C18"/>
    </sheetView>
  </sheetViews>
  <sheetFormatPr baseColWidth="10" defaultRowHeight="16"/>
  <cols>
    <col min="1" max="16384" width="10.625" style="1"/>
  </cols>
  <sheetData>
    <row r="1" spans="1:11" ht="18">
      <c r="A1" s="3" t="s">
        <v>15</v>
      </c>
      <c r="B1" s="3"/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/>
      <c r="K1" s="3" t="s">
        <v>7</v>
      </c>
    </row>
    <row r="2" spans="1:11" ht="18">
      <c r="A2" s="3"/>
      <c r="B2" s="3" t="s">
        <v>5</v>
      </c>
      <c r="C2" s="3">
        <v>4544</v>
      </c>
      <c r="D2" s="3">
        <f>C3/C2</f>
        <v>0.64942781690140849</v>
      </c>
      <c r="E2" s="3">
        <v>2080</v>
      </c>
      <c r="F2" s="3">
        <v>8264</v>
      </c>
      <c r="G2" s="3">
        <f>F2/E2</f>
        <v>3.9730769230769232</v>
      </c>
      <c r="H2" s="3">
        <v>58</v>
      </c>
      <c r="I2" s="3">
        <f>F2/H2</f>
        <v>142.48275862068965</v>
      </c>
      <c r="J2" s="3"/>
      <c r="K2" s="3">
        <f>I2/I8</f>
        <v>4.2061330958137164</v>
      </c>
    </row>
    <row r="3" spans="1:11" ht="18">
      <c r="A3" s="3"/>
      <c r="B3" s="3" t="s">
        <v>4</v>
      </c>
      <c r="C3" s="3">
        <v>2951</v>
      </c>
      <c r="D3" s="3"/>
      <c r="E3" s="3"/>
      <c r="F3" s="3"/>
      <c r="G3" s="3"/>
      <c r="H3" s="3"/>
      <c r="I3" s="3"/>
      <c r="J3" s="3"/>
      <c r="K3" s="3"/>
    </row>
    <row r="4" spans="1:1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>
      <c r="A8" s="3" t="s">
        <v>6</v>
      </c>
      <c r="B8" s="3" t="s">
        <v>5</v>
      </c>
      <c r="C8" s="3">
        <v>47653</v>
      </c>
      <c r="D8" s="3">
        <f>C9/C8</f>
        <v>4.4614190082471201E-2</v>
      </c>
      <c r="E8" s="3">
        <v>600</v>
      </c>
      <c r="F8" s="3">
        <v>271</v>
      </c>
      <c r="G8" s="3">
        <f>F8/E8</f>
        <v>0.45166666666666666</v>
      </c>
      <c r="H8" s="3">
        <v>8</v>
      </c>
      <c r="I8" s="3">
        <f>F8/H8</f>
        <v>33.875</v>
      </c>
      <c r="J8" s="3"/>
      <c r="K8" s="3"/>
    </row>
    <row r="9" spans="1:11" ht="18">
      <c r="A9" s="3"/>
      <c r="B9" s="3" t="s">
        <v>4</v>
      </c>
      <c r="C9" s="3">
        <v>2126</v>
      </c>
      <c r="D9" s="3"/>
      <c r="E9" s="3"/>
      <c r="F9" s="3"/>
      <c r="G9" s="3"/>
      <c r="H9" s="3"/>
      <c r="I9" s="3"/>
      <c r="J9" s="3"/>
      <c r="K9" s="3"/>
    </row>
    <row r="10" spans="1:11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EB1E-CF2C-6A4E-B6C2-6EA04F34FC3D}">
  <dimension ref="A1:K28"/>
  <sheetViews>
    <sheetView workbookViewId="0">
      <selection activeCell="C6" sqref="C6"/>
    </sheetView>
  </sheetViews>
  <sheetFormatPr baseColWidth="10" defaultRowHeight="16"/>
  <cols>
    <col min="1" max="2" width="10.625" style="1"/>
    <col min="3" max="3" width="8.875" style="1" customWidth="1"/>
    <col min="4" max="9" width="10.625" style="1"/>
    <col min="10" max="10" width="10.875" style="1" bestFit="1" customWidth="1"/>
    <col min="11" max="11" width="11.875" style="1" bestFit="1" customWidth="1"/>
    <col min="12" max="16384" width="10.625" style="1"/>
  </cols>
  <sheetData>
    <row r="1" spans="1:11" ht="18">
      <c r="C1" s="10" t="s">
        <v>29</v>
      </c>
      <c r="G1" s="1" t="s">
        <v>28</v>
      </c>
      <c r="H1" s="1" t="s">
        <v>27</v>
      </c>
      <c r="J1" s="1" t="s">
        <v>26</v>
      </c>
      <c r="K1" s="1" t="s">
        <v>25</v>
      </c>
    </row>
    <row r="4" spans="1:11" ht="18">
      <c r="A4" s="1" t="s">
        <v>22</v>
      </c>
      <c r="C4" s="8">
        <v>1467.21</v>
      </c>
      <c r="E4" s="1">
        <f>(SQRT(2*PI())*C6*C4)</f>
        <v>4175.7542079112691</v>
      </c>
      <c r="G4" s="1">
        <f>E9/E4</f>
        <v>0.53247653583503463</v>
      </c>
      <c r="H4" s="1">
        <f>E14/E4</f>
        <v>0.5671611174999649</v>
      </c>
      <c r="J4" s="7">
        <v>1443030</v>
      </c>
      <c r="K4" s="7">
        <v>11382700</v>
      </c>
    </row>
    <row r="5" spans="1:11" ht="18">
      <c r="C5" s="8">
        <v>711.02300000000002</v>
      </c>
    </row>
    <row r="6" spans="1:11" ht="18">
      <c r="C6" s="8">
        <v>1.13541</v>
      </c>
    </row>
    <row r="7" spans="1:11">
      <c r="C7" s="4"/>
    </row>
    <row r="8" spans="1:11">
      <c r="C8" s="4"/>
    </row>
    <row r="9" spans="1:11" ht="18">
      <c r="A9" s="1" t="s">
        <v>24</v>
      </c>
      <c r="C9" s="6">
        <v>780.23099999999999</v>
      </c>
      <c r="E9" s="1">
        <f>(SQRT(2*PI())*C11*C9)</f>
        <v>2223.4911351271617</v>
      </c>
    </row>
    <row r="10" spans="1:11" ht="18">
      <c r="C10" s="6">
        <v>709.88199999999995</v>
      </c>
    </row>
    <row r="11" spans="1:11" ht="18">
      <c r="C11" s="6">
        <v>1.1369</v>
      </c>
      <c r="I11" s="1" t="s">
        <v>0</v>
      </c>
    </row>
    <row r="12" spans="1:11">
      <c r="I12" s="1">
        <f>(J4/K4)*(H21/G4)*100</f>
        <v>15.579447179280329</v>
      </c>
    </row>
    <row r="14" spans="1:11" ht="18">
      <c r="A14" s="1" t="s">
        <v>4</v>
      </c>
      <c r="C14" s="6">
        <v>840.09100000000001</v>
      </c>
      <c r="E14" s="1">
        <f>(SQRT(2*PI())*C16*C14)</f>
        <v>2368.3254229641361</v>
      </c>
    </row>
    <row r="15" spans="1:11" ht="18">
      <c r="C15" s="6">
        <v>709.85400000000004</v>
      </c>
    </row>
    <row r="16" spans="1:11" ht="18">
      <c r="C16" s="6">
        <v>1.1246700000000001</v>
      </c>
    </row>
    <row r="19" spans="1:8" ht="18">
      <c r="C19" s="9" t="s">
        <v>23</v>
      </c>
    </row>
    <row r="21" spans="1:8" ht="18">
      <c r="A21" s="1" t="s">
        <v>22</v>
      </c>
      <c r="C21" s="6">
        <v>4558.08</v>
      </c>
      <c r="E21" s="1">
        <f>(SQRT(2*PI())*C23*C21)</f>
        <v>15138.785427111903</v>
      </c>
      <c r="H21" s="1">
        <f>E26/E21</f>
        <v>0.65436859451512963</v>
      </c>
    </row>
    <row r="22" spans="1:8" ht="18">
      <c r="C22" s="6">
        <v>1348.17</v>
      </c>
    </row>
    <row r="23" spans="1:8" ht="18">
      <c r="C23" s="6">
        <v>1.32501</v>
      </c>
    </row>
    <row r="26" spans="1:8" ht="18">
      <c r="A26" s="1" t="s">
        <v>4</v>
      </c>
      <c r="C26" s="6">
        <v>2999.78</v>
      </c>
      <c r="E26" s="1">
        <f>(SQRT(2*PI())*C28*C26)</f>
        <v>9906.3457426053428</v>
      </c>
    </row>
    <row r="27" spans="1:8" ht="18">
      <c r="C27" s="6">
        <v>1348.16</v>
      </c>
    </row>
    <row r="28" spans="1:8" ht="18">
      <c r="C28" s="6">
        <v>1.31745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834-25BF-554B-A055-DB729B0B172B}">
  <dimension ref="A1:E25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5">
      <c r="A1" s="1" t="s">
        <v>160</v>
      </c>
      <c r="B1" s="1" t="s">
        <v>159</v>
      </c>
    </row>
    <row r="2" spans="1:5">
      <c r="E2" s="1">
        <f>(C7+C13+C19+C25)/4</f>
        <v>0.46564823290546487</v>
      </c>
    </row>
    <row r="3" spans="1:5" ht="18">
      <c r="A3" s="6">
        <v>5282.23</v>
      </c>
      <c r="B3" s="6">
        <v>2515.7600000000002</v>
      </c>
    </row>
    <row r="4" spans="1:5" ht="18">
      <c r="A4" s="6">
        <v>314.45100000000002</v>
      </c>
      <c r="B4" s="6">
        <v>314.43700000000001</v>
      </c>
    </row>
    <row r="5" spans="1:5" ht="18">
      <c r="A5" s="6">
        <v>1.05945</v>
      </c>
      <c r="B5" s="6">
        <v>1.0306599999999999</v>
      </c>
    </row>
    <row r="7" spans="1:5">
      <c r="A7" s="1">
        <f>SQRT(2*PI())*A3*A5</f>
        <v>14027.739972481248</v>
      </c>
      <c r="B7" s="1">
        <f>SQRT(2*PI())*B3*B5</f>
        <v>6499.4194122290583</v>
      </c>
      <c r="C7" s="1">
        <f>B7/A7</f>
        <v>0.46332619687698923</v>
      </c>
    </row>
    <row r="9" spans="1:5" ht="18">
      <c r="A9" s="6">
        <v>2910.99</v>
      </c>
      <c r="B9" s="6">
        <v>1368.57</v>
      </c>
    </row>
    <row r="10" spans="1:5" ht="18">
      <c r="A10" s="6">
        <v>353.26799999999997</v>
      </c>
      <c r="B10" s="6">
        <v>353.23899999999998</v>
      </c>
    </row>
    <row r="11" spans="1:5" ht="18">
      <c r="A11" s="6">
        <v>1.0691900000000001</v>
      </c>
      <c r="B11" s="6">
        <v>0.89498200000000006</v>
      </c>
    </row>
    <row r="13" spans="1:5">
      <c r="A13" s="1">
        <f>SQRT(2*PI())*A9*A11</f>
        <v>7801.6333464785157</v>
      </c>
      <c r="B13" s="1">
        <f>SQRT(2*PI())*B9*B11</f>
        <v>3070.2324018088739</v>
      </c>
      <c r="C13" s="1">
        <f>B13/A13</f>
        <v>0.39353713068234725</v>
      </c>
    </row>
    <row r="15" spans="1:5" ht="18">
      <c r="A15" s="6">
        <v>907.93399999999997</v>
      </c>
      <c r="B15" s="6">
        <v>430.28500000000003</v>
      </c>
    </row>
    <row r="16" spans="1:5" ht="18">
      <c r="A16" s="6" t="s">
        <v>158</v>
      </c>
      <c r="B16" s="6">
        <v>500.28899999999999</v>
      </c>
    </row>
    <row r="17" spans="1:3" ht="18">
      <c r="A17" s="6">
        <v>1.1432599999999999</v>
      </c>
      <c r="B17" s="6">
        <v>1.21637</v>
      </c>
    </row>
    <row r="19" spans="1:3">
      <c r="A19" s="1">
        <f>SQRT(2*PI())*A15*A17</f>
        <v>2601.8917418216874</v>
      </c>
      <c r="B19" s="1">
        <f>SQRT(2*PI())*B15*B17</f>
        <v>1311.933558216359</v>
      </c>
      <c r="C19" s="1">
        <f>B19/A19</f>
        <v>0.50422296098215924</v>
      </c>
    </row>
    <row r="21" spans="1:3" ht="18">
      <c r="A21" s="6">
        <v>2185.8200000000002</v>
      </c>
      <c r="B21" s="6">
        <v>1071.8</v>
      </c>
    </row>
    <row r="22" spans="1:3" ht="18">
      <c r="A22" s="6">
        <v>115.03100000000001</v>
      </c>
      <c r="B22" s="6">
        <v>115.06399999999999</v>
      </c>
    </row>
    <row r="23" spans="1:3" ht="18">
      <c r="A23" s="6">
        <v>0.97028899999999996</v>
      </c>
      <c r="B23" s="6">
        <v>0.99238099999999996</v>
      </c>
    </row>
    <row r="25" spans="1:3">
      <c r="A25" s="1">
        <f>SQRT(2*PI())*A21*A23</f>
        <v>5316.250510840523</v>
      </c>
      <c r="B25" s="1">
        <f>SQRT(2*PI())*B21*B23</f>
        <v>2666.1349474658991</v>
      </c>
      <c r="C25" s="1">
        <f>B25/A25</f>
        <v>0.50150664308036363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4FC4-B85F-3448-8E2A-E4C44EA629AC}">
  <dimension ref="A1:C8"/>
  <sheetViews>
    <sheetView topLeftCell="A11" workbookViewId="0">
      <selection activeCell="G11" sqref="G11"/>
    </sheetView>
  </sheetViews>
  <sheetFormatPr baseColWidth="10" defaultRowHeight="16"/>
  <cols>
    <col min="1" max="16384" width="10.625" style="1"/>
  </cols>
  <sheetData>
    <row r="1" spans="1:3">
      <c r="A1" s="1" t="s">
        <v>160</v>
      </c>
      <c r="B1" s="1" t="s">
        <v>159</v>
      </c>
    </row>
    <row r="3" spans="1:3" ht="18">
      <c r="A3" s="6">
        <v>2164.83</v>
      </c>
      <c r="B3" s="6">
        <v>881.94899999999996</v>
      </c>
    </row>
    <row r="4" spans="1:3" ht="18">
      <c r="A4" s="6" t="s">
        <v>162</v>
      </c>
      <c r="B4" s="6">
        <v>263.505</v>
      </c>
    </row>
    <row r="5" spans="1:3" ht="18">
      <c r="A5" s="6">
        <v>0.86148899999999995</v>
      </c>
      <c r="B5" s="6">
        <v>0.866618</v>
      </c>
    </row>
    <row r="8" spans="1:3">
      <c r="A8" s="1">
        <f>SQRT(2*PI())*A3*A5</f>
        <v>4674.8046609483963</v>
      </c>
      <c r="B8" s="1">
        <f>SQRT(2*PI())*B3*B5</f>
        <v>1915.8482718675891</v>
      </c>
      <c r="C8" s="1">
        <f>B8/A8</f>
        <v>0.40982424097243741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609-792A-7642-9CAD-67077A136A92}">
  <dimension ref="A1:C13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3">
      <c r="A1" s="1" t="s">
        <v>160</v>
      </c>
      <c r="B1" s="1" t="s">
        <v>159</v>
      </c>
    </row>
    <row r="3" spans="1:3" ht="18">
      <c r="A3" s="6">
        <v>1249.33</v>
      </c>
      <c r="B3" s="6">
        <v>449.46499999999997</v>
      </c>
    </row>
    <row r="4" spans="1:3" ht="18">
      <c r="A4" s="6">
        <v>612.30899999999997</v>
      </c>
      <c r="B4" s="6">
        <v>612.26199999999994</v>
      </c>
    </row>
    <row r="5" spans="1:3" ht="18">
      <c r="A5" s="6">
        <v>1.04376</v>
      </c>
      <c r="B5" s="6">
        <v>1.09826</v>
      </c>
    </row>
    <row r="7" spans="1:3">
      <c r="A7" s="1">
        <f>SQRT(2*PI())*A3*A5</f>
        <v>3268.6449766313535</v>
      </c>
      <c r="B7" s="1">
        <f>SQRT(2*PI())*B3*B5</f>
        <v>1237.3454886839495</v>
      </c>
      <c r="C7" s="1">
        <f>B7/A7</f>
        <v>0.37854997943494939</v>
      </c>
    </row>
    <row r="9" spans="1:3" ht="18">
      <c r="A9" s="6">
        <v>475.34699999999998</v>
      </c>
      <c r="B9" s="6">
        <v>181.48599999999999</v>
      </c>
    </row>
    <row r="10" spans="1:3" ht="18">
      <c r="A10" s="6">
        <v>771.077</v>
      </c>
      <c r="B10" s="6">
        <v>771.06799999999998</v>
      </c>
    </row>
    <row r="11" spans="1:3" ht="18">
      <c r="A11" s="6">
        <v>1.0912500000000001</v>
      </c>
      <c r="B11" s="6">
        <v>0.99794799999999995</v>
      </c>
    </row>
    <row r="13" spans="1:3">
      <c r="A13" s="1">
        <f>SQRT(2*PI())*A9*A11</f>
        <v>1300.2442689905904</v>
      </c>
      <c r="B13" s="1">
        <f>SQRT(2*PI())*B9*B11</f>
        <v>453.98444743875172</v>
      </c>
      <c r="C13" s="1">
        <f>B13/A13</f>
        <v>0.34915320010692324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050-E39F-4E43-B6D2-85F3F9FA265F}">
  <dimension ref="A1:H73"/>
  <sheetViews>
    <sheetView topLeftCell="A26" zoomScale="110" zoomScaleNormal="110" workbookViewId="0">
      <selection activeCell="E56" sqref="E56"/>
    </sheetView>
  </sheetViews>
  <sheetFormatPr baseColWidth="10" defaultRowHeight="16"/>
  <cols>
    <col min="1" max="1" width="15.25" style="1" customWidth="1"/>
    <col min="2" max="2" width="18.125" style="1" customWidth="1"/>
    <col min="3" max="3" width="25.375" style="1" customWidth="1"/>
    <col min="4" max="4" width="15.75" style="1" customWidth="1"/>
    <col min="5" max="5" width="33.625" style="1" customWidth="1"/>
    <col min="6" max="7" width="10.625" style="1"/>
    <col min="8" max="8" width="13.625" style="1" customWidth="1"/>
    <col min="9" max="16384" width="10.625" style="1"/>
  </cols>
  <sheetData>
    <row r="1" spans="1:8" ht="26">
      <c r="A1" s="19" t="s">
        <v>97</v>
      </c>
      <c r="C1" s="13"/>
      <c r="D1" s="13"/>
      <c r="E1" s="34" t="s">
        <v>96</v>
      </c>
    </row>
    <row r="2" spans="1:8" ht="18">
      <c r="E2" s="34" t="s">
        <v>95</v>
      </c>
    </row>
    <row r="3" spans="1:8" ht="18">
      <c r="G3" s="18"/>
      <c r="H3" s="3" t="s">
        <v>94</v>
      </c>
    </row>
    <row r="4" spans="1:8" ht="18">
      <c r="G4" s="17"/>
      <c r="H4" s="3" t="s">
        <v>93</v>
      </c>
    </row>
    <row r="5" spans="1:8" ht="18">
      <c r="A5" s="3"/>
      <c r="B5" s="3"/>
      <c r="C5" s="5" t="s">
        <v>92</v>
      </c>
      <c r="D5" s="5" t="s">
        <v>91</v>
      </c>
      <c r="E5" s="5" t="s">
        <v>90</v>
      </c>
      <c r="G5" s="16"/>
      <c r="H5" s="3" t="s">
        <v>89</v>
      </c>
    </row>
    <row r="6" spans="1:8" ht="18">
      <c r="A6" s="28">
        <v>58</v>
      </c>
      <c r="B6" s="3" t="s">
        <v>88</v>
      </c>
      <c r="C6" s="3"/>
      <c r="D6" s="3"/>
      <c r="E6" s="3"/>
      <c r="G6" s="15"/>
      <c r="H6" s="3" t="s">
        <v>87</v>
      </c>
    </row>
    <row r="7" spans="1:8" ht="18">
      <c r="A7" s="5">
        <f t="shared" ref="A7:A38" si="0">A6+1</f>
        <v>59</v>
      </c>
      <c r="B7" s="3" t="s">
        <v>86</v>
      </c>
      <c r="C7" s="3"/>
      <c r="D7" s="3"/>
      <c r="E7" s="3"/>
    </row>
    <row r="8" spans="1:8" ht="18">
      <c r="A8" s="5">
        <f t="shared" si="0"/>
        <v>60</v>
      </c>
      <c r="B8" s="3" t="s">
        <v>86</v>
      </c>
      <c r="C8" s="3"/>
      <c r="D8" s="3"/>
      <c r="E8" s="3"/>
    </row>
    <row r="9" spans="1:8" ht="18">
      <c r="A9" s="5">
        <f t="shared" si="0"/>
        <v>61</v>
      </c>
      <c r="B9" s="3" t="s">
        <v>83</v>
      </c>
      <c r="C9" s="3" t="s">
        <v>82</v>
      </c>
      <c r="D9" s="3">
        <v>9</v>
      </c>
      <c r="E9" s="3"/>
    </row>
    <row r="10" spans="1:8" ht="18">
      <c r="A10" s="5">
        <f t="shared" si="0"/>
        <v>62</v>
      </c>
      <c r="B10" s="3" t="s">
        <v>83</v>
      </c>
      <c r="C10" s="3" t="s">
        <v>85</v>
      </c>
      <c r="D10" s="3">
        <v>9</v>
      </c>
      <c r="E10" s="3" t="s">
        <v>84</v>
      </c>
    </row>
    <row r="11" spans="1:8" ht="18">
      <c r="A11" s="5">
        <f t="shared" si="0"/>
        <v>63</v>
      </c>
      <c r="B11" s="3" t="s">
        <v>83</v>
      </c>
      <c r="C11" s="3" t="s">
        <v>82</v>
      </c>
      <c r="D11" s="3">
        <v>9</v>
      </c>
      <c r="E11" s="3"/>
    </row>
    <row r="12" spans="1:8" ht="18">
      <c r="A12" s="29">
        <f t="shared" si="0"/>
        <v>64</v>
      </c>
      <c r="B12" s="3" t="s">
        <v>75</v>
      </c>
      <c r="C12" s="3" t="s">
        <v>59</v>
      </c>
      <c r="D12" s="3">
        <v>8</v>
      </c>
      <c r="E12" s="3" t="s">
        <v>81</v>
      </c>
    </row>
    <row r="13" spans="1:8" ht="18">
      <c r="A13" s="29">
        <f t="shared" si="0"/>
        <v>65</v>
      </c>
      <c r="B13" s="3" t="s">
        <v>75</v>
      </c>
      <c r="C13" s="3" t="s">
        <v>80</v>
      </c>
      <c r="D13" s="3">
        <v>8</v>
      </c>
      <c r="E13" s="3" t="s">
        <v>79</v>
      </c>
    </row>
    <row r="14" spans="1:8" ht="18">
      <c r="A14" s="30">
        <f t="shared" si="0"/>
        <v>66</v>
      </c>
      <c r="B14" s="3" t="s">
        <v>75</v>
      </c>
      <c r="C14" s="3" t="s">
        <v>59</v>
      </c>
      <c r="D14" s="3">
        <v>8</v>
      </c>
      <c r="E14" s="3" t="s">
        <v>46</v>
      </c>
    </row>
    <row r="15" spans="1:8" ht="18">
      <c r="A15" s="29">
        <f t="shared" si="0"/>
        <v>67</v>
      </c>
      <c r="B15" s="3" t="s">
        <v>75</v>
      </c>
      <c r="C15" s="3" t="s">
        <v>59</v>
      </c>
      <c r="D15" s="3">
        <v>8</v>
      </c>
      <c r="E15" s="3" t="s">
        <v>78</v>
      </c>
    </row>
    <row r="16" spans="1:8" ht="18">
      <c r="A16" s="30">
        <f t="shared" si="0"/>
        <v>68</v>
      </c>
      <c r="B16" s="3" t="s">
        <v>75</v>
      </c>
      <c r="C16" s="3" t="s">
        <v>77</v>
      </c>
      <c r="D16" s="3">
        <v>8</v>
      </c>
      <c r="E16" s="3" t="s">
        <v>76</v>
      </c>
    </row>
    <row r="17" spans="1:5" ht="18">
      <c r="A17" s="29">
        <f t="shared" si="0"/>
        <v>69</v>
      </c>
      <c r="B17" s="3" t="s">
        <v>75</v>
      </c>
      <c r="C17" s="3" t="s">
        <v>59</v>
      </c>
      <c r="D17" s="3">
        <v>8</v>
      </c>
      <c r="E17" s="3" t="s">
        <v>74</v>
      </c>
    </row>
    <row r="18" spans="1:5" ht="18">
      <c r="A18" s="5">
        <f t="shared" si="0"/>
        <v>70</v>
      </c>
      <c r="B18" s="3" t="s">
        <v>57</v>
      </c>
      <c r="C18" s="3"/>
      <c r="D18" s="3"/>
      <c r="E18" s="3" t="s">
        <v>60</v>
      </c>
    </row>
    <row r="19" spans="1:5" ht="18">
      <c r="A19" s="30">
        <f t="shared" si="0"/>
        <v>71</v>
      </c>
      <c r="B19" s="3" t="s">
        <v>57</v>
      </c>
      <c r="C19" s="3" t="s">
        <v>59</v>
      </c>
      <c r="D19" s="3">
        <v>6</v>
      </c>
      <c r="E19" s="3" t="s">
        <v>73</v>
      </c>
    </row>
    <row r="20" spans="1:5" ht="18">
      <c r="A20" s="31">
        <f t="shared" si="0"/>
        <v>72</v>
      </c>
      <c r="B20" s="3" t="s">
        <v>57</v>
      </c>
      <c r="C20" s="3" t="s">
        <v>59</v>
      </c>
      <c r="D20" s="3">
        <v>6.5</v>
      </c>
      <c r="E20" s="3" t="s">
        <v>72</v>
      </c>
    </row>
    <row r="21" spans="1:5" ht="18">
      <c r="A21" s="30">
        <f t="shared" si="0"/>
        <v>73</v>
      </c>
      <c r="B21" s="3" t="s">
        <v>57</v>
      </c>
      <c r="C21" s="3" t="s">
        <v>59</v>
      </c>
      <c r="D21" s="3">
        <v>6</v>
      </c>
      <c r="E21" s="3" t="s">
        <v>58</v>
      </c>
    </row>
    <row r="22" spans="1:5" ht="18">
      <c r="A22" s="30">
        <f t="shared" si="0"/>
        <v>74</v>
      </c>
      <c r="B22" s="3" t="s">
        <v>57</v>
      </c>
      <c r="C22" s="3" t="s">
        <v>59</v>
      </c>
      <c r="D22" s="3">
        <v>6</v>
      </c>
      <c r="E22" s="3" t="s">
        <v>58</v>
      </c>
    </row>
    <row r="23" spans="1:5" ht="18">
      <c r="A23" s="30">
        <f t="shared" si="0"/>
        <v>75</v>
      </c>
      <c r="B23" s="3" t="s">
        <v>57</v>
      </c>
      <c r="C23" s="3" t="s">
        <v>59</v>
      </c>
      <c r="D23" s="3">
        <v>6</v>
      </c>
      <c r="E23" s="3" t="s">
        <v>58</v>
      </c>
    </row>
    <row r="24" spans="1:5" ht="18">
      <c r="A24" s="30">
        <f t="shared" si="0"/>
        <v>76</v>
      </c>
      <c r="B24" s="3" t="s">
        <v>57</v>
      </c>
      <c r="C24" s="3" t="s">
        <v>59</v>
      </c>
      <c r="D24" s="3">
        <v>7</v>
      </c>
      <c r="E24" s="3" t="s">
        <v>71</v>
      </c>
    </row>
    <row r="25" spans="1:5" ht="18">
      <c r="A25" s="30">
        <f t="shared" si="0"/>
        <v>77</v>
      </c>
      <c r="B25" s="3" t="s">
        <v>57</v>
      </c>
      <c r="C25" s="3" t="s">
        <v>59</v>
      </c>
      <c r="D25" s="3">
        <v>7</v>
      </c>
      <c r="E25" s="3"/>
    </row>
    <row r="26" spans="1:5" ht="18">
      <c r="A26" s="31">
        <f t="shared" si="0"/>
        <v>78</v>
      </c>
      <c r="B26" s="3" t="s">
        <v>57</v>
      </c>
      <c r="C26" s="3" t="s">
        <v>70</v>
      </c>
      <c r="D26" s="3">
        <v>7</v>
      </c>
      <c r="E26" s="3" t="s">
        <v>69</v>
      </c>
    </row>
    <row r="27" spans="1:5" ht="18">
      <c r="A27" s="5">
        <f t="shared" si="0"/>
        <v>79</v>
      </c>
      <c r="B27" s="3" t="s">
        <v>68</v>
      </c>
      <c r="C27" s="3" t="s">
        <v>67</v>
      </c>
      <c r="D27" s="3">
        <v>10</v>
      </c>
      <c r="E27" s="3" t="s">
        <v>66</v>
      </c>
    </row>
    <row r="28" spans="1:5" ht="18">
      <c r="A28" s="5">
        <f t="shared" si="0"/>
        <v>80</v>
      </c>
      <c r="B28" s="3"/>
      <c r="C28" s="3"/>
      <c r="D28" s="3">
        <v>10</v>
      </c>
      <c r="E28" s="3" t="s">
        <v>60</v>
      </c>
    </row>
    <row r="29" spans="1:5" ht="18">
      <c r="A29" s="5">
        <f t="shared" si="0"/>
        <v>81</v>
      </c>
      <c r="B29" s="3"/>
      <c r="C29" s="3"/>
      <c r="D29" s="3">
        <v>10</v>
      </c>
      <c r="E29" s="3" t="s">
        <v>60</v>
      </c>
    </row>
    <row r="30" spans="1:5" ht="18">
      <c r="A30" s="5">
        <f t="shared" si="0"/>
        <v>82</v>
      </c>
      <c r="B30" s="3" t="s">
        <v>65</v>
      </c>
      <c r="C30" s="3" t="s">
        <v>64</v>
      </c>
      <c r="D30" s="3">
        <v>10</v>
      </c>
      <c r="E30" s="3" t="s">
        <v>63</v>
      </c>
    </row>
    <row r="31" spans="1:5" ht="18">
      <c r="A31" s="5">
        <f t="shared" si="0"/>
        <v>83</v>
      </c>
      <c r="B31" s="3" t="s">
        <v>62</v>
      </c>
      <c r="C31" s="3" t="s">
        <v>61</v>
      </c>
      <c r="D31" s="3">
        <v>10</v>
      </c>
      <c r="E31" s="3" t="s">
        <v>60</v>
      </c>
    </row>
    <row r="32" spans="1:5" ht="18">
      <c r="A32" s="31">
        <f t="shared" si="0"/>
        <v>84</v>
      </c>
      <c r="B32" s="3" t="s">
        <v>57</v>
      </c>
      <c r="C32" s="3" t="s">
        <v>59</v>
      </c>
      <c r="D32" s="3">
        <v>10</v>
      </c>
      <c r="E32" s="3" t="s">
        <v>58</v>
      </c>
    </row>
    <row r="33" spans="1:5" ht="18">
      <c r="A33" s="31">
        <f t="shared" si="0"/>
        <v>85</v>
      </c>
      <c r="B33" s="3" t="s">
        <v>57</v>
      </c>
      <c r="C33" s="3" t="s">
        <v>56</v>
      </c>
      <c r="D33" s="3">
        <v>9.5</v>
      </c>
      <c r="E33" s="3" t="s">
        <v>55</v>
      </c>
    </row>
    <row r="34" spans="1:5" ht="18">
      <c r="A34" s="5">
        <f t="shared" si="0"/>
        <v>86</v>
      </c>
      <c r="B34" s="3"/>
      <c r="C34" s="3"/>
      <c r="D34" s="3"/>
      <c r="E34" s="3" t="s">
        <v>54</v>
      </c>
    </row>
    <row r="35" spans="1:5" ht="18">
      <c r="A35" s="5">
        <f t="shared" si="0"/>
        <v>87</v>
      </c>
      <c r="B35" s="3" t="s">
        <v>37</v>
      </c>
      <c r="C35" s="3" t="s">
        <v>53</v>
      </c>
      <c r="D35" s="3">
        <v>8</v>
      </c>
      <c r="E35" s="3"/>
    </row>
    <row r="36" spans="1:5" ht="18">
      <c r="A36" s="5">
        <f t="shared" si="0"/>
        <v>88</v>
      </c>
      <c r="B36" s="3" t="s">
        <v>37</v>
      </c>
      <c r="C36" s="3" t="s">
        <v>52</v>
      </c>
      <c r="D36" s="3">
        <v>9</v>
      </c>
      <c r="E36" s="3"/>
    </row>
    <row r="37" spans="1:5" ht="18">
      <c r="A37" s="5">
        <f t="shared" si="0"/>
        <v>89</v>
      </c>
      <c r="B37" s="3" t="s">
        <v>37</v>
      </c>
      <c r="C37" s="3" t="s">
        <v>51</v>
      </c>
      <c r="D37" s="3">
        <v>9</v>
      </c>
      <c r="E37" s="3" t="s">
        <v>47</v>
      </c>
    </row>
    <row r="38" spans="1:5" ht="18">
      <c r="A38" s="5">
        <f t="shared" si="0"/>
        <v>90</v>
      </c>
      <c r="B38" s="3" t="s">
        <v>40</v>
      </c>
      <c r="C38" s="3" t="s">
        <v>50</v>
      </c>
      <c r="D38" s="3">
        <v>9</v>
      </c>
      <c r="E38" s="3" t="s">
        <v>49</v>
      </c>
    </row>
    <row r="39" spans="1:5" ht="18">
      <c r="A39" s="5">
        <f t="shared" ref="A39:A73" si="1">A38+1</f>
        <v>91</v>
      </c>
      <c r="B39" s="3" t="s">
        <v>37</v>
      </c>
      <c r="C39" s="3" t="s">
        <v>48</v>
      </c>
      <c r="D39" s="3">
        <v>9</v>
      </c>
      <c r="E39" s="3"/>
    </row>
    <row r="40" spans="1:5" ht="18">
      <c r="A40" s="30">
        <f t="shared" si="1"/>
        <v>92</v>
      </c>
      <c r="B40" s="3" t="s">
        <v>37</v>
      </c>
      <c r="C40" s="3" t="s">
        <v>38</v>
      </c>
      <c r="D40" s="3">
        <v>6.5</v>
      </c>
      <c r="E40" s="3" t="s">
        <v>47</v>
      </c>
    </row>
    <row r="41" spans="1:5" ht="18">
      <c r="A41" s="30">
        <f t="shared" si="1"/>
        <v>93</v>
      </c>
      <c r="B41" s="3" t="s">
        <v>37</v>
      </c>
      <c r="C41" s="3" t="s">
        <v>38</v>
      </c>
      <c r="D41" s="3">
        <v>6.5</v>
      </c>
      <c r="E41" s="3"/>
    </row>
    <row r="42" spans="1:5" ht="18">
      <c r="A42" s="30">
        <f t="shared" si="1"/>
        <v>94</v>
      </c>
      <c r="B42" s="3" t="s">
        <v>37</v>
      </c>
      <c r="C42" s="3" t="s">
        <v>38</v>
      </c>
      <c r="D42" s="3">
        <v>10</v>
      </c>
      <c r="E42" s="3"/>
    </row>
    <row r="43" spans="1:5" ht="18">
      <c r="A43" s="31">
        <f t="shared" si="1"/>
        <v>95</v>
      </c>
      <c r="B43" s="3" t="s">
        <v>37</v>
      </c>
      <c r="C43" s="3" t="s">
        <v>38</v>
      </c>
      <c r="D43" s="3">
        <v>9.5</v>
      </c>
      <c r="E43" s="3" t="s">
        <v>179</v>
      </c>
    </row>
    <row r="44" spans="1:5" ht="18">
      <c r="A44" s="30">
        <f t="shared" si="1"/>
        <v>96</v>
      </c>
      <c r="B44" s="3" t="s">
        <v>37</v>
      </c>
      <c r="C44" s="3" t="s">
        <v>38</v>
      </c>
      <c r="D44" s="3">
        <v>9.5</v>
      </c>
      <c r="E44" s="3"/>
    </row>
    <row r="45" spans="1:5" ht="18">
      <c r="A45" s="31">
        <f t="shared" si="1"/>
        <v>97</v>
      </c>
      <c r="B45" s="3" t="s">
        <v>37</v>
      </c>
      <c r="C45" s="3" t="s">
        <v>38</v>
      </c>
      <c r="D45" s="3">
        <v>9</v>
      </c>
      <c r="E45" s="3" t="s">
        <v>179</v>
      </c>
    </row>
    <row r="46" spans="1:5" ht="18">
      <c r="A46" s="30">
        <f t="shared" si="1"/>
        <v>98</v>
      </c>
      <c r="B46" s="3" t="s">
        <v>37</v>
      </c>
      <c r="C46" s="3" t="s">
        <v>38</v>
      </c>
      <c r="D46" s="3">
        <v>9</v>
      </c>
      <c r="E46" s="3"/>
    </row>
    <row r="47" spans="1:5" ht="18">
      <c r="A47" s="30">
        <f t="shared" si="1"/>
        <v>99</v>
      </c>
      <c r="B47" s="3" t="s">
        <v>37</v>
      </c>
      <c r="C47" s="3" t="s">
        <v>38</v>
      </c>
      <c r="D47" s="3">
        <v>9</v>
      </c>
      <c r="E47" s="3"/>
    </row>
    <row r="48" spans="1:5" ht="18">
      <c r="A48" s="30">
        <f t="shared" si="1"/>
        <v>100</v>
      </c>
      <c r="B48" s="3" t="s">
        <v>37</v>
      </c>
      <c r="C48" s="3" t="s">
        <v>38</v>
      </c>
      <c r="D48" s="3">
        <v>9</v>
      </c>
      <c r="E48" s="3"/>
    </row>
    <row r="49" spans="1:5" ht="18">
      <c r="A49" s="30">
        <f t="shared" si="1"/>
        <v>101</v>
      </c>
      <c r="B49" s="3" t="s">
        <v>37</v>
      </c>
      <c r="C49" s="3" t="s">
        <v>38</v>
      </c>
      <c r="D49" s="3">
        <v>10</v>
      </c>
      <c r="E49" s="3"/>
    </row>
    <row r="50" spans="1:5" ht="18">
      <c r="A50" s="30">
        <f t="shared" si="1"/>
        <v>102</v>
      </c>
      <c r="B50" s="3" t="s">
        <v>37</v>
      </c>
      <c r="C50" s="3" t="s">
        <v>38</v>
      </c>
      <c r="D50" s="3">
        <v>10</v>
      </c>
      <c r="E50" s="3"/>
    </row>
    <row r="51" spans="1:5" ht="18">
      <c r="A51" s="30">
        <f t="shared" si="1"/>
        <v>103</v>
      </c>
      <c r="B51" s="3" t="s">
        <v>37</v>
      </c>
      <c r="C51" s="3" t="s">
        <v>38</v>
      </c>
      <c r="D51" s="3">
        <v>10</v>
      </c>
      <c r="E51" s="3" t="s">
        <v>46</v>
      </c>
    </row>
    <row r="52" spans="1:5" ht="18">
      <c r="A52" s="30">
        <f t="shared" si="1"/>
        <v>104</v>
      </c>
      <c r="B52" s="3" t="s">
        <v>37</v>
      </c>
      <c r="C52" s="3" t="s">
        <v>38</v>
      </c>
      <c r="D52" s="3">
        <v>10</v>
      </c>
      <c r="E52" s="3"/>
    </row>
    <row r="53" spans="1:5" ht="18">
      <c r="A53" s="30">
        <f t="shared" si="1"/>
        <v>105</v>
      </c>
      <c r="B53" s="3" t="s">
        <v>37</v>
      </c>
      <c r="C53" s="3" t="s">
        <v>38</v>
      </c>
      <c r="D53" s="3">
        <v>10</v>
      </c>
      <c r="E53" s="3" t="s">
        <v>45</v>
      </c>
    </row>
    <row r="54" spans="1:5" ht="18">
      <c r="A54" s="30">
        <f t="shared" si="1"/>
        <v>106</v>
      </c>
      <c r="B54" s="3" t="s">
        <v>37</v>
      </c>
      <c r="C54" s="3" t="s">
        <v>38</v>
      </c>
      <c r="D54" s="3">
        <v>10</v>
      </c>
      <c r="E54" s="3"/>
    </row>
    <row r="55" spans="1:5" ht="18">
      <c r="A55" s="30">
        <f t="shared" si="1"/>
        <v>107</v>
      </c>
      <c r="B55" s="3" t="s">
        <v>37</v>
      </c>
      <c r="C55" s="3" t="s">
        <v>38</v>
      </c>
      <c r="D55" s="3">
        <v>10</v>
      </c>
      <c r="E55" s="3"/>
    </row>
    <row r="56" spans="1:5" ht="18">
      <c r="A56" s="31">
        <f t="shared" si="1"/>
        <v>108</v>
      </c>
      <c r="B56" s="3" t="s">
        <v>37</v>
      </c>
      <c r="C56" s="3" t="s">
        <v>38</v>
      </c>
      <c r="D56" s="3">
        <v>10</v>
      </c>
      <c r="E56" s="3" t="s">
        <v>44</v>
      </c>
    </row>
    <row r="57" spans="1:5" ht="18">
      <c r="A57" s="30">
        <f t="shared" si="1"/>
        <v>109</v>
      </c>
      <c r="B57" s="3" t="s">
        <v>37</v>
      </c>
      <c r="C57" s="3" t="s">
        <v>43</v>
      </c>
      <c r="D57" s="3">
        <v>10</v>
      </c>
      <c r="E57" s="3" t="s">
        <v>42</v>
      </c>
    </row>
    <row r="58" spans="1:5" ht="18">
      <c r="A58" s="30">
        <f t="shared" si="1"/>
        <v>110</v>
      </c>
      <c r="B58" s="3" t="s">
        <v>37</v>
      </c>
      <c r="C58" s="3" t="s">
        <v>38</v>
      </c>
      <c r="D58" s="3">
        <v>10</v>
      </c>
      <c r="E58" s="3"/>
    </row>
    <row r="59" spans="1:5" ht="18">
      <c r="A59" s="30">
        <f t="shared" si="1"/>
        <v>111</v>
      </c>
      <c r="B59" s="3" t="s">
        <v>37</v>
      </c>
      <c r="C59" s="3" t="s">
        <v>38</v>
      </c>
      <c r="D59" s="3">
        <v>10</v>
      </c>
      <c r="E59" s="3"/>
    </row>
    <row r="60" spans="1:5" ht="18">
      <c r="A60" s="30">
        <f t="shared" si="1"/>
        <v>112</v>
      </c>
      <c r="B60" s="3" t="s">
        <v>37</v>
      </c>
      <c r="C60" s="3" t="s">
        <v>38</v>
      </c>
      <c r="D60" s="3">
        <v>10</v>
      </c>
      <c r="E60" s="3"/>
    </row>
    <row r="61" spans="1:5" ht="18">
      <c r="A61" s="30">
        <f t="shared" si="1"/>
        <v>113</v>
      </c>
      <c r="B61" s="3" t="s">
        <v>37</v>
      </c>
      <c r="C61" s="3" t="s">
        <v>38</v>
      </c>
      <c r="D61" s="3">
        <v>10</v>
      </c>
      <c r="E61" s="3"/>
    </row>
    <row r="62" spans="1:5" ht="18">
      <c r="A62" s="30">
        <f t="shared" si="1"/>
        <v>114</v>
      </c>
      <c r="B62" s="3" t="s">
        <v>37</v>
      </c>
      <c r="C62" s="3" t="s">
        <v>38</v>
      </c>
      <c r="D62" s="3">
        <v>10</v>
      </c>
      <c r="E62" s="3"/>
    </row>
    <row r="63" spans="1:5" ht="18">
      <c r="A63" s="30">
        <f t="shared" si="1"/>
        <v>115</v>
      </c>
      <c r="B63" s="3" t="s">
        <v>37</v>
      </c>
      <c r="C63" s="32" t="s">
        <v>38</v>
      </c>
      <c r="D63" s="3">
        <v>10</v>
      </c>
      <c r="E63" s="3"/>
    </row>
    <row r="64" spans="1:5" ht="18">
      <c r="A64" s="30">
        <f t="shared" si="1"/>
        <v>116</v>
      </c>
      <c r="B64" s="3" t="s">
        <v>37</v>
      </c>
      <c r="C64" s="32" t="s">
        <v>38</v>
      </c>
      <c r="D64" s="3">
        <v>10</v>
      </c>
      <c r="E64" s="3"/>
    </row>
    <row r="65" spans="1:5" ht="18">
      <c r="A65" s="30">
        <f t="shared" si="1"/>
        <v>117</v>
      </c>
      <c r="B65" s="3" t="s">
        <v>37</v>
      </c>
      <c r="C65" s="32" t="s">
        <v>38</v>
      </c>
      <c r="D65" s="3">
        <v>9</v>
      </c>
      <c r="E65" s="3"/>
    </row>
    <row r="66" spans="1:5" ht="18">
      <c r="A66" s="30">
        <f t="shared" si="1"/>
        <v>118</v>
      </c>
      <c r="B66" s="3" t="s">
        <v>37</v>
      </c>
      <c r="C66" s="32" t="s">
        <v>38</v>
      </c>
      <c r="D66" s="3">
        <v>10</v>
      </c>
      <c r="E66" s="3"/>
    </row>
    <row r="67" spans="1:5" ht="18">
      <c r="A67" s="30">
        <f t="shared" si="1"/>
        <v>119</v>
      </c>
      <c r="B67" s="3" t="s">
        <v>37</v>
      </c>
      <c r="C67" s="32" t="s">
        <v>38</v>
      </c>
      <c r="D67" s="3">
        <v>10</v>
      </c>
      <c r="E67" s="3"/>
    </row>
    <row r="68" spans="1:5" ht="18">
      <c r="A68" s="5">
        <f t="shared" si="1"/>
        <v>120</v>
      </c>
      <c r="B68" s="3" t="s">
        <v>40</v>
      </c>
      <c r="C68" s="32" t="s">
        <v>36</v>
      </c>
      <c r="D68" s="3">
        <v>10</v>
      </c>
      <c r="E68" s="3" t="s">
        <v>41</v>
      </c>
    </row>
    <row r="69" spans="1:5" ht="18">
      <c r="A69" s="33">
        <f t="shared" si="1"/>
        <v>121</v>
      </c>
      <c r="B69" s="3" t="s">
        <v>40</v>
      </c>
      <c r="C69" s="32" t="s">
        <v>39</v>
      </c>
      <c r="D69" s="3">
        <v>10</v>
      </c>
      <c r="E69" s="3"/>
    </row>
    <row r="70" spans="1:5" ht="18">
      <c r="A70" s="30">
        <f t="shared" si="1"/>
        <v>122</v>
      </c>
      <c r="B70" s="3" t="s">
        <v>37</v>
      </c>
      <c r="C70" s="32" t="s">
        <v>38</v>
      </c>
      <c r="D70" s="3">
        <v>10</v>
      </c>
      <c r="E70" s="3"/>
    </row>
    <row r="71" spans="1:5" ht="18">
      <c r="A71" s="30">
        <f t="shared" si="1"/>
        <v>123</v>
      </c>
      <c r="B71" s="3" t="s">
        <v>37</v>
      </c>
      <c r="C71" s="32" t="s">
        <v>38</v>
      </c>
      <c r="D71" s="3">
        <v>10</v>
      </c>
      <c r="E71" s="3"/>
    </row>
    <row r="72" spans="1:5" ht="18">
      <c r="A72" s="30">
        <f t="shared" si="1"/>
        <v>124</v>
      </c>
      <c r="B72" s="3" t="s">
        <v>37</v>
      </c>
      <c r="C72" s="32" t="s">
        <v>38</v>
      </c>
      <c r="D72" s="3">
        <v>10</v>
      </c>
      <c r="E72" s="3"/>
    </row>
    <row r="73" spans="1:5" ht="18">
      <c r="A73" s="31">
        <f t="shared" si="1"/>
        <v>125</v>
      </c>
      <c r="B73" s="3" t="s">
        <v>37</v>
      </c>
      <c r="C73" s="32" t="s">
        <v>36</v>
      </c>
      <c r="D73" s="3">
        <v>10</v>
      </c>
      <c r="E73" s="3" t="s">
        <v>187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8B5B-F9EE-F84C-8391-8E968454A576}">
  <dimension ref="A1:H14"/>
  <sheetViews>
    <sheetView workbookViewId="0">
      <selection activeCell="C6" sqref="C6"/>
    </sheetView>
  </sheetViews>
  <sheetFormatPr baseColWidth="10" defaultRowHeight="16"/>
  <cols>
    <col min="1" max="2" width="8.875" style="1" bestFit="1" customWidth="1"/>
    <col min="3" max="16384" width="10.625" style="1"/>
  </cols>
  <sheetData>
    <row r="1" spans="1:8">
      <c r="A1" s="1" t="s">
        <v>160</v>
      </c>
      <c r="B1" s="1" t="s">
        <v>159</v>
      </c>
    </row>
    <row r="3" spans="1:8" ht="18">
      <c r="A3" s="6">
        <v>287.565</v>
      </c>
      <c r="B3" s="7">
        <v>317.685</v>
      </c>
    </row>
    <row r="4" spans="1:8" ht="18">
      <c r="A4" s="6" t="s">
        <v>161</v>
      </c>
      <c r="B4" s="7">
        <v>263.589</v>
      </c>
    </row>
    <row r="5" spans="1:8" ht="18">
      <c r="A5" s="6">
        <v>0.82717399999999996</v>
      </c>
      <c r="B5" s="7">
        <v>0.837754</v>
      </c>
    </row>
    <row r="7" spans="1:8">
      <c r="A7" s="11">
        <f>SQRT(2*PI())*A3*A5</f>
        <v>596.24237137926013</v>
      </c>
      <c r="B7" s="11">
        <f>SQRT(2*PI())*B3*B5</f>
        <v>667.11876019307033</v>
      </c>
      <c r="C7" s="4">
        <f>B7/A7</f>
        <v>1.1188717746607895</v>
      </c>
    </row>
    <row r="14" spans="1:8">
      <c r="H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E4E-1904-9441-B800-76A5932E8BAB}">
  <dimension ref="A1:AC68"/>
  <sheetViews>
    <sheetView zoomScaleNormal="100" workbookViewId="0">
      <selection activeCell="H32" sqref="H32"/>
    </sheetView>
  </sheetViews>
  <sheetFormatPr baseColWidth="10" defaultRowHeight="18"/>
  <cols>
    <col min="1" max="1" width="13.125" style="2" customWidth="1"/>
    <col min="2" max="2" width="19.25" style="2" customWidth="1"/>
    <col min="3" max="3" width="10.625" style="2"/>
    <col min="4" max="4" width="21.125" style="2" customWidth="1"/>
    <col min="5" max="5" width="16.125" style="2" customWidth="1"/>
    <col min="6" max="6" width="17.75" style="2" customWidth="1"/>
    <col min="7" max="7" width="13.25" style="2" customWidth="1"/>
    <col min="8" max="8" width="19.75" style="2" customWidth="1"/>
    <col min="9" max="9" width="22.5" style="2" customWidth="1"/>
    <col min="10" max="10" width="18.5" style="2" customWidth="1"/>
    <col min="11" max="11" width="18.625" style="2" customWidth="1"/>
    <col min="12" max="12" width="26.875" style="2" customWidth="1"/>
    <col min="13" max="13" width="22.125" style="2" customWidth="1"/>
    <col min="14" max="14" width="25.125" style="2" customWidth="1"/>
    <col min="15" max="15" width="13.5" style="2" customWidth="1"/>
    <col min="16" max="16" width="18.625" style="2" customWidth="1"/>
    <col min="17" max="17" width="17.625" style="2" customWidth="1"/>
    <col min="18" max="18" width="26.75" style="2" customWidth="1"/>
    <col min="19" max="19" width="11.875" style="2" bestFit="1" customWidth="1"/>
    <col min="20" max="20" width="8.25" style="2" bestFit="1" customWidth="1"/>
    <col min="21" max="21" width="9.625" style="2" bestFit="1" customWidth="1"/>
    <col min="22" max="23" width="10.625" style="2"/>
    <col min="24" max="24" width="9.75" style="2" bestFit="1" customWidth="1"/>
    <col min="25" max="25" width="8.25" style="2" bestFit="1" customWidth="1"/>
    <col min="26" max="26" width="10.625" style="2"/>
    <col min="27" max="27" width="8.75" style="2" bestFit="1" customWidth="1"/>
    <col min="28" max="16384" width="10.625" style="2"/>
  </cols>
  <sheetData>
    <row r="1" spans="1:29" ht="26">
      <c r="A1" s="40" t="s">
        <v>21</v>
      </c>
    </row>
    <row r="2" spans="1:29" ht="21">
      <c r="A2" s="42" t="s">
        <v>20</v>
      </c>
      <c r="B2" s="42"/>
      <c r="C2" s="47" t="s">
        <v>19</v>
      </c>
      <c r="D2" s="47"/>
      <c r="E2" s="47"/>
      <c r="F2" s="51" t="s">
        <v>18</v>
      </c>
      <c r="G2" s="52"/>
      <c r="H2" s="52"/>
      <c r="I2" s="55"/>
      <c r="P2" s="55"/>
      <c r="Q2" s="55"/>
      <c r="R2" s="55"/>
    </row>
    <row r="3" spans="1:29">
      <c r="A3" s="43"/>
      <c r="B3" s="43"/>
      <c r="C3" s="48"/>
      <c r="D3" s="48"/>
      <c r="E3" s="48"/>
      <c r="F3" s="52"/>
      <c r="G3" s="52"/>
      <c r="H3" s="52"/>
    </row>
    <row r="4" spans="1:29">
      <c r="A4" s="43"/>
      <c r="B4" s="43"/>
      <c r="C4" s="48"/>
      <c r="D4" s="48"/>
      <c r="E4" s="48"/>
      <c r="F4" s="52"/>
      <c r="G4" s="52"/>
      <c r="H4" s="52"/>
    </row>
    <row r="5" spans="1:29">
      <c r="A5" s="44" t="s">
        <v>17</v>
      </c>
      <c r="B5" s="44" t="s">
        <v>16</v>
      </c>
      <c r="C5" s="49" t="s">
        <v>17</v>
      </c>
      <c r="D5" s="49" t="s">
        <v>16</v>
      </c>
      <c r="E5" s="49" t="s">
        <v>3</v>
      </c>
      <c r="F5" s="53" t="s">
        <v>17</v>
      </c>
      <c r="G5" s="53" t="s">
        <v>16</v>
      </c>
      <c r="H5" s="53" t="s">
        <v>2</v>
      </c>
      <c r="Q5" s="41"/>
      <c r="R5" s="41"/>
      <c r="AB5" s="41"/>
      <c r="AC5" s="41"/>
    </row>
    <row r="6" spans="1:29">
      <c r="A6" s="45"/>
      <c r="B6" s="43"/>
      <c r="C6" s="48"/>
      <c r="D6" s="48"/>
      <c r="E6" s="48"/>
      <c r="F6" s="52"/>
      <c r="G6" s="52"/>
      <c r="H6" s="52"/>
    </row>
    <row r="7" spans="1:29">
      <c r="A7" s="46">
        <v>1058.01</v>
      </c>
      <c r="B7" s="43">
        <f>(SQRT(2*PI())*A7*A9)</f>
        <v>2669.2495060400115</v>
      </c>
      <c r="C7" s="50">
        <v>738.24199999999996</v>
      </c>
      <c r="D7" s="48">
        <f>(SQRT(2*PI())*C7*C9)</f>
        <v>1782.2907549596653</v>
      </c>
      <c r="E7" s="48">
        <f>(D7/B7)*100</f>
        <v>66.771231049277162</v>
      </c>
      <c r="F7" s="54">
        <v>561.51599999999996</v>
      </c>
      <c r="G7" s="52">
        <f>(SQRT(2*PI())*F7*F9)</f>
        <v>1374.1158478273721</v>
      </c>
      <c r="H7" s="52">
        <f>(G7/B7)*100</f>
        <v>51.479483080094433</v>
      </c>
    </row>
    <row r="8" spans="1:29">
      <c r="A8" s="46">
        <v>216.70099999999999</v>
      </c>
      <c r="B8" s="43"/>
      <c r="C8" s="50">
        <v>216.60900000000001</v>
      </c>
      <c r="D8" s="48"/>
      <c r="E8" s="48"/>
      <c r="F8" s="54">
        <v>216.63300000000001</v>
      </c>
      <c r="G8" s="52"/>
      <c r="H8" s="52"/>
    </row>
    <row r="9" spans="1:29">
      <c r="A9" s="46">
        <v>1.0064900000000001</v>
      </c>
      <c r="B9" s="43"/>
      <c r="C9" s="50">
        <v>0.96314100000000002</v>
      </c>
      <c r="D9" s="48"/>
      <c r="E9" s="48"/>
      <c r="F9" s="54">
        <v>0.97627299999999995</v>
      </c>
      <c r="G9" s="52"/>
      <c r="H9" s="52"/>
    </row>
    <row r="10" spans="1:29">
      <c r="A10" s="43"/>
      <c r="B10" s="43"/>
      <c r="C10" s="48"/>
      <c r="D10" s="48"/>
      <c r="E10" s="48"/>
      <c r="F10" s="52"/>
      <c r="G10" s="52"/>
      <c r="H10" s="52"/>
    </row>
    <row r="11" spans="1:29">
      <c r="A11" s="46">
        <v>245.422</v>
      </c>
      <c r="B11" s="43">
        <f>(SQRT(2*PI())*A11*A13)</f>
        <v>715.24718371007555</v>
      </c>
      <c r="C11" s="50">
        <v>175.57300000000001</v>
      </c>
      <c r="D11" s="48">
        <f>(SQRT(2*PI())*C11*C13)</f>
        <v>535.77757091808212</v>
      </c>
      <c r="E11" s="48">
        <f>(D11/B11)*100</f>
        <v>74.908029436612054</v>
      </c>
      <c r="F11" s="54">
        <v>151.24</v>
      </c>
      <c r="G11" s="52">
        <f>(SQRT(2*PI())*F11*F13)</f>
        <v>397.41310908551833</v>
      </c>
      <c r="H11" s="52">
        <f>(G11/B11)*100</f>
        <v>55.563044236551541</v>
      </c>
    </row>
    <row r="12" spans="1:29">
      <c r="A12" s="46">
        <v>530.25</v>
      </c>
      <c r="B12" s="43"/>
      <c r="C12" s="50">
        <v>530.38</v>
      </c>
      <c r="D12" s="48"/>
      <c r="E12" s="48"/>
      <c r="F12" s="54">
        <v>530.279</v>
      </c>
      <c r="G12" s="52"/>
      <c r="H12" s="52"/>
    </row>
    <row r="13" spans="1:29">
      <c r="A13" s="46">
        <v>1.16266</v>
      </c>
      <c r="B13" s="43"/>
      <c r="C13" s="50">
        <v>1.2174100000000001</v>
      </c>
      <c r="D13" s="48"/>
      <c r="E13" s="48"/>
      <c r="F13" s="54">
        <v>1.0483</v>
      </c>
      <c r="G13" s="52"/>
      <c r="H13" s="52"/>
    </row>
    <row r="14" spans="1:29">
      <c r="A14" s="43"/>
      <c r="B14" s="43"/>
      <c r="C14" s="48"/>
      <c r="D14" s="48"/>
      <c r="E14" s="48"/>
      <c r="F14" s="52"/>
      <c r="G14" s="52"/>
      <c r="H14" s="52"/>
    </row>
    <row r="15" spans="1:29">
      <c r="A15" s="46">
        <v>987.40499999999997</v>
      </c>
      <c r="B15" s="43">
        <f>(SQRT(2*PI())*A15*A17)</f>
        <v>2595.0233184316107</v>
      </c>
      <c r="C15" s="50">
        <v>684.86599999999999</v>
      </c>
      <c r="D15" s="48">
        <f>(SQRT(2*PI())*C15*C17)</f>
        <v>1849.9207475762689</v>
      </c>
      <c r="E15" s="48">
        <f t="shared" ref="E15" si="0">(D15/B15)*100</f>
        <v>71.287249499335161</v>
      </c>
      <c r="F15" s="54">
        <v>525.327</v>
      </c>
      <c r="G15" s="52">
        <f>(SQRT(2*PI())*F15*F17)</f>
        <v>1441.0000415637455</v>
      </c>
      <c r="H15" s="52">
        <f>(G15/B15)*100</f>
        <v>55.529367745129242</v>
      </c>
    </row>
    <row r="16" spans="1:29">
      <c r="A16" s="46">
        <v>711.36199999999997</v>
      </c>
      <c r="B16" s="43"/>
      <c r="C16" s="50">
        <v>711.38099999999997</v>
      </c>
      <c r="D16" s="48"/>
      <c r="E16" s="48"/>
      <c r="F16" s="54">
        <v>711.38599999999997</v>
      </c>
      <c r="G16" s="52"/>
      <c r="H16" s="52"/>
    </row>
    <row r="17" spans="1:9">
      <c r="A17" s="46">
        <v>1.04847</v>
      </c>
      <c r="B17" s="43"/>
      <c r="C17" s="50">
        <v>1.0775999999999999</v>
      </c>
      <c r="D17" s="48"/>
      <c r="E17" s="48"/>
      <c r="F17" s="54">
        <v>1.09432</v>
      </c>
      <c r="G17" s="52"/>
      <c r="H17" s="52"/>
    </row>
    <row r="18" spans="1:9">
      <c r="A18" s="43"/>
      <c r="B18" s="43"/>
      <c r="C18" s="48"/>
      <c r="D18" s="48"/>
      <c r="E18" s="48"/>
      <c r="F18" s="52"/>
      <c r="G18" s="52"/>
      <c r="H18" s="52"/>
    </row>
    <row r="19" spans="1:9">
      <c r="A19" s="46">
        <v>406.65600000000001</v>
      </c>
      <c r="B19" s="43">
        <f>(SQRT(2*PI())*A19*A21)</f>
        <v>1191.5725348580847</v>
      </c>
      <c r="C19" s="50">
        <v>322.78899999999999</v>
      </c>
      <c r="D19" s="48">
        <f>(SQRT(2*PI())*C19*C21)</f>
        <v>907.54860421332216</v>
      </c>
      <c r="E19" s="48">
        <f>(D19/B19)*100</f>
        <v>76.163941150373233</v>
      </c>
      <c r="F19" s="52"/>
      <c r="G19" s="52"/>
      <c r="H19" s="52"/>
    </row>
    <row r="20" spans="1:9">
      <c r="A20" s="46">
        <v>867.30600000000004</v>
      </c>
      <c r="B20" s="43"/>
      <c r="C20" s="50">
        <v>867.21400000000006</v>
      </c>
      <c r="D20" s="48"/>
      <c r="E20" s="48"/>
      <c r="F20" s="52"/>
      <c r="G20" s="52"/>
      <c r="H20" s="52"/>
    </row>
    <row r="21" spans="1:9">
      <c r="A21" s="46">
        <v>1.1689700000000001</v>
      </c>
      <c r="B21" s="43"/>
      <c r="C21" s="50">
        <v>1.1216600000000001</v>
      </c>
      <c r="D21" s="48"/>
      <c r="E21" s="48"/>
      <c r="F21" s="52"/>
      <c r="G21" s="52"/>
      <c r="H21" s="52"/>
    </row>
    <row r="22" spans="1:9">
      <c r="A22" s="43"/>
      <c r="B22" s="43"/>
      <c r="C22" s="48"/>
      <c r="D22" s="48"/>
      <c r="E22" s="48"/>
      <c r="F22" s="52"/>
      <c r="G22" s="52"/>
      <c r="H22" s="52"/>
    </row>
    <row r="23" spans="1:9">
      <c r="A23" s="46">
        <v>2907.56</v>
      </c>
      <c r="B23" s="43">
        <f>(SQRT(2*PI())*A23*A25)</f>
        <v>9818.9898700592385</v>
      </c>
      <c r="C23" s="50">
        <v>2356.73</v>
      </c>
      <c r="D23" s="48">
        <f>(SQRT(2*PI())*C23*C25)</f>
        <v>7510.3724658742385</v>
      </c>
      <c r="E23" s="48">
        <f>(D23/B23)*100</f>
        <v>76.488239271693317</v>
      </c>
      <c r="F23" s="52"/>
      <c r="G23" s="52"/>
      <c r="H23" s="52"/>
    </row>
    <row r="24" spans="1:9">
      <c r="A24" s="46">
        <v>1348.5</v>
      </c>
      <c r="B24" s="43"/>
      <c r="C24" s="50">
        <v>1348.47</v>
      </c>
      <c r="D24" s="48"/>
      <c r="E24" s="48"/>
      <c r="F24" s="52"/>
      <c r="G24" s="52"/>
      <c r="H24" s="52"/>
    </row>
    <row r="25" spans="1:9">
      <c r="A25" s="46">
        <v>1.3472500000000001</v>
      </c>
      <c r="B25" s="43"/>
      <c r="C25" s="50">
        <v>1.2713399999999999</v>
      </c>
      <c r="D25" s="48"/>
      <c r="E25" s="48"/>
      <c r="F25" s="52"/>
      <c r="G25" s="52"/>
      <c r="H25" s="52"/>
    </row>
    <row r="26" spans="1:9">
      <c r="A26" s="43"/>
      <c r="B26" s="43"/>
      <c r="C26" s="48"/>
      <c r="D26" s="48"/>
      <c r="E26" s="48"/>
      <c r="F26" s="52"/>
      <c r="G26" s="52"/>
      <c r="H26" s="52"/>
    </row>
    <row r="27" spans="1:9">
      <c r="A27" s="44" t="s">
        <v>186</v>
      </c>
      <c r="B27" s="43"/>
      <c r="C27" s="48"/>
      <c r="D27" s="48"/>
      <c r="E27" s="56">
        <f>(E7+E11+E15+E19+E23)/5</f>
        <v>73.123738081458185</v>
      </c>
      <c r="F27" s="52"/>
      <c r="G27" s="52"/>
      <c r="H27" s="57">
        <f>(H7+H11+H15)/3</f>
        <v>54.19063168725841</v>
      </c>
      <c r="I27" s="60"/>
    </row>
    <row r="29" spans="1:9">
      <c r="G29" s="41"/>
      <c r="I29" s="61"/>
    </row>
    <row r="33" spans="3:21">
      <c r="C33" s="41"/>
    </row>
    <row r="37" spans="3:21">
      <c r="C37" s="41"/>
    </row>
    <row r="38" spans="3:21">
      <c r="C38" s="41"/>
      <c r="D38" s="8"/>
    </row>
    <row r="39" spans="3:21">
      <c r="C39" s="41"/>
      <c r="D39" s="8"/>
    </row>
    <row r="40" spans="3:21">
      <c r="C40" s="41"/>
      <c r="D40" s="8"/>
    </row>
    <row r="41" spans="3:21">
      <c r="C41" s="41"/>
    </row>
    <row r="46" spans="3:21">
      <c r="U46" s="8"/>
    </row>
    <row r="47" spans="3:21">
      <c r="U47" s="8"/>
    </row>
    <row r="48" spans="3:21">
      <c r="U48" s="8"/>
    </row>
    <row r="61" spans="3:8">
      <c r="C61" s="41"/>
    </row>
    <row r="62" spans="3:8">
      <c r="C62" s="41"/>
      <c r="D62" s="8"/>
      <c r="H62" s="8"/>
    </row>
    <row r="63" spans="3:8">
      <c r="C63" s="41"/>
      <c r="D63" s="8"/>
      <c r="H63" s="8"/>
    </row>
    <row r="64" spans="3:8">
      <c r="C64" s="41"/>
      <c r="D64" s="8"/>
      <c r="H64" s="8"/>
    </row>
    <row r="65" spans="3:8">
      <c r="C65" s="41"/>
    </row>
    <row r="66" spans="3:8">
      <c r="C66" s="41"/>
      <c r="D66" s="8"/>
      <c r="H66" s="8"/>
    </row>
    <row r="67" spans="3:8">
      <c r="C67" s="41"/>
      <c r="D67" s="8"/>
      <c r="H67" s="8"/>
    </row>
    <row r="68" spans="3:8">
      <c r="C68" s="41"/>
      <c r="D68" s="8"/>
      <c r="H6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B528-4B54-A84D-90FA-EEA12B7FC8B5}">
  <dimension ref="A1:G11"/>
  <sheetViews>
    <sheetView workbookViewId="0">
      <selection activeCell="D15" sqref="D15"/>
    </sheetView>
  </sheetViews>
  <sheetFormatPr baseColWidth="10" defaultRowHeight="18"/>
  <sheetData>
    <row r="1" spans="1:7">
      <c r="A1">
        <v>12484</v>
      </c>
      <c r="C1">
        <v>4220.95</v>
      </c>
      <c r="F1">
        <v>6818</v>
      </c>
    </row>
    <row r="2" spans="1:7">
      <c r="C2">
        <f>$A$1-C1</f>
        <v>8263.0499999999993</v>
      </c>
      <c r="F2">
        <f>$A$1-F1</f>
        <v>5666</v>
      </c>
    </row>
    <row r="4" spans="1:7">
      <c r="C4" s="22">
        <v>41.44</v>
      </c>
      <c r="D4" s="23">
        <v>33.179000000000002</v>
      </c>
      <c r="F4" s="23">
        <v>14.7844</v>
      </c>
      <c r="G4" s="23">
        <v>11.5686</v>
      </c>
    </row>
    <row r="5" spans="1:7">
      <c r="C5" s="22">
        <v>2872.27</v>
      </c>
      <c r="D5" s="23">
        <v>2872.21</v>
      </c>
      <c r="F5" s="23">
        <v>3559.01</v>
      </c>
      <c r="G5" s="23">
        <v>3559.25</v>
      </c>
    </row>
    <row r="6" spans="1:7">
      <c r="C6" s="22">
        <v>2.3550499999999999</v>
      </c>
      <c r="D6" s="23">
        <v>2.2671399999999999</v>
      </c>
      <c r="F6" s="23">
        <v>2.1241500000000002</v>
      </c>
      <c r="G6" s="23">
        <v>2.1790099999999999</v>
      </c>
    </row>
    <row r="8" spans="1:7">
      <c r="C8">
        <f>SQRT(2*PI())*C4*C6</f>
        <v>244.63005500895389</v>
      </c>
      <c r="D8">
        <f>SQRT(2*PI())*D4*D6</f>
        <v>188.55218349960046</v>
      </c>
      <c r="F8">
        <f>SQRT(2*PI())*F4*F6</f>
        <v>78.718864364037017</v>
      </c>
      <c r="G8">
        <f>SQRT(2*PI())*G4*G6</f>
        <v>63.187323892154375</v>
      </c>
    </row>
    <row r="11" spans="1:7">
      <c r="B11">
        <f>(D8/C8)*100</f>
        <v>77.076458774740132</v>
      </c>
      <c r="E11">
        <f>(G8/F8)*100</f>
        <v>80.26960805728001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309-A58B-6542-A774-57FD4F318D67}">
  <dimension ref="A1:D22"/>
  <sheetViews>
    <sheetView zoomScale="110" zoomScaleNormal="110" workbookViewId="0">
      <selection activeCell="D28" sqref="D28"/>
    </sheetView>
  </sheetViews>
  <sheetFormatPr baseColWidth="10" defaultRowHeight="18"/>
  <cols>
    <col min="1" max="1" width="13.875" bestFit="1" customWidth="1"/>
    <col min="2" max="2" width="12.875" bestFit="1" customWidth="1"/>
    <col min="3" max="3" width="17.75" customWidth="1"/>
    <col min="4" max="4" width="84" customWidth="1"/>
    <col min="5" max="5" width="11" bestFit="1" customWidth="1"/>
  </cols>
  <sheetData>
    <row r="1" spans="1:4">
      <c r="A1" s="59" t="s">
        <v>170</v>
      </c>
      <c r="B1" s="59" t="s">
        <v>171</v>
      </c>
      <c r="C1" s="58"/>
      <c r="D1" s="26" t="s">
        <v>90</v>
      </c>
    </row>
    <row r="2" spans="1:4">
      <c r="A2" s="36">
        <v>3791110</v>
      </c>
      <c r="B2" s="36">
        <v>635655</v>
      </c>
      <c r="C2" s="58"/>
    </row>
    <row r="3" spans="1:4">
      <c r="A3" s="58"/>
      <c r="B3" s="58"/>
      <c r="C3" s="58"/>
    </row>
    <row r="4" spans="1:4">
      <c r="A4" s="59" t="s">
        <v>172</v>
      </c>
      <c r="B4" s="59" t="s">
        <v>173</v>
      </c>
      <c r="C4" s="59" t="s">
        <v>175</v>
      </c>
      <c r="D4" t="s">
        <v>177</v>
      </c>
    </row>
    <row r="5" spans="1:4">
      <c r="A5" s="58">
        <v>0.73124</v>
      </c>
      <c r="B5" s="58">
        <v>0.54191</v>
      </c>
      <c r="C5" s="58">
        <f>(A5/B5)*(B2/A2)*100</f>
        <v>22.624961894848962</v>
      </c>
    </row>
    <row r="6" spans="1:4">
      <c r="A6" s="59" t="s">
        <v>174</v>
      </c>
      <c r="B6" s="59" t="s">
        <v>173</v>
      </c>
      <c r="C6" s="59" t="s">
        <v>176</v>
      </c>
      <c r="D6" t="s">
        <v>178</v>
      </c>
    </row>
    <row r="7" spans="1:4">
      <c r="A7" s="58">
        <v>0.22700000000000001</v>
      </c>
      <c r="B7" s="58">
        <v>0.54191</v>
      </c>
      <c r="C7" s="58">
        <f>(A7*B7*A2)/B2</f>
        <v>0.73366523564307684</v>
      </c>
    </row>
    <row r="8" spans="1:4">
      <c r="A8" s="26"/>
      <c r="B8" s="26"/>
      <c r="C8" s="26"/>
    </row>
    <row r="16" spans="1:4">
      <c r="A16" s="35"/>
    </row>
    <row r="17" spans="1:3">
      <c r="A17" s="22"/>
    </row>
    <row r="18" spans="1:3">
      <c r="A18" s="26"/>
      <c r="B18" s="26"/>
    </row>
    <row r="19" spans="1:3">
      <c r="A19" s="24"/>
    </row>
    <row r="20" spans="1:3">
      <c r="B20" s="39"/>
    </row>
    <row r="21" spans="1:3">
      <c r="A21" s="26"/>
      <c r="B21" s="26"/>
      <c r="C21" s="26"/>
    </row>
    <row r="22" spans="1:3">
      <c r="A22" s="25"/>
      <c r="C22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BB42-80C6-C840-889E-F6337E683372}">
  <dimension ref="A1:G29"/>
  <sheetViews>
    <sheetView workbookViewId="0">
      <selection activeCell="E30" sqref="E30"/>
    </sheetView>
  </sheetViews>
  <sheetFormatPr baseColWidth="10" defaultRowHeight="16"/>
  <cols>
    <col min="1" max="1" width="14.625" style="1" customWidth="1"/>
    <col min="2" max="2" width="13.5" style="1" customWidth="1"/>
    <col min="3" max="3" width="13.75" style="1" customWidth="1"/>
    <col min="4" max="4" width="19.25" style="1" customWidth="1"/>
    <col min="5" max="5" width="38.125" style="1" customWidth="1"/>
    <col min="6" max="6" width="45.25" style="1" customWidth="1"/>
    <col min="7" max="16384" width="10.625" style="1"/>
  </cols>
  <sheetData>
    <row r="1" spans="1:6" ht="23">
      <c r="A1" s="21" t="s">
        <v>169</v>
      </c>
      <c r="B1" s="5" t="s">
        <v>168</v>
      </c>
      <c r="C1" s="5" t="s">
        <v>167</v>
      </c>
      <c r="D1" s="5" t="s">
        <v>1</v>
      </c>
      <c r="E1" s="5" t="s">
        <v>166</v>
      </c>
      <c r="F1" s="5" t="s">
        <v>90</v>
      </c>
    </row>
    <row r="2" spans="1:6" ht="18">
      <c r="B2" s="23">
        <v>704.24099999999999</v>
      </c>
      <c r="C2" s="23">
        <v>419.63099999999997</v>
      </c>
      <c r="D2" s="3">
        <f>B5/C5</f>
        <v>1.6177835675840071</v>
      </c>
      <c r="E2" s="3">
        <f>(D2+D7)/2</f>
        <v>1.6109990424331131</v>
      </c>
    </row>
    <row r="3" spans="1:6" ht="18">
      <c r="B3" s="23">
        <v>247.69300000000001</v>
      </c>
      <c r="C3" s="23">
        <v>247.75299999999999</v>
      </c>
    </row>
    <row r="4" spans="1:6" ht="18">
      <c r="B4" s="23">
        <v>1.01153</v>
      </c>
      <c r="C4" s="23">
        <v>1.0493300000000001</v>
      </c>
    </row>
    <row r="5" spans="1:6" ht="18">
      <c r="B5" s="3">
        <f>SQRT(2*PI())*B2*B4</f>
        <v>1785.6239704981688</v>
      </c>
      <c r="C5" s="3">
        <f>SQRT(2*PI())*C2*C4</f>
        <v>1103.7471305044926</v>
      </c>
    </row>
    <row r="7" spans="1:6" ht="18">
      <c r="A7" s="7"/>
      <c r="B7" s="23">
        <v>122.63</v>
      </c>
      <c r="C7" s="23">
        <v>71.771299999999997</v>
      </c>
      <c r="D7" s="3">
        <f>B10/C10</f>
        <v>1.6042145172822191</v>
      </c>
      <c r="F7" s="3" t="s">
        <v>188</v>
      </c>
    </row>
    <row r="8" spans="1:6" ht="18">
      <c r="A8" s="7"/>
      <c r="B8" s="23">
        <v>1045.81</v>
      </c>
      <c r="C8" s="23">
        <v>1046.1500000000001</v>
      </c>
      <c r="F8" s="3" t="s">
        <v>165</v>
      </c>
    </row>
    <row r="9" spans="1:6" ht="18">
      <c r="B9" s="23">
        <v>1.45153</v>
      </c>
      <c r="C9" s="23">
        <v>1.546</v>
      </c>
    </row>
    <row r="10" spans="1:6" ht="18">
      <c r="B10" s="3">
        <f>SQRT(2*PI())*B7*B9</f>
        <v>446.18265008383588</v>
      </c>
      <c r="C10" s="3">
        <f>SQRT(2*PI())*C7*C9</f>
        <v>278.13153744533895</v>
      </c>
    </row>
    <row r="12" spans="1:6" ht="18">
      <c r="A12" s="5"/>
    </row>
    <row r="13" spans="1:6" ht="18">
      <c r="A13" s="20"/>
      <c r="B13" s="22"/>
      <c r="C13" s="6"/>
      <c r="D13" s="3"/>
      <c r="F13" s="3"/>
    </row>
    <row r="14" spans="1:6" ht="18">
      <c r="A14" s="5"/>
      <c r="B14" s="22"/>
      <c r="C14" s="6"/>
      <c r="D14" s="7"/>
      <c r="F14" s="3"/>
    </row>
    <row r="15" spans="1:6" ht="23">
      <c r="A15" s="21" t="s">
        <v>220</v>
      </c>
      <c r="B15" s="22" t="s">
        <v>221</v>
      </c>
      <c r="C15" s="6" t="s">
        <v>222</v>
      </c>
      <c r="D15" s="3" t="s">
        <v>224</v>
      </c>
      <c r="E15" s="7" t="s">
        <v>223</v>
      </c>
      <c r="F15" s="3" t="s">
        <v>172</v>
      </c>
    </row>
    <row r="16" spans="1:6" ht="18">
      <c r="B16" s="22">
        <v>355.43299999999999</v>
      </c>
      <c r="C16" s="23">
        <v>689.76700000000005</v>
      </c>
      <c r="D16" s="23">
        <v>415.93900000000002</v>
      </c>
      <c r="E16" s="7"/>
    </row>
    <row r="17" spans="2:7" ht="18">
      <c r="B17" s="22">
        <v>247.73400000000001</v>
      </c>
      <c r="C17" s="23">
        <v>247.69900000000001</v>
      </c>
      <c r="D17" s="23">
        <v>247.76</v>
      </c>
    </row>
    <row r="18" spans="2:7" ht="18">
      <c r="B18" s="22">
        <v>0.98478299999999996</v>
      </c>
      <c r="C18" s="23">
        <v>1.0136000000000001</v>
      </c>
      <c r="D18" s="23">
        <v>1.05288</v>
      </c>
      <c r="E18" s="3"/>
      <c r="F18" s="3"/>
    </row>
    <row r="19" spans="2:7" ht="18">
      <c r="B19" s="3">
        <f>SQRT(2*PI())*B16*B18</f>
        <v>877.38099778943092</v>
      </c>
      <c r="C19" s="3">
        <f>SQRT(2*PI())*C16*C18</f>
        <v>1752.5037218328619</v>
      </c>
      <c r="D19" s="3">
        <f>SQRT(2*PI())*D16*D18</f>
        <v>1097.7373816566455</v>
      </c>
      <c r="E19" s="8">
        <f>B19/C19*100</f>
        <v>50.06442992724827</v>
      </c>
      <c r="F19" s="3">
        <f>B19/D19*100</f>
        <v>79.926311379260426</v>
      </c>
      <c r="G19" s="1">
        <f>F19/E19</f>
        <v>1.5964690199290457</v>
      </c>
    </row>
    <row r="20" spans="2:7" ht="18">
      <c r="B20" s="6"/>
      <c r="C20" s="6"/>
      <c r="E20" s="8"/>
      <c r="F20" s="3"/>
    </row>
    <row r="21" spans="2:7" ht="18">
      <c r="B21" s="22">
        <v>56.561599999999999</v>
      </c>
      <c r="C21" s="23">
        <v>120.589</v>
      </c>
      <c r="D21" s="23">
        <v>67.653099999999995</v>
      </c>
      <c r="E21" s="8"/>
      <c r="F21" s="3"/>
    </row>
    <row r="22" spans="2:7" ht="18">
      <c r="B22" s="22">
        <v>1045.9000000000001</v>
      </c>
      <c r="C22" s="23">
        <v>1045.81</v>
      </c>
      <c r="D22" s="23">
        <v>1046.0899999999999</v>
      </c>
      <c r="E22" s="4"/>
      <c r="F22" s="3"/>
    </row>
    <row r="23" spans="2:7" ht="18">
      <c r="B23" s="22">
        <v>1.3903799999999999</v>
      </c>
      <c r="C23" s="23">
        <v>1.39832</v>
      </c>
      <c r="D23" s="23">
        <v>1.64594</v>
      </c>
      <c r="E23" s="4"/>
      <c r="F23" s="3"/>
    </row>
    <row r="24" spans="2:7" ht="18">
      <c r="B24" s="3">
        <f>SQRT(2*PI())*B21*B23</f>
        <v>197.12655507174355</v>
      </c>
      <c r="C24" s="3">
        <f>SQRT(2*PI())*C21*C23</f>
        <v>422.67269919429282</v>
      </c>
      <c r="D24" s="3">
        <f>SQRT(2*PI())*D21*D23</f>
        <v>279.12043642491818</v>
      </c>
      <c r="E24" s="8">
        <f>B24/C24*100</f>
        <v>46.638109214886633</v>
      </c>
      <c r="F24" s="3">
        <f>B24/D24*100</f>
        <v>70.624192766612225</v>
      </c>
      <c r="G24" s="1">
        <f>F24/E24</f>
        <v>1.5143022295609996</v>
      </c>
    </row>
    <row r="25" spans="2:7">
      <c r="E25" s="4"/>
    </row>
    <row r="26" spans="2:7" ht="18">
      <c r="B26" s="22">
        <v>33.713799999999999</v>
      </c>
      <c r="C26" s="23">
        <v>324.50599999999997</v>
      </c>
      <c r="E26" s="4"/>
    </row>
    <row r="27" spans="2:7" ht="18">
      <c r="B27" s="22">
        <v>306.70299999999997</v>
      </c>
      <c r="C27" s="23">
        <v>306.49900000000002</v>
      </c>
      <c r="E27" s="4"/>
    </row>
    <row r="28" spans="2:7" ht="18">
      <c r="B28" s="22">
        <v>0.65034099999999995</v>
      </c>
      <c r="C28" s="23">
        <v>0.93503700000000001</v>
      </c>
      <c r="E28" s="4"/>
    </row>
    <row r="29" spans="2:7" ht="18">
      <c r="B29" s="3">
        <f>SQRT(2*PI())*B26*B28</f>
        <v>54.958994027250412</v>
      </c>
      <c r="C29" s="3">
        <f>SQRT(2*PI())*C26*C28</f>
        <v>760.57397680857673</v>
      </c>
      <c r="E29" s="8">
        <f>B29/C29*100</f>
        <v>7.2259892795520448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E313-E47F-404F-9F81-3A86BAAE3BBF}">
  <dimension ref="A1:G24"/>
  <sheetViews>
    <sheetView workbookViewId="0">
      <selection activeCell="E13" sqref="E13"/>
    </sheetView>
  </sheetViews>
  <sheetFormatPr baseColWidth="10" defaultRowHeight="16"/>
  <cols>
    <col min="1" max="1" width="23.375" style="1" customWidth="1"/>
    <col min="2" max="2" width="9.5" style="1" customWidth="1"/>
    <col min="3" max="3" width="10.125" style="1" customWidth="1"/>
    <col min="4" max="4" width="10.875" style="1" bestFit="1" customWidth="1"/>
    <col min="5" max="5" width="15.375" style="1" customWidth="1"/>
    <col min="6" max="6" width="42.75" style="1" customWidth="1"/>
    <col min="7" max="7" width="10.625" style="1"/>
    <col min="8" max="8" width="27.5" style="1" customWidth="1"/>
    <col min="9" max="9" width="13.375" style="1" customWidth="1"/>
    <col min="10" max="16384" width="10.625" style="1"/>
  </cols>
  <sheetData>
    <row r="1" spans="1:7" ht="21">
      <c r="A1" s="62" t="s">
        <v>189</v>
      </c>
    </row>
    <row r="2" spans="1:7" ht="18">
      <c r="B2" s="5" t="s">
        <v>181</v>
      </c>
      <c r="C2" s="5" t="s">
        <v>164</v>
      </c>
      <c r="D2" s="5" t="s">
        <v>163</v>
      </c>
      <c r="E2" s="5" t="s">
        <v>190</v>
      </c>
      <c r="F2" s="5" t="s">
        <v>90</v>
      </c>
    </row>
    <row r="3" spans="1:7" ht="18">
      <c r="A3" s="3"/>
      <c r="B3" s="3">
        <v>1.6</v>
      </c>
      <c r="C3" s="22">
        <v>258102</v>
      </c>
      <c r="D3" s="23">
        <v>1107360</v>
      </c>
      <c r="E3" s="2">
        <f>(C3/D3)*B3*100</f>
        <v>37.292587776332901</v>
      </c>
      <c r="F3" s="3"/>
    </row>
    <row r="4" spans="1:7" ht="18">
      <c r="A4" s="3"/>
      <c r="B4" s="3"/>
      <c r="C4" s="6"/>
      <c r="D4" s="6"/>
      <c r="E4" s="3"/>
    </row>
    <row r="5" spans="1:7" ht="18">
      <c r="A5" s="3"/>
      <c r="B5" s="3"/>
      <c r="C5" s="7"/>
      <c r="D5" s="7"/>
      <c r="E5" s="3"/>
    </row>
    <row r="6" spans="1:7" ht="18">
      <c r="A6" s="3"/>
      <c r="B6" s="3"/>
      <c r="C6" s="6"/>
      <c r="D6" s="6"/>
      <c r="E6" s="3"/>
      <c r="F6" s="3"/>
    </row>
    <row r="7" spans="1:7" ht="18">
      <c r="A7" s="3"/>
      <c r="B7" s="3"/>
      <c r="C7" s="6"/>
      <c r="D7" s="6"/>
      <c r="E7" s="3"/>
      <c r="F7" s="3"/>
      <c r="G7" s="4"/>
    </row>
    <row r="8" spans="1:7" ht="18">
      <c r="A8" s="3"/>
      <c r="B8" s="3"/>
      <c r="C8" s="6"/>
      <c r="D8" s="6"/>
      <c r="E8" s="3"/>
    </row>
    <row r="9" spans="1:7" ht="18">
      <c r="A9" s="3"/>
      <c r="B9" s="3"/>
      <c r="C9" s="6"/>
      <c r="D9" s="6"/>
      <c r="E9" s="3"/>
      <c r="F9" s="3"/>
      <c r="G9" s="3"/>
    </row>
    <row r="10" spans="1:7" ht="18">
      <c r="A10" s="3"/>
      <c r="B10" s="3"/>
      <c r="E10" s="3"/>
    </row>
    <row r="11" spans="1:7" ht="18">
      <c r="A11" s="3"/>
      <c r="B11" s="3"/>
      <c r="E11" s="3"/>
    </row>
    <row r="12" spans="1:7" ht="18">
      <c r="A12" s="3"/>
      <c r="B12" s="3"/>
      <c r="E12" s="3"/>
    </row>
    <row r="17" spans="3:4" ht="18">
      <c r="D17" s="3"/>
    </row>
    <row r="24" spans="3:4" ht="18">
      <c r="C24" s="2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D963-F188-3C4D-AF32-2830265680AC}">
  <dimension ref="A1:G3"/>
  <sheetViews>
    <sheetView tabSelected="1" workbookViewId="0">
      <selection activeCell="J21" sqref="J21"/>
    </sheetView>
  </sheetViews>
  <sheetFormatPr baseColWidth="10" defaultRowHeight="18"/>
  <sheetData>
    <row r="1" spans="1:7">
      <c r="A1" s="35" t="s">
        <v>189</v>
      </c>
      <c r="C1" t="s">
        <v>163</v>
      </c>
      <c r="D1" t="s">
        <v>215</v>
      </c>
      <c r="E1" t="s">
        <v>216</v>
      </c>
      <c r="F1" t="s">
        <v>217</v>
      </c>
      <c r="G1" t="s">
        <v>210</v>
      </c>
    </row>
    <row r="2" spans="1:7">
      <c r="C2" s="23">
        <v>1107360</v>
      </c>
      <c r="D2">
        <v>5417</v>
      </c>
      <c r="E2" s="3">
        <v>1.6</v>
      </c>
      <c r="F2" s="22">
        <v>0.5</v>
      </c>
      <c r="G2" s="39">
        <f>(D2/C2)*E2*(1/F2)*100</f>
        <v>1.5653807253287098</v>
      </c>
    </row>
    <row r="3" spans="1:7">
      <c r="F3" s="2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D87E-3B64-C24F-AC59-0C835EBF5EDA}">
  <dimension ref="A1:D13"/>
  <sheetViews>
    <sheetView workbookViewId="0">
      <selection activeCell="H22" sqref="H22"/>
    </sheetView>
  </sheetViews>
  <sheetFormatPr baseColWidth="10" defaultRowHeight="18"/>
  <cols>
    <col min="2" max="2" width="12.5" customWidth="1"/>
  </cols>
  <sheetData>
    <row r="1" spans="1:4">
      <c r="A1" t="s">
        <v>183</v>
      </c>
      <c r="B1" t="s">
        <v>184</v>
      </c>
      <c r="D1" t="s">
        <v>185</v>
      </c>
    </row>
    <row r="3" spans="1:4">
      <c r="A3" s="22">
        <v>771.99599999999998</v>
      </c>
      <c r="B3" s="24">
        <v>888.31399999999996</v>
      </c>
    </row>
    <row r="4" spans="1:4">
      <c r="A4" s="22">
        <v>383.93599999999998</v>
      </c>
      <c r="B4" s="24">
        <v>383.96199999999999</v>
      </c>
    </row>
    <row r="5" spans="1:4">
      <c r="A5" s="22">
        <v>0.97599599999999997</v>
      </c>
      <c r="B5" s="24">
        <v>0.92991699999999999</v>
      </c>
    </row>
    <row r="7" spans="1:4">
      <c r="A7">
        <f>SQRT(2*PI())*A3*A5</f>
        <v>1888.6566930379788</v>
      </c>
      <c r="B7">
        <f>SQRT(2*PI())*B3*B5</f>
        <v>2070.6210660519237</v>
      </c>
      <c r="D7">
        <f>A7/B7</f>
        <v>0.91212087233281247</v>
      </c>
    </row>
    <row r="9" spans="1:4">
      <c r="A9" s="22">
        <v>231.80199999999999</v>
      </c>
      <c r="B9" s="24">
        <v>281.78399999999999</v>
      </c>
    </row>
    <row r="10" spans="1:4">
      <c r="A10" s="22">
        <v>643.24699999999996</v>
      </c>
      <c r="B10" s="24">
        <v>643.19299999999998</v>
      </c>
    </row>
    <row r="11" spans="1:4">
      <c r="A11" s="22">
        <v>0.93245599999999995</v>
      </c>
      <c r="B11" s="24">
        <v>1.00098</v>
      </c>
    </row>
    <row r="13" spans="1:4">
      <c r="A13">
        <f>SQRT(2*PI())*A9*A11</f>
        <v>541.79558379850221</v>
      </c>
      <c r="B13">
        <f>SQRT(2*PI())*B9*B11</f>
        <v>707.01994292552558</v>
      </c>
      <c r="D13">
        <f>A13/B13</f>
        <v>0.76630877137163389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Tri runs</vt:lpstr>
      <vt:lpstr>Tri runs MANIP</vt:lpstr>
      <vt:lpstr>Eff 82Ga</vt:lpstr>
      <vt:lpstr>Etude effb Qb</vt:lpstr>
      <vt:lpstr>Pn 82Ga</vt:lpstr>
      <vt:lpstr>Eff 84Ga</vt:lpstr>
      <vt:lpstr>&lt;n&gt;  84Ga</vt:lpstr>
      <vt:lpstr>P2n 84Ga</vt:lpstr>
      <vt:lpstr>Eff 125Ag</vt:lpstr>
      <vt:lpstr>Pn 125Ag</vt:lpstr>
      <vt:lpstr>Rapports d'embranchement 84Ga</vt:lpstr>
      <vt:lpstr>Calibration Run par Run</vt:lpstr>
      <vt:lpstr>Efficacité source dans chambre</vt:lpstr>
      <vt:lpstr>Calbration RUN58</vt:lpstr>
      <vt:lpstr>Comparaison reglages beta</vt:lpstr>
      <vt:lpstr>Calcul Pn 82Ga avec RUN29</vt:lpstr>
      <vt:lpstr>RUN51</vt:lpstr>
      <vt:lpstr>RUN55</vt:lpstr>
      <vt:lpstr>RUN56</vt:lpstr>
      <vt:lpstr>RUN61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2024-02-29T12:53:17Z</dcterms:created>
  <dcterms:modified xsi:type="dcterms:W3CDTF">2024-07-23T14:55:44Z</dcterms:modified>
</cp:coreProperties>
</file>