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VariablePerformanceofBS-SeqandReadMappingSoftware\"/>
    </mc:Choice>
  </mc:AlternateContent>
  <xr:revisionPtr revIDLastSave="0" documentId="8_{DBC7441B-3FB7-44D2-8293-0A0832B34BB1}" xr6:coauthVersionLast="47" xr6:coauthVersionMax="47" xr10:uidLastSave="{00000000-0000-0000-0000-000000000000}"/>
  <bookViews>
    <workbookView xWindow="-108" yWindow="-108" windowWidth="23256" windowHeight="13896" xr2:uid="{8A55A128-0B83-46B4-92FE-1C8A8D9DD7F2}"/>
  </bookViews>
  <sheets>
    <sheet name="TrimGaloreFastQC" sheetId="1" r:id="rId1"/>
    <sheet name="BamtoolsStats" sheetId="2" r:id="rId2"/>
    <sheet name="WBGSBamtoolsStats" sheetId="3" r:id="rId3"/>
    <sheet name="MethylKitDepth" sheetId="4" r:id="rId4"/>
    <sheet name="MethylKitPercMethperBase" sheetId="5" r:id="rId5"/>
    <sheet name="MeanPercMeth" sheetId="8" r:id="rId6"/>
    <sheet name="InsertSize" sheetId="7" r:id="rId7"/>
    <sheet name="BismarkDirectional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5" l="1"/>
  <c r="Q7" i="5"/>
  <c r="Q6" i="5"/>
  <c r="Q5" i="5"/>
  <c r="L19" i="9"/>
  <c r="L18" i="9"/>
  <c r="H109" i="2"/>
  <c r="H108" i="2"/>
  <c r="H107" i="2"/>
  <c r="H106" i="2"/>
  <c r="N16" i="4"/>
  <c r="N15" i="4"/>
  <c r="N12" i="4"/>
  <c r="N11" i="4"/>
  <c r="O9" i="4"/>
  <c r="N9" i="4"/>
  <c r="O8" i="4"/>
  <c r="N8" i="4"/>
  <c r="Q13" i="5"/>
  <c r="Q16" i="5"/>
  <c r="Q15" i="5"/>
  <c r="Q14" i="5"/>
  <c r="O81" i="5"/>
  <c r="M81" i="5"/>
  <c r="N81" i="5" s="1"/>
  <c r="O80" i="5"/>
  <c r="M80" i="5"/>
  <c r="O79" i="5"/>
  <c r="M79" i="5"/>
  <c r="N79" i="5" s="1"/>
  <c r="O78" i="5"/>
  <c r="M78" i="5"/>
  <c r="N78" i="5" s="1"/>
  <c r="O43" i="5"/>
  <c r="M43" i="5"/>
  <c r="O42" i="5"/>
  <c r="M42" i="5"/>
  <c r="N42" i="5" s="1"/>
  <c r="O41" i="5"/>
  <c r="M41" i="5"/>
  <c r="N41" i="5" s="1"/>
  <c r="O40" i="5"/>
  <c r="M40" i="5"/>
  <c r="O5" i="5"/>
  <c r="M5" i="5"/>
  <c r="N5" i="5" s="1"/>
  <c r="O4" i="5"/>
  <c r="M4" i="5"/>
  <c r="O3" i="5"/>
  <c r="M3" i="5"/>
  <c r="O2" i="5"/>
  <c r="M2" i="5"/>
  <c r="O72" i="5"/>
  <c r="M72" i="5"/>
  <c r="N72" i="5" s="1"/>
  <c r="O60" i="5"/>
  <c r="M60" i="5"/>
  <c r="N60" i="5" s="1"/>
  <c r="O62" i="5"/>
  <c r="M62" i="5"/>
  <c r="O63" i="5"/>
  <c r="M63" i="5"/>
  <c r="N61" i="5"/>
  <c r="N73" i="5"/>
  <c r="O70" i="5"/>
  <c r="M70" i="5"/>
  <c r="O59" i="5"/>
  <c r="M59" i="5"/>
  <c r="N59" i="5" s="1"/>
  <c r="O58" i="5"/>
  <c r="M58" i="5"/>
  <c r="O57" i="5"/>
  <c r="M57" i="5"/>
  <c r="N57" i="5" s="1"/>
  <c r="O56" i="5"/>
  <c r="M56" i="5"/>
  <c r="O47" i="5"/>
  <c r="M47" i="5"/>
  <c r="O46" i="5"/>
  <c r="M46" i="5"/>
  <c r="N46" i="5" s="1"/>
  <c r="O45" i="5"/>
  <c r="M45" i="5"/>
  <c r="N45" i="5" s="1"/>
  <c r="O69" i="5"/>
  <c r="M69" i="5"/>
  <c r="O68" i="5"/>
  <c r="M68" i="5"/>
  <c r="N68" i="5" s="1"/>
  <c r="O67" i="5"/>
  <c r="M67" i="5"/>
  <c r="N67" i="5" s="1"/>
  <c r="O51" i="5"/>
  <c r="M51" i="5"/>
  <c r="O50" i="5"/>
  <c r="M50" i="5"/>
  <c r="N50" i="5" s="1"/>
  <c r="O49" i="5"/>
  <c r="M49" i="5"/>
  <c r="O48" i="5"/>
  <c r="M48" i="5"/>
  <c r="O66" i="5"/>
  <c r="M66" i="5"/>
  <c r="N66" i="5" s="1"/>
  <c r="O65" i="5"/>
  <c r="M65" i="5"/>
  <c r="N65" i="5" s="1"/>
  <c r="O64" i="5"/>
  <c r="M64" i="5"/>
  <c r="N64" i="5" s="1"/>
  <c r="O55" i="5"/>
  <c r="M55" i="5"/>
  <c r="O54" i="5"/>
  <c r="M54" i="5"/>
  <c r="O53" i="5"/>
  <c r="M53" i="5"/>
  <c r="O52" i="5"/>
  <c r="M52" i="5"/>
  <c r="N52" i="5"/>
  <c r="O39" i="5"/>
  <c r="M39" i="5"/>
  <c r="N39" i="5" s="1"/>
  <c r="O38" i="5"/>
  <c r="M38" i="5"/>
  <c r="O37" i="5"/>
  <c r="M37" i="5"/>
  <c r="O36" i="5"/>
  <c r="M36" i="5"/>
  <c r="O25" i="5"/>
  <c r="M25" i="5"/>
  <c r="O24" i="5"/>
  <c r="M24" i="5"/>
  <c r="O23" i="5"/>
  <c r="M23" i="5"/>
  <c r="O22" i="5"/>
  <c r="M22" i="5"/>
  <c r="N22" i="5" s="1"/>
  <c r="O35" i="5"/>
  <c r="M35" i="5"/>
  <c r="O34" i="5"/>
  <c r="N34" i="5" s="1"/>
  <c r="M34" i="5"/>
  <c r="O33" i="5"/>
  <c r="M33" i="5"/>
  <c r="O32" i="5"/>
  <c r="M32" i="5"/>
  <c r="O21" i="5"/>
  <c r="M21" i="5"/>
  <c r="N21" i="5" s="1"/>
  <c r="O20" i="5"/>
  <c r="M20" i="5"/>
  <c r="N20" i="5" s="1"/>
  <c r="O19" i="5"/>
  <c r="M19" i="5"/>
  <c r="O18" i="5"/>
  <c r="M18" i="5"/>
  <c r="N18" i="5" s="1"/>
  <c r="O9" i="5"/>
  <c r="M9" i="5"/>
  <c r="O8" i="5"/>
  <c r="M8" i="5"/>
  <c r="O7" i="5"/>
  <c r="M7" i="5"/>
  <c r="O6" i="5"/>
  <c r="M6" i="5"/>
  <c r="O31" i="5"/>
  <c r="M31" i="5"/>
  <c r="O30" i="5"/>
  <c r="M30" i="5"/>
  <c r="O29" i="5"/>
  <c r="M29" i="5"/>
  <c r="O13" i="5"/>
  <c r="M13" i="5"/>
  <c r="O12" i="5"/>
  <c r="M12" i="5"/>
  <c r="O11" i="5"/>
  <c r="M11" i="5"/>
  <c r="O10" i="5"/>
  <c r="M10" i="5"/>
  <c r="O28" i="5"/>
  <c r="M28" i="5"/>
  <c r="O27" i="5"/>
  <c r="M27" i="5"/>
  <c r="N27" i="5" s="1"/>
  <c r="O26" i="5"/>
  <c r="M26" i="5"/>
  <c r="O17" i="5"/>
  <c r="M17" i="5"/>
  <c r="O16" i="5"/>
  <c r="M16" i="5"/>
  <c r="O15" i="5"/>
  <c r="M15" i="5"/>
  <c r="O14" i="5"/>
  <c r="M14" i="5"/>
  <c r="N3" i="5"/>
  <c r="N4" i="5"/>
  <c r="N19" i="5"/>
  <c r="N32" i="5"/>
  <c r="N40" i="5"/>
  <c r="N44" i="5"/>
  <c r="N47" i="5"/>
  <c r="N55" i="5"/>
  <c r="N71" i="5"/>
  <c r="N74" i="5"/>
  <c r="N75" i="5"/>
  <c r="N76" i="5"/>
  <c r="N77" i="5"/>
  <c r="N80" i="5"/>
  <c r="N2" i="5"/>
  <c r="O115" i="5"/>
  <c r="M115" i="5"/>
  <c r="O114" i="5"/>
  <c r="M114" i="5"/>
  <c r="O113" i="5"/>
  <c r="M113" i="5"/>
  <c r="O112" i="5"/>
  <c r="M112" i="5"/>
  <c r="O101" i="5"/>
  <c r="M101" i="5"/>
  <c r="O100" i="5"/>
  <c r="M100" i="5"/>
  <c r="O99" i="5"/>
  <c r="M99" i="5"/>
  <c r="O98" i="5"/>
  <c r="M98" i="5"/>
  <c r="O111" i="5"/>
  <c r="M111" i="5"/>
  <c r="O110" i="5"/>
  <c r="M110" i="5"/>
  <c r="O109" i="5"/>
  <c r="M109" i="5"/>
  <c r="O108" i="5"/>
  <c r="M108" i="5"/>
  <c r="O97" i="5"/>
  <c r="M97" i="5"/>
  <c r="N97" i="5" s="1"/>
  <c r="O96" i="5"/>
  <c r="M96" i="5"/>
  <c r="O95" i="5"/>
  <c r="M95" i="5"/>
  <c r="O94" i="5"/>
  <c r="M94" i="5"/>
  <c r="O85" i="5"/>
  <c r="M85" i="5"/>
  <c r="O84" i="5"/>
  <c r="M84" i="5"/>
  <c r="N84" i="5" s="1"/>
  <c r="O83" i="5"/>
  <c r="M83" i="5"/>
  <c r="O82" i="5"/>
  <c r="M82" i="5"/>
  <c r="O107" i="5"/>
  <c r="M107" i="5"/>
  <c r="O106" i="5"/>
  <c r="M106" i="5"/>
  <c r="O105" i="5"/>
  <c r="M105" i="5"/>
  <c r="N105" i="5" s="1"/>
  <c r="O89" i="5"/>
  <c r="M89" i="5"/>
  <c r="N89" i="5" s="1"/>
  <c r="O88" i="5"/>
  <c r="M88" i="5"/>
  <c r="O87" i="5"/>
  <c r="M87" i="5"/>
  <c r="O86" i="5"/>
  <c r="M86" i="5"/>
  <c r="O104" i="5"/>
  <c r="M104" i="5"/>
  <c r="O103" i="5"/>
  <c r="M103" i="5"/>
  <c r="N103" i="5" s="1"/>
  <c r="O102" i="5"/>
  <c r="M102" i="5"/>
  <c r="O93" i="5"/>
  <c r="M93" i="5"/>
  <c r="N93" i="5" s="1"/>
  <c r="O92" i="5"/>
  <c r="M92" i="5"/>
  <c r="N92" i="5" s="1"/>
  <c r="O91" i="5"/>
  <c r="M91" i="5"/>
  <c r="O90" i="5"/>
  <c r="M90" i="5"/>
  <c r="N90" i="5" s="1"/>
  <c r="N13" i="4"/>
  <c r="B51" i="7"/>
  <c r="E21" i="7"/>
  <c r="E20" i="7"/>
  <c r="E19" i="7"/>
  <c r="B50" i="7"/>
  <c r="B49" i="7"/>
  <c r="M36" i="1"/>
  <c r="P26" i="1"/>
  <c r="M4" i="1"/>
  <c r="M15" i="1"/>
  <c r="M14" i="1"/>
  <c r="P37" i="1"/>
  <c r="P36" i="1"/>
  <c r="P35" i="1"/>
  <c r="P34" i="1"/>
  <c r="P33" i="1"/>
  <c r="P32" i="1"/>
  <c r="P31" i="1"/>
  <c r="P28" i="1"/>
  <c r="P27" i="1"/>
  <c r="P25" i="1"/>
  <c r="P24" i="1"/>
  <c r="P23" i="1"/>
  <c r="P22" i="1"/>
  <c r="P21" i="1"/>
  <c r="P20" i="1"/>
  <c r="P19" i="1"/>
  <c r="P18" i="1"/>
  <c r="P17" i="1"/>
  <c r="P16" i="1"/>
  <c r="P15" i="1"/>
  <c r="P14" i="1"/>
  <c r="V15" i="3"/>
  <c r="V14" i="3"/>
  <c r="M35" i="1"/>
  <c r="M34" i="1"/>
  <c r="M33" i="1"/>
  <c r="M32" i="1"/>
  <c r="M31" i="1"/>
  <c r="M29" i="1"/>
  <c r="M30" i="1"/>
  <c r="M28" i="1"/>
  <c r="M27" i="1"/>
  <c r="M26" i="1"/>
  <c r="M25" i="1"/>
  <c r="M24" i="1"/>
  <c r="M23" i="1"/>
  <c r="M22" i="1"/>
  <c r="M21" i="1"/>
  <c r="M37" i="1" s="1"/>
  <c r="M38" i="1" s="1"/>
  <c r="M20" i="1"/>
  <c r="M19" i="1"/>
  <c r="M18" i="1"/>
  <c r="M17" i="1"/>
  <c r="M16" i="1"/>
  <c r="M6" i="1"/>
  <c r="M3" i="1"/>
  <c r="N43" i="5" l="1"/>
  <c r="N62" i="5"/>
  <c r="N63" i="5"/>
  <c r="N51" i="5"/>
  <c r="N91" i="5"/>
  <c r="N83" i="5"/>
  <c r="N94" i="5"/>
  <c r="N16" i="5"/>
  <c r="N8" i="5"/>
  <c r="N33" i="5"/>
  <c r="N106" i="5"/>
  <c r="N38" i="5"/>
  <c r="N28" i="5"/>
  <c r="N108" i="5"/>
  <c r="N24" i="5"/>
  <c r="N112" i="5"/>
  <c r="N53" i="5"/>
  <c r="N49" i="5"/>
  <c r="N25" i="5"/>
  <c r="N113" i="5"/>
  <c r="N36" i="5"/>
  <c r="N54" i="5"/>
  <c r="N96" i="5"/>
  <c r="N58" i="5"/>
  <c r="N102" i="5"/>
  <c r="N70" i="5"/>
  <c r="N56" i="5"/>
  <c r="N69" i="5"/>
  <c r="N48" i="5"/>
  <c r="N37" i="5"/>
  <c r="N23" i="5"/>
  <c r="N35" i="5"/>
  <c r="N9" i="5"/>
  <c r="N7" i="5"/>
  <c r="N6" i="5"/>
  <c r="N31" i="5"/>
  <c r="N30" i="5"/>
  <c r="N29" i="5"/>
  <c r="N13" i="5"/>
  <c r="N12" i="5"/>
  <c r="N11" i="5"/>
  <c r="N10" i="5"/>
  <c r="N26" i="5"/>
  <c r="N17" i="5"/>
  <c r="N15" i="5"/>
  <c r="N14" i="5"/>
  <c r="N115" i="5"/>
  <c r="N114" i="5"/>
  <c r="N101" i="5"/>
  <c r="N100" i="5"/>
  <c r="N99" i="5"/>
  <c r="N98" i="5"/>
  <c r="N111" i="5"/>
  <c r="N110" i="5"/>
  <c r="N109" i="5"/>
  <c r="N95" i="5"/>
  <c r="N85" i="5"/>
  <c r="N82" i="5"/>
  <c r="N107" i="5"/>
  <c r="N88" i="5"/>
  <c r="N87" i="5"/>
  <c r="N86" i="5"/>
  <c r="N104" i="5"/>
</calcChain>
</file>

<file path=xl/sharedStrings.xml><?xml version="1.0" encoding="utf-8"?>
<sst xmlns="http://schemas.openxmlformats.org/spreadsheetml/2006/main" count="2293" uniqueCount="250">
  <si>
    <t>Environment</t>
  </si>
  <si>
    <t>Population</t>
  </si>
  <si>
    <t>SampleID</t>
  </si>
  <si>
    <t>TotalSequences</t>
  </si>
  <si>
    <t>TotalBases</t>
  </si>
  <si>
    <t>PoorQualitySeq</t>
  </si>
  <si>
    <t>Gccontent</t>
  </si>
  <si>
    <t>SequenceLengthMin</t>
  </si>
  <si>
    <t>SequenceLengthMax</t>
  </si>
  <si>
    <t>Common Garden</t>
  </si>
  <si>
    <t>Gosling</t>
  </si>
  <si>
    <t>CG_GOS_001_R1</t>
  </si>
  <si>
    <t>CG_GOS_001_R2</t>
  </si>
  <si>
    <t>CG_GOS_002_R1</t>
  </si>
  <si>
    <t>CG_GOS_002_R2</t>
  </si>
  <si>
    <t>Roberts</t>
  </si>
  <si>
    <t>CG_ROB_001_R1</t>
  </si>
  <si>
    <t>CG_ROB_001_R2</t>
  </si>
  <si>
    <t>CG_ROB_002_R1</t>
  </si>
  <si>
    <t>CG_ROB_002_R2</t>
  </si>
  <si>
    <t>Sayward</t>
  </si>
  <si>
    <t>CG_SAY_001_R1</t>
  </si>
  <si>
    <t>CG_SAY_001_R2</t>
  </si>
  <si>
    <t>CG_SAY_002_R1</t>
  </si>
  <si>
    <t>CG_SAY_002_R2</t>
  </si>
  <si>
    <t>Wik</t>
  </si>
  <si>
    <t>CG_WK_001_R1</t>
  </si>
  <si>
    <t>CG_WK_001_R2</t>
  </si>
  <si>
    <t>CG_WK_002_R1</t>
  </si>
  <si>
    <t>CG_WK_002_R2</t>
  </si>
  <si>
    <t>CG_WK_003_R1</t>
  </si>
  <si>
    <t>CG_WK_003_R2</t>
  </si>
  <si>
    <t>CG_WK_004_R1</t>
  </si>
  <si>
    <t>CG_WK_004_R2</t>
  </si>
  <si>
    <t>Watson</t>
  </si>
  <si>
    <t>CG_WT_001_R1</t>
  </si>
  <si>
    <t>CG_WT_001_R2</t>
  </si>
  <si>
    <t>CG_WT_002_R1</t>
  </si>
  <si>
    <t>CG_WT_002_R2</t>
  </si>
  <si>
    <t>CG_WT_003_R1</t>
  </si>
  <si>
    <t>CG_WT_003_R2</t>
  </si>
  <si>
    <t>CG_WT_004_R1</t>
  </si>
  <si>
    <t>CG_WT_004_R2</t>
  </si>
  <si>
    <t>Field</t>
  </si>
  <si>
    <t>FD_WK_002_R1</t>
  </si>
  <si>
    <t>FD_WK_002_R2</t>
  </si>
  <si>
    <t>FD_WK_005_R1</t>
  </si>
  <si>
    <t>FD_WK_005_R2</t>
  </si>
  <si>
    <t>FD_WK_011_R1</t>
  </si>
  <si>
    <t>FD_WK_011_R2</t>
  </si>
  <si>
    <t>FD_WK_012_R1</t>
  </si>
  <si>
    <t>FD_WK_012_R2</t>
  </si>
  <si>
    <t>FD_WT_004_R1</t>
  </si>
  <si>
    <t>FD_WT_004_R2</t>
  </si>
  <si>
    <t>FD_WT_007_R1</t>
  </si>
  <si>
    <t>FD_WT_007_R2</t>
  </si>
  <si>
    <t>FD_WT_016_R1</t>
  </si>
  <si>
    <t>FD_WT_016_R2</t>
  </si>
  <si>
    <t>FD_WT_017_R1</t>
  </si>
  <si>
    <t>FD_WT_017_R2</t>
  </si>
  <si>
    <t>MeanBases</t>
  </si>
  <si>
    <t>MeanSequences</t>
  </si>
  <si>
    <t>StdDevSequences</t>
  </si>
  <si>
    <t>Mean sequences per samples = 5,237,195 +- 628,432</t>
  </si>
  <si>
    <t>Mean sequences per samples = 5.25 +- 0.63 million</t>
  </si>
  <si>
    <t>TotalReads</t>
  </si>
  <si>
    <t>MappedReads</t>
  </si>
  <si>
    <t>PercentMapped</t>
  </si>
  <si>
    <t>ForwardStrand</t>
  </si>
  <si>
    <t>ReverseStrand</t>
  </si>
  <si>
    <t>Duplicates</t>
  </si>
  <si>
    <t>BothPairsMapped</t>
  </si>
  <si>
    <t>Read1</t>
  </si>
  <si>
    <t>Read2</t>
  </si>
  <si>
    <t>Singletons</t>
  </si>
  <si>
    <t>CG_22_GOS_001</t>
  </si>
  <si>
    <t>PercentForwardStrand</t>
  </si>
  <si>
    <t>PercentReverseStrand</t>
  </si>
  <si>
    <t>PercentBothPairsMapped</t>
  </si>
  <si>
    <t>PercentSingletons</t>
  </si>
  <si>
    <t>CG_22_GOS_002</t>
  </si>
  <si>
    <t>PercentPairedEndReads</t>
  </si>
  <si>
    <t>CG_22_ROB_001</t>
  </si>
  <si>
    <t>CG_22_ROB_002</t>
  </si>
  <si>
    <t>FailedQC</t>
  </si>
  <si>
    <t>CG_22_SAY_001</t>
  </si>
  <si>
    <t>CG_22_SAY_002</t>
  </si>
  <si>
    <t>AlignmentMethod</t>
  </si>
  <si>
    <t>bwa mem</t>
  </si>
  <si>
    <t>CG_22_WK_001</t>
  </si>
  <si>
    <t>CG_22_WK_002</t>
  </si>
  <si>
    <t>CG_22_WK_003</t>
  </si>
  <si>
    <t>CG_22_WK_004</t>
  </si>
  <si>
    <t>CG_22_WT_001</t>
  </si>
  <si>
    <t>CG_22_WT_002</t>
  </si>
  <si>
    <t>CG_22_WT_003</t>
  </si>
  <si>
    <t>CG_22_WT_004</t>
  </si>
  <si>
    <t>bwa meth</t>
  </si>
  <si>
    <t>FD_22_WK_002</t>
  </si>
  <si>
    <t>AverageInsertSize</t>
  </si>
  <si>
    <t>MedianInsertSize</t>
  </si>
  <si>
    <t>FD_22_WK_005</t>
  </si>
  <si>
    <t>FD_22_WK_011</t>
  </si>
  <si>
    <t>FD_22_WK_012</t>
  </si>
  <si>
    <t>FD_22_WT_004</t>
  </si>
  <si>
    <t>FD_22_WT_007</t>
  </si>
  <si>
    <t>FD_22_WT_016</t>
  </si>
  <si>
    <t>FD_22_WT_017</t>
  </si>
  <si>
    <t>WGBS_CG_22_WK_002</t>
  </si>
  <si>
    <t>WGBS_CG_22_WK_003</t>
  </si>
  <si>
    <t>WGBS_CG_22_WT_002</t>
  </si>
  <si>
    <t>WGBS_CG_22_WT_004</t>
  </si>
  <si>
    <t>RearingEnv</t>
  </si>
  <si>
    <t>SequencingMethod</t>
  </si>
  <si>
    <t>Min</t>
  </si>
  <si>
    <t>1stQuart</t>
  </si>
  <si>
    <t>Median</t>
  </si>
  <si>
    <t>Mean</t>
  </si>
  <si>
    <t>3rdQuart</t>
  </si>
  <si>
    <t>Max</t>
  </si>
  <si>
    <t>RRBS</t>
  </si>
  <si>
    <t>CG_SAY_001</t>
  </si>
  <si>
    <t>CG_SAY_002</t>
  </si>
  <si>
    <t>CG_ROB_001</t>
  </si>
  <si>
    <t>CG_ROB_002</t>
  </si>
  <si>
    <t>CG_GOS_001</t>
  </si>
  <si>
    <t>CG_GOS_002</t>
  </si>
  <si>
    <t>CG_WK_001</t>
  </si>
  <si>
    <t>CG_WK_002</t>
  </si>
  <si>
    <t>CG_WK_003</t>
  </si>
  <si>
    <t>CG_WK_004</t>
  </si>
  <si>
    <t>CG_WT_001</t>
  </si>
  <si>
    <t>CG_WT_002</t>
  </si>
  <si>
    <t>CG_WT_003</t>
  </si>
  <si>
    <t>CG_WT_004</t>
  </si>
  <si>
    <t>WGBS_CG_WK_002</t>
  </si>
  <si>
    <t>WGBS_CG_WK_003</t>
  </si>
  <si>
    <t>WGBS_CG_WT_002</t>
  </si>
  <si>
    <t>WGBS_CG_WT_004</t>
  </si>
  <si>
    <t>CommonGarden</t>
  </si>
  <si>
    <t>PercentFailedQC</t>
  </si>
  <si>
    <t>Bismark</t>
  </si>
  <si>
    <t>Bwa meth</t>
  </si>
  <si>
    <t>Bwa mem</t>
  </si>
  <si>
    <t>bwameth</t>
  </si>
  <si>
    <t>FishID</t>
  </si>
  <si>
    <t>WGBS</t>
  </si>
  <si>
    <t>Read Mapping Tool</t>
  </si>
  <si>
    <t xml:space="preserve">Mean Mapping Efficiency </t>
  </si>
  <si>
    <t>SD</t>
  </si>
  <si>
    <t>CG_GOS_2210_01</t>
  </si>
  <si>
    <t>CG_GOS_35_04</t>
  </si>
  <si>
    <t>CG_ROB_003</t>
  </si>
  <si>
    <t>CG_ROB_31_01</t>
  </si>
  <si>
    <t>CG_SAY_4_01</t>
  </si>
  <si>
    <t>CG_SAY_2343_003</t>
  </si>
  <si>
    <t>FD_GOS_27</t>
  </si>
  <si>
    <t>FD_GOS_28</t>
  </si>
  <si>
    <t>FD_GOS_33</t>
  </si>
  <si>
    <t>FD_ROB_102</t>
  </si>
  <si>
    <t>FD_ROB_106</t>
  </si>
  <si>
    <t>FD_ROB_98</t>
  </si>
  <si>
    <t>Batch</t>
  </si>
  <si>
    <t>Total reads</t>
  </si>
  <si>
    <t>Mapped Reads</t>
  </si>
  <si>
    <t>Batch 1 bwa mem</t>
  </si>
  <si>
    <t>batch 2 bwa mem</t>
  </si>
  <si>
    <t>batch 1 bwa meth</t>
  </si>
  <si>
    <t>batch 2 bwa meth</t>
  </si>
  <si>
    <t>10,503,533 +/- 1,278,958</t>
  </si>
  <si>
    <t>31,651,666 +/- 15,422,548</t>
  </si>
  <si>
    <t>10,497,477 +/- 1,274,001</t>
  </si>
  <si>
    <t>31,585,315 +/- 15,394,002</t>
  </si>
  <si>
    <t>5,443,142 +/- 844,552</t>
  </si>
  <si>
    <t>10,428,486 +/- 1,268,689</t>
  </si>
  <si>
    <t>14,249,122 +/- 7,393,281</t>
  </si>
  <si>
    <t>31,286,223 +/- 15,260,964</t>
  </si>
  <si>
    <t>GOS_1</t>
  </si>
  <si>
    <t>GOS_2</t>
  </si>
  <si>
    <t>ROB_1</t>
  </si>
  <si>
    <t>ROB_2</t>
  </si>
  <si>
    <t>SAY_1</t>
  </si>
  <si>
    <t>SAY_2</t>
  </si>
  <si>
    <t>WK_1</t>
  </si>
  <si>
    <t>WK_2</t>
  </si>
  <si>
    <t>WK_3</t>
  </si>
  <si>
    <t>WK_4</t>
  </si>
  <si>
    <t>WT_1</t>
  </si>
  <si>
    <t>WT_2</t>
  </si>
  <si>
    <t>WT_3</t>
  </si>
  <si>
    <t>WT_4</t>
  </si>
  <si>
    <t>FD_WK_2</t>
  </si>
  <si>
    <t>FD_WK_5</t>
  </si>
  <si>
    <t>FD_WK_11</t>
  </si>
  <si>
    <t>FD_WK_12</t>
  </si>
  <si>
    <t>FD_WT_4</t>
  </si>
  <si>
    <t>FD_WT_7</t>
  </si>
  <si>
    <t>FD_WT_16</t>
  </si>
  <si>
    <t>FD_WT_17</t>
  </si>
  <si>
    <t>Alignment Method</t>
  </si>
  <si>
    <t>Note: bwa mem and bwa meth used --maxvariantfrac .8 --minDepth 5</t>
  </si>
  <si>
    <t>Note: bwa mem and bwa meth used Max Variant frac -.8 min depth 5</t>
  </si>
  <si>
    <t>Std Dev</t>
  </si>
  <si>
    <t>Std Error</t>
  </si>
  <si>
    <t>1.1 Gbp</t>
  </si>
  <si>
    <t>532.9 Mbp</t>
  </si>
  <si>
    <t>537.3 Mbp</t>
  </si>
  <si>
    <t>943.5 Mbp</t>
  </si>
  <si>
    <t>953.6 Mbp</t>
  </si>
  <si>
    <t>630.7 Mbp</t>
  </si>
  <si>
    <t>637.4 Mbp</t>
  </si>
  <si>
    <t>1.8 Gbp</t>
  </si>
  <si>
    <t>699.5 Mbp</t>
  </si>
  <si>
    <t>706.2 Mbp</t>
  </si>
  <si>
    <t>429.2 Mbp</t>
  </si>
  <si>
    <t>435.2 Mbp</t>
  </si>
  <si>
    <t>416.4 Mbp</t>
  </si>
  <si>
    <t>420.8 Mbp</t>
  </si>
  <si>
    <t>557.5 Mbp</t>
  </si>
  <si>
    <t>564.3 Mbp</t>
  </si>
  <si>
    <t>1.4 Gbp</t>
  </si>
  <si>
    <t>956.3 Mbp</t>
  </si>
  <si>
    <t>964.2 Mbp</t>
  </si>
  <si>
    <t>682.6 Mbp</t>
  </si>
  <si>
    <t>688.2 Mbp</t>
  </si>
  <si>
    <t>St Dev</t>
  </si>
  <si>
    <t>St Error</t>
  </si>
  <si>
    <t>4.4 Gbp</t>
  </si>
  <si>
    <t>4.3 Gbp</t>
  </si>
  <si>
    <t>4.5 Gbp</t>
  </si>
  <si>
    <t>Batch 1</t>
  </si>
  <si>
    <t>Batch 2</t>
  </si>
  <si>
    <t>BWA meth</t>
  </si>
  <si>
    <t>WGBS Median Insert Size</t>
  </si>
  <si>
    <t>Stdev</t>
  </si>
  <si>
    <t>ST err</t>
  </si>
  <si>
    <t>stdev</t>
  </si>
  <si>
    <t>sterr</t>
  </si>
  <si>
    <t>*Note: Total Reads for Bismark is total sequence pairs</t>
  </si>
  <si>
    <t>bwameth.median</t>
  </si>
  <si>
    <t>bwameth.mean</t>
  </si>
  <si>
    <t>bwamem.median</t>
  </si>
  <si>
    <t>bwamem.mean</t>
  </si>
  <si>
    <t>bismark.median</t>
  </si>
  <si>
    <t>bismark.mean</t>
  </si>
  <si>
    <t>Unmethylated</t>
  </si>
  <si>
    <t>IntermediateMethylated</t>
  </si>
  <si>
    <t>Methylated</t>
  </si>
  <si>
    <t>BWA meth batch 1</t>
  </si>
  <si>
    <t>BWA meth batch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</si>
</sst>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Lucida Console"/>
      <family val="3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4" fillId="0" borderId="0" xfId="0" applyFont="1" applyAlignment="1">
      <alignment vertical="center"/>
    </xf>
    <xf numFmtId="0" fontId="0" fillId="2" borderId="0" xfId="0" applyFill="1"/>
    <xf numFmtId="10" fontId="0" fillId="2" borderId="0" xfId="0" applyNumberFormat="1" applyFill="1"/>
    <xf numFmtId="9" fontId="0" fillId="0" borderId="0" xfId="0" applyNumberFormat="1"/>
    <xf numFmtId="0" fontId="4" fillId="0" borderId="0" xfId="0" applyFont="1" applyAlignment="1">
      <alignment horizontal="left" vertical="center"/>
    </xf>
    <xf numFmtId="4" fontId="0" fillId="0" borderId="0" xfId="0" applyNumberFormat="1"/>
    <xf numFmtId="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BA08-261A-417F-AEFA-802CAC660C7E}">
  <dimension ref="A1:P77"/>
  <sheetViews>
    <sheetView tabSelected="1" zoomScale="70" zoomScaleNormal="70" workbookViewId="0">
      <selection activeCell="O31" sqref="O31"/>
    </sheetView>
  </sheetViews>
  <sheetFormatPr defaultRowHeight="14.4" x14ac:dyDescent="0.3"/>
  <cols>
    <col min="1" max="1" width="15.5546875" bestFit="1" customWidth="1"/>
    <col min="2" max="2" width="10.44140625" bestFit="1" customWidth="1"/>
    <col min="3" max="3" width="20.33203125" bestFit="1" customWidth="1"/>
    <col min="5" max="5" width="14.6640625" bestFit="1" customWidth="1"/>
    <col min="6" max="6" width="10.109375" bestFit="1" customWidth="1"/>
    <col min="7" max="7" width="14.5546875" bestFit="1" customWidth="1"/>
    <col min="8" max="8" width="13.88671875" bestFit="1" customWidth="1"/>
    <col min="9" max="9" width="18.88671875" bestFit="1" customWidth="1"/>
    <col min="10" max="10" width="19.109375" bestFit="1" customWidth="1"/>
    <col min="12" max="12" width="16.5546875" bestFit="1" customWidth="1"/>
    <col min="13" max="13" width="11" bestFit="1" customWidth="1"/>
    <col min="15" max="15" width="20.33203125" bestFit="1" customWidth="1"/>
    <col min="16" max="16" width="11" bestFit="1" customWidth="1"/>
  </cols>
  <sheetData>
    <row r="1" spans="1:16" s="2" customFormat="1" x14ac:dyDescent="0.3">
      <c r="A1" s="2" t="s">
        <v>0</v>
      </c>
      <c r="B1" s="2" t="s">
        <v>1</v>
      </c>
      <c r="C1" s="2" t="s">
        <v>2</v>
      </c>
      <c r="D1" s="2" t="s">
        <v>162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6" x14ac:dyDescent="0.3">
      <c r="A2" t="s">
        <v>9</v>
      </c>
      <c r="B2" t="s">
        <v>10</v>
      </c>
      <c r="C2" t="s">
        <v>11</v>
      </c>
      <c r="D2">
        <v>1</v>
      </c>
      <c r="E2" s="1">
        <v>5521082</v>
      </c>
      <c r="F2">
        <v>341</v>
      </c>
      <c r="G2">
        <v>0</v>
      </c>
      <c r="H2">
        <v>36</v>
      </c>
      <c r="I2">
        <v>20</v>
      </c>
      <c r="J2">
        <v>151</v>
      </c>
    </row>
    <row r="3" spans="1:16" x14ac:dyDescent="0.3">
      <c r="A3" t="s">
        <v>9</v>
      </c>
      <c r="B3" t="s">
        <v>10</v>
      </c>
      <c r="C3" t="s">
        <v>12</v>
      </c>
      <c r="D3">
        <v>1</v>
      </c>
      <c r="E3">
        <v>5521082</v>
      </c>
      <c r="F3">
        <v>337.4</v>
      </c>
      <c r="G3">
        <v>0</v>
      </c>
      <c r="H3">
        <v>36</v>
      </c>
      <c r="I3">
        <v>20</v>
      </c>
      <c r="J3">
        <v>149</v>
      </c>
      <c r="L3" s="2" t="s">
        <v>60</v>
      </c>
      <c r="M3">
        <f>AVERAGE(F2:F45)</f>
        <v>350.88181818181818</v>
      </c>
    </row>
    <row r="4" spans="1:16" x14ac:dyDescent="0.3">
      <c r="A4" t="s">
        <v>9</v>
      </c>
      <c r="B4" t="s">
        <v>10</v>
      </c>
      <c r="C4" t="s">
        <v>13</v>
      </c>
      <c r="D4">
        <v>1</v>
      </c>
      <c r="E4">
        <v>4961453</v>
      </c>
      <c r="F4">
        <v>317.7</v>
      </c>
      <c r="G4">
        <v>0</v>
      </c>
      <c r="H4">
        <v>34</v>
      </c>
      <c r="I4">
        <v>20</v>
      </c>
      <c r="J4">
        <v>151</v>
      </c>
      <c r="L4" s="2" t="s">
        <v>61</v>
      </c>
      <c r="M4">
        <f>AVERAGE(E2:E45)</f>
        <v>5237195.3636363633</v>
      </c>
    </row>
    <row r="5" spans="1:16" x14ac:dyDescent="0.3">
      <c r="A5" t="s">
        <v>9</v>
      </c>
      <c r="B5" t="s">
        <v>10</v>
      </c>
      <c r="C5" t="s">
        <v>14</v>
      </c>
      <c r="D5">
        <v>1</v>
      </c>
      <c r="E5">
        <v>4961453</v>
      </c>
      <c r="F5">
        <v>315.2</v>
      </c>
      <c r="G5">
        <v>0</v>
      </c>
      <c r="H5">
        <v>34</v>
      </c>
      <c r="I5">
        <v>20</v>
      </c>
      <c r="J5">
        <v>149</v>
      </c>
      <c r="L5" s="2"/>
    </row>
    <row r="6" spans="1:16" x14ac:dyDescent="0.3">
      <c r="A6" t="s">
        <v>9</v>
      </c>
      <c r="B6" t="s">
        <v>15</v>
      </c>
      <c r="C6" t="s">
        <v>16</v>
      </c>
      <c r="D6">
        <v>1</v>
      </c>
      <c r="E6">
        <v>5305729</v>
      </c>
      <c r="F6">
        <v>316.89999999999998</v>
      </c>
      <c r="G6">
        <v>0</v>
      </c>
      <c r="H6">
        <v>36</v>
      </c>
      <c r="I6">
        <v>20</v>
      </c>
      <c r="J6">
        <v>151</v>
      </c>
      <c r="L6" s="2" t="s">
        <v>62</v>
      </c>
      <c r="M6">
        <f>_xlfn.STDEV.S(E2:E45)</f>
        <v>628431.73281746311</v>
      </c>
    </row>
    <row r="7" spans="1:16" x14ac:dyDescent="0.3">
      <c r="A7" t="s">
        <v>9</v>
      </c>
      <c r="B7" t="s">
        <v>15</v>
      </c>
      <c r="C7" t="s">
        <v>17</v>
      </c>
      <c r="D7">
        <v>1</v>
      </c>
      <c r="E7">
        <v>5305729</v>
      </c>
      <c r="F7">
        <v>314.3</v>
      </c>
      <c r="G7">
        <v>0</v>
      </c>
      <c r="H7">
        <v>36</v>
      </c>
      <c r="I7">
        <v>20</v>
      </c>
      <c r="J7">
        <v>149</v>
      </c>
    </row>
    <row r="8" spans="1:16" x14ac:dyDescent="0.3">
      <c r="A8" t="s">
        <v>9</v>
      </c>
      <c r="B8" t="s">
        <v>15</v>
      </c>
      <c r="C8" t="s">
        <v>18</v>
      </c>
      <c r="D8">
        <v>1</v>
      </c>
      <c r="E8">
        <v>4892405</v>
      </c>
      <c r="F8">
        <v>294.10000000000002</v>
      </c>
      <c r="G8">
        <v>0</v>
      </c>
      <c r="H8">
        <v>37</v>
      </c>
      <c r="I8">
        <v>20</v>
      </c>
      <c r="J8">
        <v>151</v>
      </c>
    </row>
    <row r="9" spans="1:16" x14ac:dyDescent="0.3">
      <c r="A9" t="s">
        <v>9</v>
      </c>
      <c r="B9" t="s">
        <v>15</v>
      </c>
      <c r="C9" t="s">
        <v>19</v>
      </c>
      <c r="D9">
        <v>1</v>
      </c>
      <c r="E9">
        <v>4892405</v>
      </c>
      <c r="F9">
        <v>291.3</v>
      </c>
      <c r="G9">
        <v>0</v>
      </c>
      <c r="H9">
        <v>36</v>
      </c>
      <c r="I9">
        <v>20</v>
      </c>
      <c r="J9">
        <v>149</v>
      </c>
      <c r="L9" t="s">
        <v>63</v>
      </c>
    </row>
    <row r="10" spans="1:16" x14ac:dyDescent="0.3">
      <c r="A10" t="s">
        <v>9</v>
      </c>
      <c r="B10" t="s">
        <v>20</v>
      </c>
      <c r="C10" t="s">
        <v>21</v>
      </c>
      <c r="D10">
        <v>1</v>
      </c>
      <c r="E10">
        <v>5044025</v>
      </c>
      <c r="F10">
        <v>292.89999999999998</v>
      </c>
      <c r="G10">
        <v>0</v>
      </c>
      <c r="H10">
        <v>35</v>
      </c>
      <c r="I10">
        <v>20</v>
      </c>
      <c r="J10">
        <v>151</v>
      </c>
    </row>
    <row r="11" spans="1:16" x14ac:dyDescent="0.3">
      <c r="A11" t="s">
        <v>9</v>
      </c>
      <c r="B11" t="s">
        <v>20</v>
      </c>
      <c r="C11" t="s">
        <v>22</v>
      </c>
      <c r="D11">
        <v>1</v>
      </c>
      <c r="E11">
        <v>5044025</v>
      </c>
      <c r="F11">
        <v>290.7</v>
      </c>
      <c r="G11">
        <v>0</v>
      </c>
      <c r="H11">
        <v>34</v>
      </c>
      <c r="I11">
        <v>20</v>
      </c>
      <c r="J11">
        <v>149</v>
      </c>
      <c r="L11" t="s">
        <v>64</v>
      </c>
    </row>
    <row r="12" spans="1:16" x14ac:dyDescent="0.3">
      <c r="A12" t="s">
        <v>9</v>
      </c>
      <c r="B12" t="s">
        <v>20</v>
      </c>
      <c r="C12" t="s">
        <v>23</v>
      </c>
      <c r="D12">
        <v>1</v>
      </c>
      <c r="E12">
        <v>5092009</v>
      </c>
      <c r="F12">
        <v>331.7</v>
      </c>
      <c r="G12">
        <v>0</v>
      </c>
      <c r="H12">
        <v>34</v>
      </c>
      <c r="I12">
        <v>20</v>
      </c>
      <c r="J12">
        <v>151</v>
      </c>
    </row>
    <row r="13" spans="1:16" x14ac:dyDescent="0.3">
      <c r="A13" t="s">
        <v>9</v>
      </c>
      <c r="B13" t="s">
        <v>20</v>
      </c>
      <c r="C13" t="s">
        <v>24</v>
      </c>
      <c r="D13">
        <v>1</v>
      </c>
      <c r="E13">
        <v>5092009</v>
      </c>
      <c r="F13">
        <v>328.1</v>
      </c>
      <c r="G13">
        <v>0</v>
      </c>
      <c r="H13">
        <v>33</v>
      </c>
      <c r="I13">
        <v>20</v>
      </c>
      <c r="J13">
        <v>149</v>
      </c>
      <c r="L13" s="2" t="s">
        <v>230</v>
      </c>
      <c r="O13" s="2" t="s">
        <v>231</v>
      </c>
    </row>
    <row r="14" spans="1:16" x14ac:dyDescent="0.3">
      <c r="A14" t="s">
        <v>9</v>
      </c>
      <c r="B14" t="s">
        <v>25</v>
      </c>
      <c r="C14" t="s">
        <v>26</v>
      </c>
      <c r="D14">
        <v>1</v>
      </c>
      <c r="E14">
        <v>4771488</v>
      </c>
      <c r="F14">
        <v>341.9</v>
      </c>
      <c r="G14">
        <v>0</v>
      </c>
      <c r="H14">
        <v>32</v>
      </c>
      <c r="I14">
        <v>20</v>
      </c>
      <c r="J14">
        <v>151</v>
      </c>
      <c r="L14" t="s">
        <v>177</v>
      </c>
      <c r="M14">
        <f>SUM(E2:E3)</f>
        <v>11042164</v>
      </c>
      <c r="O14" t="s">
        <v>151</v>
      </c>
      <c r="P14">
        <f>SUM(E46:E47)</f>
        <v>39534270</v>
      </c>
    </row>
    <row r="15" spans="1:16" x14ac:dyDescent="0.3">
      <c r="A15" t="s">
        <v>9</v>
      </c>
      <c r="B15" t="s">
        <v>25</v>
      </c>
      <c r="C15" t="s">
        <v>27</v>
      </c>
      <c r="D15">
        <v>1</v>
      </c>
      <c r="E15">
        <v>4771488</v>
      </c>
      <c r="F15">
        <v>339.1</v>
      </c>
      <c r="G15">
        <v>0</v>
      </c>
      <c r="H15">
        <v>32</v>
      </c>
      <c r="I15">
        <v>20</v>
      </c>
      <c r="J15">
        <v>149</v>
      </c>
      <c r="L15" t="s">
        <v>178</v>
      </c>
      <c r="M15">
        <f>SUM(E4:E5)</f>
        <v>9922906</v>
      </c>
      <c r="O15" t="s">
        <v>150</v>
      </c>
      <c r="P15">
        <f>SUM(E48:E49)</f>
        <v>19629982</v>
      </c>
    </row>
    <row r="16" spans="1:16" x14ac:dyDescent="0.3">
      <c r="A16" t="s">
        <v>9</v>
      </c>
      <c r="B16" t="s">
        <v>25</v>
      </c>
      <c r="C16" t="s">
        <v>28</v>
      </c>
      <c r="D16">
        <v>1</v>
      </c>
      <c r="E16">
        <v>5649521</v>
      </c>
      <c r="F16">
        <v>409.7</v>
      </c>
      <c r="G16">
        <v>0</v>
      </c>
      <c r="H16">
        <v>32</v>
      </c>
      <c r="I16">
        <v>20</v>
      </c>
      <c r="J16">
        <v>151</v>
      </c>
      <c r="L16" t="s">
        <v>179</v>
      </c>
      <c r="M16">
        <f>SUM(E6:E7)</f>
        <v>10611458</v>
      </c>
      <c r="O16" t="s">
        <v>152</v>
      </c>
      <c r="P16">
        <f>SUM(E50:E51)</f>
        <v>37510744</v>
      </c>
    </row>
    <row r="17" spans="1:16" x14ac:dyDescent="0.3">
      <c r="A17" t="s">
        <v>9</v>
      </c>
      <c r="B17" t="s">
        <v>25</v>
      </c>
      <c r="C17" t="s">
        <v>29</v>
      </c>
      <c r="D17">
        <v>1</v>
      </c>
      <c r="E17">
        <v>5649521</v>
      </c>
      <c r="F17">
        <v>405.5</v>
      </c>
      <c r="G17">
        <v>0</v>
      </c>
      <c r="H17">
        <v>32</v>
      </c>
      <c r="I17">
        <v>20</v>
      </c>
      <c r="J17">
        <v>149</v>
      </c>
      <c r="L17" t="s">
        <v>180</v>
      </c>
      <c r="M17">
        <f>SUM(E8:E9)</f>
        <v>9784810</v>
      </c>
      <c r="O17" t="s">
        <v>153</v>
      </c>
      <c r="P17">
        <f>SUM(E52:E53)</f>
        <v>24628026</v>
      </c>
    </row>
    <row r="18" spans="1:16" x14ac:dyDescent="0.3">
      <c r="A18" t="s">
        <v>9</v>
      </c>
      <c r="B18" t="s">
        <v>25</v>
      </c>
      <c r="C18" t="s">
        <v>30</v>
      </c>
      <c r="D18">
        <v>1</v>
      </c>
      <c r="E18">
        <v>4818481</v>
      </c>
      <c r="F18">
        <v>322</v>
      </c>
      <c r="G18">
        <v>0</v>
      </c>
      <c r="H18">
        <v>33</v>
      </c>
      <c r="I18">
        <v>20</v>
      </c>
      <c r="J18">
        <v>151</v>
      </c>
      <c r="L18" t="s">
        <v>181</v>
      </c>
      <c r="M18">
        <f>SUM(E10:E11)</f>
        <v>10088050</v>
      </c>
      <c r="O18" t="s">
        <v>154</v>
      </c>
      <c r="P18">
        <f>SUM(E54:E55)</f>
        <v>68931846</v>
      </c>
    </row>
    <row r="19" spans="1:16" x14ac:dyDescent="0.3">
      <c r="A19" t="s">
        <v>9</v>
      </c>
      <c r="B19" t="s">
        <v>25</v>
      </c>
      <c r="C19" t="s">
        <v>31</v>
      </c>
      <c r="D19">
        <v>1</v>
      </c>
      <c r="E19">
        <v>4818481</v>
      </c>
      <c r="F19">
        <v>320.60000000000002</v>
      </c>
      <c r="G19">
        <v>0</v>
      </c>
      <c r="H19">
        <v>32</v>
      </c>
      <c r="I19">
        <v>20</v>
      </c>
      <c r="J19">
        <v>149</v>
      </c>
      <c r="L19" t="s">
        <v>182</v>
      </c>
      <c r="M19">
        <f>SUM(E12:E13)</f>
        <v>10184018</v>
      </c>
      <c r="O19" t="s">
        <v>155</v>
      </c>
      <c r="P19">
        <f>SUM(E56:E57)</f>
        <v>26126712</v>
      </c>
    </row>
    <row r="20" spans="1:16" x14ac:dyDescent="0.3">
      <c r="A20" t="s">
        <v>9</v>
      </c>
      <c r="B20" t="s">
        <v>25</v>
      </c>
      <c r="C20" t="s">
        <v>32</v>
      </c>
      <c r="D20">
        <v>1</v>
      </c>
      <c r="E20">
        <v>5033519</v>
      </c>
      <c r="F20">
        <v>339.6</v>
      </c>
      <c r="G20">
        <v>0</v>
      </c>
      <c r="H20">
        <v>33</v>
      </c>
      <c r="I20">
        <v>20</v>
      </c>
      <c r="J20">
        <v>151</v>
      </c>
      <c r="L20" t="s">
        <v>183</v>
      </c>
      <c r="M20">
        <f>SUM(E14:E15)</f>
        <v>9542976</v>
      </c>
      <c r="O20" t="s">
        <v>156</v>
      </c>
      <c r="P20">
        <f>SUM(E58:E59)</f>
        <v>17664440</v>
      </c>
    </row>
    <row r="21" spans="1:16" x14ac:dyDescent="0.3">
      <c r="A21" t="s">
        <v>9</v>
      </c>
      <c r="B21" t="s">
        <v>25</v>
      </c>
      <c r="C21" t="s">
        <v>33</v>
      </c>
      <c r="D21">
        <v>1</v>
      </c>
      <c r="E21">
        <v>5033519</v>
      </c>
      <c r="F21">
        <v>336.7</v>
      </c>
      <c r="G21">
        <v>0</v>
      </c>
      <c r="H21">
        <v>33</v>
      </c>
      <c r="I21">
        <v>20</v>
      </c>
      <c r="J21">
        <v>149</v>
      </c>
      <c r="L21" t="s">
        <v>184</v>
      </c>
      <c r="M21">
        <f>SUM(E16:E17)</f>
        <v>11299042</v>
      </c>
      <c r="O21" t="s">
        <v>157</v>
      </c>
      <c r="P21">
        <f>SUM(E60:E61)</f>
        <v>15996662</v>
      </c>
    </row>
    <row r="22" spans="1:16" x14ac:dyDescent="0.3">
      <c r="A22" t="s">
        <v>9</v>
      </c>
      <c r="B22" t="s">
        <v>34</v>
      </c>
      <c r="C22" t="s">
        <v>35</v>
      </c>
      <c r="D22">
        <v>1</v>
      </c>
      <c r="E22">
        <v>6246043</v>
      </c>
      <c r="F22">
        <v>428.8</v>
      </c>
      <c r="G22">
        <v>0</v>
      </c>
      <c r="H22">
        <v>33</v>
      </c>
      <c r="I22">
        <v>20</v>
      </c>
      <c r="J22">
        <v>151</v>
      </c>
      <c r="L22" t="s">
        <v>185</v>
      </c>
      <c r="M22">
        <f>SUM(E18:E19)</f>
        <v>9636962</v>
      </c>
      <c r="O22" t="s">
        <v>158</v>
      </c>
      <c r="P22">
        <f>SUM(E62:E63)</f>
        <v>20731212</v>
      </c>
    </row>
    <row r="23" spans="1:16" x14ac:dyDescent="0.3">
      <c r="A23" t="s">
        <v>9</v>
      </c>
      <c r="B23" t="s">
        <v>34</v>
      </c>
      <c r="C23" t="s">
        <v>36</v>
      </c>
      <c r="D23">
        <v>1</v>
      </c>
      <c r="E23">
        <v>6246043</v>
      </c>
      <c r="F23">
        <v>426.8</v>
      </c>
      <c r="G23">
        <v>0</v>
      </c>
      <c r="H23">
        <v>33</v>
      </c>
      <c r="I23">
        <v>20</v>
      </c>
      <c r="J23">
        <v>149</v>
      </c>
      <c r="L23" t="s">
        <v>186</v>
      </c>
      <c r="M23">
        <f>SUM(E20:E21)</f>
        <v>10067038</v>
      </c>
      <c r="O23" t="s">
        <v>161</v>
      </c>
      <c r="P23">
        <f>SUM(E64:E65)</f>
        <v>48412544</v>
      </c>
    </row>
    <row r="24" spans="1:16" x14ac:dyDescent="0.3">
      <c r="A24" t="s">
        <v>9</v>
      </c>
      <c r="B24" t="s">
        <v>34</v>
      </c>
      <c r="C24" t="s">
        <v>37</v>
      </c>
      <c r="D24">
        <v>1</v>
      </c>
      <c r="E24">
        <v>4913891</v>
      </c>
      <c r="F24">
        <v>332.2</v>
      </c>
      <c r="G24">
        <v>0</v>
      </c>
      <c r="H24">
        <v>33</v>
      </c>
      <c r="I24">
        <v>20</v>
      </c>
      <c r="J24">
        <v>151</v>
      </c>
      <c r="L24" t="s">
        <v>187</v>
      </c>
      <c r="M24">
        <f>SUM(E22:E23)</f>
        <v>12492086</v>
      </c>
      <c r="O24" t="s">
        <v>159</v>
      </c>
      <c r="P24">
        <f>SUM(E66:E67)</f>
        <v>34044038</v>
      </c>
    </row>
    <row r="25" spans="1:16" x14ac:dyDescent="0.3">
      <c r="A25" t="s">
        <v>9</v>
      </c>
      <c r="B25" t="s">
        <v>34</v>
      </c>
      <c r="C25" t="s">
        <v>38</v>
      </c>
      <c r="D25">
        <v>1</v>
      </c>
      <c r="E25">
        <v>4913891</v>
      </c>
      <c r="F25">
        <v>328.8</v>
      </c>
      <c r="G25">
        <v>0</v>
      </c>
      <c r="H25">
        <v>33</v>
      </c>
      <c r="I25">
        <v>20</v>
      </c>
      <c r="J25">
        <v>149</v>
      </c>
      <c r="L25" t="s">
        <v>188</v>
      </c>
      <c r="M25">
        <f>SUM(E24:E25)</f>
        <v>9827782</v>
      </c>
      <c r="O25" t="s">
        <v>160</v>
      </c>
      <c r="P25">
        <f>SUM(E68:E69)</f>
        <v>25210244</v>
      </c>
    </row>
    <row r="26" spans="1:16" x14ac:dyDescent="0.3">
      <c r="A26" t="s">
        <v>9</v>
      </c>
      <c r="B26" t="s">
        <v>34</v>
      </c>
      <c r="C26" t="s">
        <v>39</v>
      </c>
      <c r="D26">
        <v>1</v>
      </c>
      <c r="E26">
        <v>6147115</v>
      </c>
      <c r="F26">
        <v>423.3</v>
      </c>
      <c r="G26">
        <v>0</v>
      </c>
      <c r="H26">
        <v>32</v>
      </c>
      <c r="I26">
        <v>20</v>
      </c>
      <c r="J26">
        <v>151</v>
      </c>
      <c r="L26" t="s">
        <v>189</v>
      </c>
      <c r="M26">
        <f>SUM(E26:E27)</f>
        <v>12294230</v>
      </c>
      <c r="O26" s="2" t="s">
        <v>117</v>
      </c>
      <c r="P26">
        <f>AVERAGE(P14:P25)</f>
        <v>31535060</v>
      </c>
    </row>
    <row r="27" spans="1:16" x14ac:dyDescent="0.3">
      <c r="A27" t="s">
        <v>9</v>
      </c>
      <c r="B27" t="s">
        <v>34</v>
      </c>
      <c r="C27" t="s">
        <v>40</v>
      </c>
      <c r="D27">
        <v>1</v>
      </c>
      <c r="E27">
        <v>6147115</v>
      </c>
      <c r="F27">
        <v>418.9</v>
      </c>
      <c r="G27">
        <v>0</v>
      </c>
      <c r="H27">
        <v>32</v>
      </c>
      <c r="I27">
        <v>20</v>
      </c>
      <c r="J27">
        <v>149</v>
      </c>
      <c r="L27" t="s">
        <v>190</v>
      </c>
      <c r="M27">
        <f>SUM(E28:E29)</f>
        <v>9350400</v>
      </c>
      <c r="O27" s="2" t="s">
        <v>225</v>
      </c>
      <c r="P27">
        <f>_xlfn.STDEV.S(P14:P25)</f>
        <v>15370014.400480034</v>
      </c>
    </row>
    <row r="28" spans="1:16" x14ac:dyDescent="0.3">
      <c r="A28" t="s">
        <v>9</v>
      </c>
      <c r="B28" t="s">
        <v>34</v>
      </c>
      <c r="C28" t="s">
        <v>41</v>
      </c>
      <c r="D28">
        <v>1</v>
      </c>
      <c r="E28">
        <v>4675200</v>
      </c>
      <c r="F28">
        <v>338</v>
      </c>
      <c r="G28">
        <v>0</v>
      </c>
      <c r="H28">
        <v>32</v>
      </c>
      <c r="I28">
        <v>20</v>
      </c>
      <c r="J28">
        <v>151</v>
      </c>
      <c r="L28" t="s">
        <v>191</v>
      </c>
      <c r="M28">
        <f>SUM(E30:E31)</f>
        <v>10502438</v>
      </c>
      <c r="O28" s="2" t="s">
        <v>226</v>
      </c>
      <c r="P28">
        <f>P27/SQRT(12)</f>
        <v>4436940.9757827865</v>
      </c>
    </row>
    <row r="29" spans="1:16" x14ac:dyDescent="0.3">
      <c r="A29" t="s">
        <v>9</v>
      </c>
      <c r="B29" t="s">
        <v>34</v>
      </c>
      <c r="C29" t="s">
        <v>42</v>
      </c>
      <c r="D29">
        <v>1</v>
      </c>
      <c r="E29">
        <v>4675200</v>
      </c>
      <c r="F29">
        <v>335.7</v>
      </c>
      <c r="G29">
        <v>0</v>
      </c>
      <c r="H29">
        <v>32</v>
      </c>
      <c r="I29">
        <v>20</v>
      </c>
      <c r="J29">
        <v>149</v>
      </c>
      <c r="L29" t="s">
        <v>192</v>
      </c>
      <c r="M29">
        <f>SUM(E32:E33)</f>
        <v>9539248</v>
      </c>
    </row>
    <row r="30" spans="1:16" x14ac:dyDescent="0.3">
      <c r="A30" t="s">
        <v>43</v>
      </c>
      <c r="B30" t="s">
        <v>25</v>
      </c>
      <c r="C30" t="s">
        <v>44</v>
      </c>
      <c r="D30">
        <v>1</v>
      </c>
      <c r="E30">
        <v>5251219</v>
      </c>
      <c r="F30">
        <v>358.5</v>
      </c>
      <c r="G30">
        <v>0</v>
      </c>
      <c r="H30">
        <v>32</v>
      </c>
      <c r="I30">
        <v>20</v>
      </c>
      <c r="J30">
        <v>151</v>
      </c>
      <c r="L30" t="s">
        <v>193</v>
      </c>
      <c r="M30">
        <f>SUM(E34:E35)</f>
        <v>14766162</v>
      </c>
      <c r="O30" s="2" t="s">
        <v>146</v>
      </c>
    </row>
    <row r="31" spans="1:16" x14ac:dyDescent="0.3">
      <c r="A31" t="s">
        <v>43</v>
      </c>
      <c r="B31" t="s">
        <v>25</v>
      </c>
      <c r="C31" t="s">
        <v>45</v>
      </c>
      <c r="D31">
        <v>1</v>
      </c>
      <c r="E31">
        <v>5251219</v>
      </c>
      <c r="F31">
        <v>355.4</v>
      </c>
      <c r="G31">
        <v>0</v>
      </c>
      <c r="H31">
        <v>32</v>
      </c>
      <c r="I31">
        <v>20</v>
      </c>
      <c r="J31">
        <v>149</v>
      </c>
      <c r="L31" t="s">
        <v>194</v>
      </c>
      <c r="M31">
        <f>SUM(E36:E37)</f>
        <v>10132036</v>
      </c>
      <c r="O31" t="s">
        <v>110</v>
      </c>
      <c r="P31">
        <f>SUM(E70:E71)</f>
        <v>58316470</v>
      </c>
    </row>
    <row r="32" spans="1:16" x14ac:dyDescent="0.3">
      <c r="A32" t="s">
        <v>43</v>
      </c>
      <c r="B32" t="s">
        <v>25</v>
      </c>
      <c r="C32" t="s">
        <v>46</v>
      </c>
      <c r="D32">
        <v>1</v>
      </c>
      <c r="E32">
        <v>4769624</v>
      </c>
      <c r="F32">
        <v>356.3</v>
      </c>
      <c r="G32">
        <v>0</v>
      </c>
      <c r="H32">
        <v>32</v>
      </c>
      <c r="I32">
        <v>20</v>
      </c>
      <c r="J32">
        <v>151</v>
      </c>
      <c r="L32" t="s">
        <v>195</v>
      </c>
      <c r="M32">
        <f>SUM(E38:E39)</f>
        <v>9622384</v>
      </c>
      <c r="O32" t="s">
        <v>111</v>
      </c>
      <c r="P32">
        <f>SUM(E72:E73)</f>
        <v>58674994</v>
      </c>
    </row>
    <row r="33" spans="1:16" x14ac:dyDescent="0.3">
      <c r="A33" t="s">
        <v>43</v>
      </c>
      <c r="B33" t="s">
        <v>25</v>
      </c>
      <c r="C33" t="s">
        <v>47</v>
      </c>
      <c r="D33">
        <v>1</v>
      </c>
      <c r="E33">
        <v>4769624</v>
      </c>
      <c r="F33">
        <v>354.1</v>
      </c>
      <c r="G33">
        <v>0</v>
      </c>
      <c r="H33">
        <v>31</v>
      </c>
      <c r="I33">
        <v>20</v>
      </c>
      <c r="J33">
        <v>149</v>
      </c>
      <c r="L33" t="s">
        <v>196</v>
      </c>
      <c r="M33">
        <f>SUM(E40:E41)</f>
        <v>10060296</v>
      </c>
      <c r="O33" t="s">
        <v>108</v>
      </c>
      <c r="P33">
        <f>SUM(E74:E75)</f>
        <v>57325270</v>
      </c>
    </row>
    <row r="34" spans="1:16" x14ac:dyDescent="0.3">
      <c r="A34" t="s">
        <v>43</v>
      </c>
      <c r="B34" t="s">
        <v>25</v>
      </c>
      <c r="C34" t="s">
        <v>48</v>
      </c>
      <c r="D34">
        <v>1</v>
      </c>
      <c r="E34">
        <v>7383081</v>
      </c>
      <c r="F34">
        <v>545.79999999999995</v>
      </c>
      <c r="G34">
        <v>0</v>
      </c>
      <c r="H34">
        <v>32</v>
      </c>
      <c r="I34">
        <v>20</v>
      </c>
      <c r="J34">
        <v>151</v>
      </c>
      <c r="L34" t="s">
        <v>197</v>
      </c>
      <c r="M34">
        <f>SUM(E42:E43)</f>
        <v>9876516</v>
      </c>
      <c r="O34" t="s">
        <v>109</v>
      </c>
      <c r="P34">
        <f>SUM(E76:E77)</f>
        <v>59792434</v>
      </c>
    </row>
    <row r="35" spans="1:16" x14ac:dyDescent="0.3">
      <c r="A35" t="s">
        <v>43</v>
      </c>
      <c r="B35" t="s">
        <v>25</v>
      </c>
      <c r="C35" t="s">
        <v>49</v>
      </c>
      <c r="D35">
        <v>1</v>
      </c>
      <c r="E35">
        <v>7383081</v>
      </c>
      <c r="F35">
        <v>542.4</v>
      </c>
      <c r="G35">
        <v>0</v>
      </c>
      <c r="H35">
        <v>31</v>
      </c>
      <c r="I35">
        <v>20</v>
      </c>
      <c r="J35">
        <v>149</v>
      </c>
      <c r="L35" t="s">
        <v>198</v>
      </c>
      <c r="M35">
        <f>SUM(E44:E45)</f>
        <v>9793594</v>
      </c>
      <c r="O35" s="2" t="s">
        <v>117</v>
      </c>
      <c r="P35">
        <f>AVERAGE(P31:P34)</f>
        <v>58527292</v>
      </c>
    </row>
    <row r="36" spans="1:16" x14ac:dyDescent="0.3">
      <c r="A36" t="s">
        <v>43</v>
      </c>
      <c r="B36" t="s">
        <v>25</v>
      </c>
      <c r="C36" t="s">
        <v>50</v>
      </c>
      <c r="D36">
        <v>1</v>
      </c>
      <c r="E36">
        <v>5066018</v>
      </c>
      <c r="F36">
        <v>316.3</v>
      </c>
      <c r="G36">
        <v>0</v>
      </c>
      <c r="H36">
        <v>34</v>
      </c>
      <c r="I36">
        <v>20</v>
      </c>
      <c r="J36">
        <v>151</v>
      </c>
      <c r="L36" s="2" t="s">
        <v>117</v>
      </c>
      <c r="M36">
        <f>AVERAGE(M14:M35)</f>
        <v>10474390.727272727</v>
      </c>
      <c r="O36" s="2" t="s">
        <v>225</v>
      </c>
      <c r="P36">
        <f>_xlfn.STDEV.S(P31:P34)</f>
        <v>1018447.0146806852</v>
      </c>
    </row>
    <row r="37" spans="1:16" x14ac:dyDescent="0.3">
      <c r="A37" t="s">
        <v>43</v>
      </c>
      <c r="B37" t="s">
        <v>25</v>
      </c>
      <c r="C37" t="s">
        <v>51</v>
      </c>
      <c r="D37">
        <v>1</v>
      </c>
      <c r="E37">
        <v>5066018</v>
      </c>
      <c r="F37">
        <v>313.39999999999998</v>
      </c>
      <c r="G37">
        <v>0</v>
      </c>
      <c r="H37">
        <v>33</v>
      </c>
      <c r="I37">
        <v>20</v>
      </c>
      <c r="J37">
        <v>149</v>
      </c>
      <c r="L37" s="2" t="s">
        <v>202</v>
      </c>
      <c r="M37">
        <f>_xlfn.STDEV.S(M14:M35)</f>
        <v>1271738.1072455149</v>
      </c>
      <c r="O37" s="2" t="s">
        <v>226</v>
      </c>
      <c r="P37">
        <f>P36/SQRT(4)</f>
        <v>509223.50734034262</v>
      </c>
    </row>
    <row r="38" spans="1:16" x14ac:dyDescent="0.3">
      <c r="A38" t="s">
        <v>43</v>
      </c>
      <c r="B38" t="s">
        <v>34</v>
      </c>
      <c r="C38" t="s">
        <v>52</v>
      </c>
      <c r="D38">
        <v>1</v>
      </c>
      <c r="E38">
        <v>4811192</v>
      </c>
      <c r="F38">
        <v>316.60000000000002</v>
      </c>
      <c r="G38">
        <v>0</v>
      </c>
      <c r="H38">
        <v>34</v>
      </c>
      <c r="I38">
        <v>20</v>
      </c>
      <c r="J38">
        <v>151</v>
      </c>
      <c r="L38" s="2" t="s">
        <v>203</v>
      </c>
      <c r="M38">
        <f>M37/SQRT(22)</f>
        <v>271135.47548147186</v>
      </c>
    </row>
    <row r="39" spans="1:16" x14ac:dyDescent="0.3">
      <c r="A39" t="s">
        <v>43</v>
      </c>
      <c r="B39" t="s">
        <v>34</v>
      </c>
      <c r="C39" t="s">
        <v>53</v>
      </c>
      <c r="D39">
        <v>1</v>
      </c>
      <c r="E39">
        <v>4811192</v>
      </c>
      <c r="F39">
        <v>314</v>
      </c>
      <c r="G39">
        <v>0</v>
      </c>
      <c r="H39">
        <v>33</v>
      </c>
      <c r="I39">
        <v>20</v>
      </c>
      <c r="J39">
        <v>149</v>
      </c>
    </row>
    <row r="40" spans="1:16" x14ac:dyDescent="0.3">
      <c r="A40" t="s">
        <v>43</v>
      </c>
      <c r="B40" t="s">
        <v>34</v>
      </c>
      <c r="C40" t="s">
        <v>54</v>
      </c>
      <c r="D40">
        <v>1</v>
      </c>
      <c r="E40">
        <v>5030148</v>
      </c>
      <c r="F40">
        <v>351.7</v>
      </c>
      <c r="G40">
        <v>0</v>
      </c>
      <c r="H40">
        <v>33</v>
      </c>
      <c r="I40">
        <v>20</v>
      </c>
      <c r="J40">
        <v>151</v>
      </c>
    </row>
    <row r="41" spans="1:16" x14ac:dyDescent="0.3">
      <c r="A41" t="s">
        <v>43</v>
      </c>
      <c r="B41" t="s">
        <v>34</v>
      </c>
      <c r="C41" t="s">
        <v>55</v>
      </c>
      <c r="D41">
        <v>1</v>
      </c>
      <c r="E41">
        <v>5030148</v>
      </c>
      <c r="F41">
        <v>349.3</v>
      </c>
      <c r="G41">
        <v>0</v>
      </c>
      <c r="H41">
        <v>33</v>
      </c>
      <c r="I41">
        <v>20</v>
      </c>
      <c r="J41">
        <v>149</v>
      </c>
      <c r="M41" s="2"/>
    </row>
    <row r="42" spans="1:16" x14ac:dyDescent="0.3">
      <c r="A42" t="s">
        <v>43</v>
      </c>
      <c r="B42" t="s">
        <v>34</v>
      </c>
      <c r="C42" t="s">
        <v>56</v>
      </c>
      <c r="D42">
        <v>1</v>
      </c>
      <c r="E42">
        <v>4938258</v>
      </c>
      <c r="F42">
        <v>332.4</v>
      </c>
      <c r="G42">
        <v>0</v>
      </c>
      <c r="H42">
        <v>33</v>
      </c>
      <c r="I42">
        <v>20</v>
      </c>
      <c r="J42">
        <v>151</v>
      </c>
      <c r="M42" s="2"/>
    </row>
    <row r="43" spans="1:16" x14ac:dyDescent="0.3">
      <c r="A43" t="s">
        <v>43</v>
      </c>
      <c r="B43" t="s">
        <v>34</v>
      </c>
      <c r="C43" t="s">
        <v>57</v>
      </c>
      <c r="D43">
        <v>1</v>
      </c>
      <c r="E43">
        <v>4938258</v>
      </c>
      <c r="F43">
        <v>329.7</v>
      </c>
      <c r="G43">
        <v>0</v>
      </c>
      <c r="H43">
        <v>33</v>
      </c>
      <c r="I43">
        <v>20</v>
      </c>
      <c r="J43">
        <v>149</v>
      </c>
    </row>
    <row r="44" spans="1:16" x14ac:dyDescent="0.3">
      <c r="A44" t="s">
        <v>43</v>
      </c>
      <c r="B44" t="s">
        <v>34</v>
      </c>
      <c r="C44" t="s">
        <v>58</v>
      </c>
      <c r="D44">
        <v>1</v>
      </c>
      <c r="E44">
        <v>4896797</v>
      </c>
      <c r="F44">
        <v>343.7</v>
      </c>
      <c r="G44">
        <v>0</v>
      </c>
      <c r="H44">
        <v>33</v>
      </c>
      <c r="I44">
        <v>20</v>
      </c>
      <c r="J44">
        <v>151</v>
      </c>
    </row>
    <row r="45" spans="1:16" x14ac:dyDescent="0.3">
      <c r="A45" t="s">
        <v>43</v>
      </c>
      <c r="B45" t="s">
        <v>34</v>
      </c>
      <c r="C45" t="s">
        <v>59</v>
      </c>
      <c r="D45">
        <v>1</v>
      </c>
      <c r="E45">
        <v>4896797</v>
      </c>
      <c r="F45">
        <v>340.3</v>
      </c>
      <c r="G45">
        <v>0</v>
      </c>
      <c r="H45">
        <v>32</v>
      </c>
      <c r="I45">
        <v>20</v>
      </c>
      <c r="J45">
        <v>149</v>
      </c>
    </row>
    <row r="46" spans="1:16" x14ac:dyDescent="0.3">
      <c r="A46" t="s">
        <v>9</v>
      </c>
      <c r="B46" t="s">
        <v>10</v>
      </c>
      <c r="C46" t="s">
        <v>151</v>
      </c>
      <c r="D46">
        <v>2</v>
      </c>
      <c r="E46">
        <v>19767135</v>
      </c>
      <c r="F46" t="s">
        <v>204</v>
      </c>
      <c r="G46">
        <v>0</v>
      </c>
      <c r="H46">
        <v>35</v>
      </c>
      <c r="I46">
        <v>20</v>
      </c>
      <c r="J46">
        <v>151</v>
      </c>
    </row>
    <row r="47" spans="1:16" x14ac:dyDescent="0.3">
      <c r="A47" t="s">
        <v>9</v>
      </c>
      <c r="B47" t="s">
        <v>10</v>
      </c>
      <c r="C47" t="s">
        <v>151</v>
      </c>
      <c r="D47">
        <v>2</v>
      </c>
      <c r="E47">
        <v>19767135</v>
      </c>
      <c r="F47" t="s">
        <v>204</v>
      </c>
      <c r="G47">
        <v>0</v>
      </c>
      <c r="H47">
        <v>35</v>
      </c>
      <c r="I47">
        <v>20</v>
      </c>
      <c r="J47">
        <v>149</v>
      </c>
    </row>
    <row r="48" spans="1:16" x14ac:dyDescent="0.3">
      <c r="A48" t="s">
        <v>9</v>
      </c>
      <c r="B48" t="s">
        <v>10</v>
      </c>
      <c r="C48" t="s">
        <v>150</v>
      </c>
      <c r="D48">
        <v>2</v>
      </c>
      <c r="E48">
        <v>9814991</v>
      </c>
      <c r="F48" t="s">
        <v>205</v>
      </c>
      <c r="G48">
        <v>0</v>
      </c>
      <c r="H48">
        <v>35</v>
      </c>
      <c r="I48">
        <v>20</v>
      </c>
      <c r="J48">
        <v>151</v>
      </c>
    </row>
    <row r="49" spans="1:10" x14ac:dyDescent="0.3">
      <c r="A49" t="s">
        <v>9</v>
      </c>
      <c r="B49" t="s">
        <v>10</v>
      </c>
      <c r="C49" t="s">
        <v>150</v>
      </c>
      <c r="D49">
        <v>2</v>
      </c>
      <c r="E49">
        <v>9814991</v>
      </c>
      <c r="F49" t="s">
        <v>206</v>
      </c>
      <c r="G49">
        <v>0</v>
      </c>
      <c r="H49">
        <v>35</v>
      </c>
      <c r="I49">
        <v>20</v>
      </c>
      <c r="J49">
        <v>149</v>
      </c>
    </row>
    <row r="50" spans="1:10" x14ac:dyDescent="0.3">
      <c r="A50" t="s">
        <v>9</v>
      </c>
      <c r="B50" t="s">
        <v>15</v>
      </c>
      <c r="C50" t="s">
        <v>152</v>
      </c>
      <c r="D50">
        <v>2</v>
      </c>
      <c r="E50">
        <v>18755372</v>
      </c>
      <c r="F50" t="s">
        <v>207</v>
      </c>
      <c r="G50">
        <v>0</v>
      </c>
      <c r="H50">
        <v>35</v>
      </c>
      <c r="I50">
        <v>20</v>
      </c>
      <c r="J50">
        <v>151</v>
      </c>
    </row>
    <row r="51" spans="1:10" x14ac:dyDescent="0.3">
      <c r="A51" t="s">
        <v>9</v>
      </c>
      <c r="B51" t="s">
        <v>15</v>
      </c>
      <c r="C51" t="s">
        <v>152</v>
      </c>
      <c r="D51">
        <v>2</v>
      </c>
      <c r="E51">
        <v>18755372</v>
      </c>
      <c r="F51" t="s">
        <v>208</v>
      </c>
      <c r="G51">
        <v>0</v>
      </c>
      <c r="H51">
        <v>36</v>
      </c>
      <c r="I51">
        <v>20</v>
      </c>
      <c r="J51">
        <v>149</v>
      </c>
    </row>
    <row r="52" spans="1:10" x14ac:dyDescent="0.3">
      <c r="A52" t="s">
        <v>9</v>
      </c>
      <c r="B52" t="s">
        <v>15</v>
      </c>
      <c r="C52" t="s">
        <v>153</v>
      </c>
      <c r="D52">
        <v>2</v>
      </c>
      <c r="E52">
        <v>12314013</v>
      </c>
      <c r="F52" t="s">
        <v>209</v>
      </c>
      <c r="G52">
        <v>0</v>
      </c>
      <c r="H52">
        <v>37</v>
      </c>
      <c r="I52">
        <v>20</v>
      </c>
      <c r="J52">
        <v>151</v>
      </c>
    </row>
    <row r="53" spans="1:10" x14ac:dyDescent="0.3">
      <c r="A53" t="s">
        <v>9</v>
      </c>
      <c r="B53" t="s">
        <v>15</v>
      </c>
      <c r="C53" t="s">
        <v>153</v>
      </c>
      <c r="D53">
        <v>2</v>
      </c>
      <c r="E53">
        <v>12314013</v>
      </c>
      <c r="F53" t="s">
        <v>210</v>
      </c>
      <c r="G53">
        <v>0</v>
      </c>
      <c r="H53">
        <v>37</v>
      </c>
      <c r="I53">
        <v>20</v>
      </c>
      <c r="J53">
        <v>149</v>
      </c>
    </row>
    <row r="54" spans="1:10" x14ac:dyDescent="0.3">
      <c r="A54" t="s">
        <v>9</v>
      </c>
      <c r="B54" t="s">
        <v>20</v>
      </c>
      <c r="C54" t="s">
        <v>154</v>
      </c>
      <c r="D54">
        <v>2</v>
      </c>
      <c r="E54">
        <v>34465923</v>
      </c>
      <c r="F54" t="s">
        <v>211</v>
      </c>
      <c r="G54">
        <v>0</v>
      </c>
      <c r="H54">
        <v>35</v>
      </c>
      <c r="I54">
        <v>20</v>
      </c>
      <c r="J54">
        <v>151</v>
      </c>
    </row>
    <row r="55" spans="1:10" x14ac:dyDescent="0.3">
      <c r="A55" t="s">
        <v>9</v>
      </c>
      <c r="B55" t="s">
        <v>20</v>
      </c>
      <c r="C55" t="s">
        <v>154</v>
      </c>
      <c r="D55">
        <v>2</v>
      </c>
      <c r="E55">
        <v>34465923</v>
      </c>
      <c r="F55" t="s">
        <v>211</v>
      </c>
      <c r="G55">
        <v>0</v>
      </c>
      <c r="H55">
        <v>36</v>
      </c>
      <c r="I55">
        <v>20</v>
      </c>
      <c r="J55">
        <v>149</v>
      </c>
    </row>
    <row r="56" spans="1:10" x14ac:dyDescent="0.3">
      <c r="A56" t="s">
        <v>9</v>
      </c>
      <c r="B56" t="s">
        <v>20</v>
      </c>
      <c r="C56" t="s">
        <v>155</v>
      </c>
      <c r="D56">
        <v>2</v>
      </c>
      <c r="E56">
        <v>13063356</v>
      </c>
      <c r="F56" t="s">
        <v>212</v>
      </c>
      <c r="G56">
        <v>0</v>
      </c>
      <c r="H56">
        <v>35</v>
      </c>
      <c r="I56">
        <v>20</v>
      </c>
      <c r="J56">
        <v>151</v>
      </c>
    </row>
    <row r="57" spans="1:10" x14ac:dyDescent="0.3">
      <c r="A57" t="s">
        <v>9</v>
      </c>
      <c r="B57" t="s">
        <v>20</v>
      </c>
      <c r="C57" t="s">
        <v>155</v>
      </c>
      <c r="D57">
        <v>2</v>
      </c>
      <c r="E57">
        <v>13063356</v>
      </c>
      <c r="F57" t="s">
        <v>213</v>
      </c>
      <c r="G57">
        <v>0</v>
      </c>
      <c r="H57">
        <v>36</v>
      </c>
      <c r="I57">
        <v>20</v>
      </c>
      <c r="J57">
        <v>149</v>
      </c>
    </row>
    <row r="58" spans="1:10" x14ac:dyDescent="0.3">
      <c r="A58" t="s">
        <v>43</v>
      </c>
      <c r="B58" t="s">
        <v>10</v>
      </c>
      <c r="C58" t="s">
        <v>156</v>
      </c>
      <c r="D58">
        <v>2</v>
      </c>
      <c r="E58">
        <v>8832220</v>
      </c>
      <c r="F58" t="s">
        <v>214</v>
      </c>
      <c r="G58">
        <v>0</v>
      </c>
      <c r="H58">
        <v>37</v>
      </c>
      <c r="I58">
        <v>20</v>
      </c>
      <c r="J58">
        <v>151</v>
      </c>
    </row>
    <row r="59" spans="1:10" x14ac:dyDescent="0.3">
      <c r="A59" t="s">
        <v>43</v>
      </c>
      <c r="B59" t="s">
        <v>10</v>
      </c>
      <c r="C59" t="s">
        <v>156</v>
      </c>
      <c r="D59">
        <v>2</v>
      </c>
      <c r="E59">
        <v>8832220</v>
      </c>
      <c r="F59" t="s">
        <v>215</v>
      </c>
      <c r="G59">
        <v>0</v>
      </c>
      <c r="H59">
        <v>38</v>
      </c>
      <c r="I59">
        <v>20</v>
      </c>
      <c r="J59">
        <v>149</v>
      </c>
    </row>
    <row r="60" spans="1:10" x14ac:dyDescent="0.3">
      <c r="A60" t="s">
        <v>43</v>
      </c>
      <c r="B60" t="s">
        <v>10</v>
      </c>
      <c r="C60" t="s">
        <v>157</v>
      </c>
      <c r="D60">
        <v>2</v>
      </c>
      <c r="E60">
        <v>7998331</v>
      </c>
      <c r="F60" t="s">
        <v>216</v>
      </c>
      <c r="G60">
        <v>0</v>
      </c>
      <c r="H60">
        <v>36</v>
      </c>
      <c r="I60">
        <v>20</v>
      </c>
      <c r="J60">
        <v>151</v>
      </c>
    </row>
    <row r="61" spans="1:10" x14ac:dyDescent="0.3">
      <c r="A61" t="s">
        <v>43</v>
      </c>
      <c r="B61" t="s">
        <v>10</v>
      </c>
      <c r="C61" t="s">
        <v>157</v>
      </c>
      <c r="D61">
        <v>2</v>
      </c>
      <c r="E61">
        <v>7998331</v>
      </c>
      <c r="F61" t="s">
        <v>217</v>
      </c>
      <c r="G61">
        <v>0</v>
      </c>
      <c r="H61">
        <v>36</v>
      </c>
      <c r="I61">
        <v>20</v>
      </c>
      <c r="J61">
        <v>149</v>
      </c>
    </row>
    <row r="62" spans="1:10" x14ac:dyDescent="0.3">
      <c r="A62" t="s">
        <v>43</v>
      </c>
      <c r="B62" t="s">
        <v>10</v>
      </c>
      <c r="C62" t="s">
        <v>158</v>
      </c>
      <c r="D62">
        <v>2</v>
      </c>
      <c r="E62">
        <v>10365606</v>
      </c>
      <c r="F62" t="s">
        <v>218</v>
      </c>
      <c r="G62">
        <v>0</v>
      </c>
      <c r="H62">
        <v>35</v>
      </c>
      <c r="I62">
        <v>20</v>
      </c>
      <c r="J62">
        <v>151</v>
      </c>
    </row>
    <row r="63" spans="1:10" x14ac:dyDescent="0.3">
      <c r="A63" t="s">
        <v>43</v>
      </c>
      <c r="B63" t="s">
        <v>10</v>
      </c>
      <c r="C63" t="s">
        <v>158</v>
      </c>
      <c r="D63">
        <v>2</v>
      </c>
      <c r="E63">
        <v>10365606</v>
      </c>
      <c r="F63" t="s">
        <v>219</v>
      </c>
      <c r="G63">
        <v>0</v>
      </c>
      <c r="H63">
        <v>36</v>
      </c>
      <c r="I63">
        <v>20</v>
      </c>
      <c r="J63">
        <v>149</v>
      </c>
    </row>
    <row r="64" spans="1:10" x14ac:dyDescent="0.3">
      <c r="A64" t="s">
        <v>43</v>
      </c>
      <c r="B64" t="s">
        <v>15</v>
      </c>
      <c r="C64" t="s">
        <v>161</v>
      </c>
      <c r="D64">
        <v>2</v>
      </c>
      <c r="E64">
        <v>24206272</v>
      </c>
      <c r="F64" t="s">
        <v>220</v>
      </c>
      <c r="G64">
        <v>0</v>
      </c>
      <c r="H64">
        <v>34</v>
      </c>
      <c r="I64">
        <v>20</v>
      </c>
      <c r="J64">
        <v>151</v>
      </c>
    </row>
    <row r="65" spans="1:12" x14ac:dyDescent="0.3">
      <c r="A65" t="s">
        <v>43</v>
      </c>
      <c r="B65" t="s">
        <v>15</v>
      </c>
      <c r="C65" t="s">
        <v>161</v>
      </c>
      <c r="D65">
        <v>2</v>
      </c>
      <c r="E65">
        <v>24206272</v>
      </c>
      <c r="F65" t="s">
        <v>220</v>
      </c>
      <c r="G65">
        <v>0</v>
      </c>
      <c r="H65">
        <v>35</v>
      </c>
      <c r="I65">
        <v>20</v>
      </c>
      <c r="J65">
        <v>149</v>
      </c>
    </row>
    <row r="66" spans="1:12" x14ac:dyDescent="0.3">
      <c r="A66" t="s">
        <v>43</v>
      </c>
      <c r="B66" t="s">
        <v>15</v>
      </c>
      <c r="C66" t="s">
        <v>159</v>
      </c>
      <c r="D66">
        <v>2</v>
      </c>
      <c r="E66">
        <v>17022019</v>
      </c>
      <c r="F66" t="s">
        <v>221</v>
      </c>
      <c r="G66">
        <v>0</v>
      </c>
      <c r="H66">
        <v>34</v>
      </c>
      <c r="I66">
        <v>20</v>
      </c>
      <c r="J66">
        <v>151</v>
      </c>
    </row>
    <row r="67" spans="1:12" x14ac:dyDescent="0.3">
      <c r="A67" t="s">
        <v>43</v>
      </c>
      <c r="B67" t="s">
        <v>15</v>
      </c>
      <c r="C67" t="s">
        <v>159</v>
      </c>
      <c r="D67">
        <v>2</v>
      </c>
      <c r="E67">
        <v>17022019</v>
      </c>
      <c r="F67" t="s">
        <v>222</v>
      </c>
      <c r="G67">
        <v>0</v>
      </c>
      <c r="H67">
        <v>35</v>
      </c>
      <c r="I67">
        <v>20</v>
      </c>
      <c r="J67">
        <v>149</v>
      </c>
    </row>
    <row r="68" spans="1:12" ht="15.6" x14ac:dyDescent="0.3">
      <c r="A68" t="s">
        <v>43</v>
      </c>
      <c r="B68" t="s">
        <v>15</v>
      </c>
      <c r="C68" t="s">
        <v>160</v>
      </c>
      <c r="D68">
        <v>2</v>
      </c>
      <c r="E68">
        <v>12605122</v>
      </c>
      <c r="F68" t="s">
        <v>223</v>
      </c>
      <c r="G68">
        <v>0</v>
      </c>
      <c r="H68">
        <v>35</v>
      </c>
      <c r="I68">
        <v>20</v>
      </c>
      <c r="J68">
        <v>151</v>
      </c>
      <c r="L68" s="10"/>
    </row>
    <row r="69" spans="1:12" ht="15.6" x14ac:dyDescent="0.3">
      <c r="A69" t="s">
        <v>43</v>
      </c>
      <c r="B69" t="s">
        <v>15</v>
      </c>
      <c r="C69" t="s">
        <v>160</v>
      </c>
      <c r="D69">
        <v>2</v>
      </c>
      <c r="E69">
        <v>12605122</v>
      </c>
      <c r="F69" t="s">
        <v>224</v>
      </c>
      <c r="G69">
        <v>0</v>
      </c>
      <c r="H69">
        <v>36</v>
      </c>
      <c r="I69">
        <v>20</v>
      </c>
      <c r="J69">
        <v>149</v>
      </c>
      <c r="L69" s="10"/>
    </row>
    <row r="70" spans="1:12" x14ac:dyDescent="0.3">
      <c r="A70" t="s">
        <v>9</v>
      </c>
      <c r="B70" t="s">
        <v>34</v>
      </c>
      <c r="C70" t="s">
        <v>110</v>
      </c>
      <c r="D70">
        <v>1</v>
      </c>
      <c r="E70">
        <v>29158235</v>
      </c>
      <c r="F70" t="s">
        <v>227</v>
      </c>
      <c r="G70">
        <v>0</v>
      </c>
      <c r="H70">
        <v>24</v>
      </c>
      <c r="I70">
        <v>20</v>
      </c>
      <c r="J70">
        <v>151</v>
      </c>
    </row>
    <row r="71" spans="1:12" x14ac:dyDescent="0.3">
      <c r="A71" t="s">
        <v>9</v>
      </c>
      <c r="B71" t="s">
        <v>34</v>
      </c>
      <c r="C71" t="s">
        <v>110</v>
      </c>
      <c r="D71">
        <v>1</v>
      </c>
      <c r="E71">
        <v>29158235</v>
      </c>
      <c r="F71" t="s">
        <v>227</v>
      </c>
      <c r="G71">
        <v>0</v>
      </c>
      <c r="H71">
        <v>26</v>
      </c>
      <c r="I71">
        <v>20</v>
      </c>
      <c r="J71">
        <v>149</v>
      </c>
    </row>
    <row r="72" spans="1:12" x14ac:dyDescent="0.3">
      <c r="A72" t="s">
        <v>9</v>
      </c>
      <c r="B72" t="s">
        <v>34</v>
      </c>
      <c r="C72" t="s">
        <v>111</v>
      </c>
      <c r="D72">
        <v>1</v>
      </c>
      <c r="E72">
        <v>29337497</v>
      </c>
      <c r="F72" t="s">
        <v>227</v>
      </c>
      <c r="G72">
        <v>0</v>
      </c>
      <c r="H72">
        <v>24</v>
      </c>
      <c r="I72">
        <v>20</v>
      </c>
      <c r="J72">
        <v>151</v>
      </c>
    </row>
    <row r="73" spans="1:12" x14ac:dyDescent="0.3">
      <c r="A73" t="s">
        <v>9</v>
      </c>
      <c r="B73" t="s">
        <v>34</v>
      </c>
      <c r="C73" t="s">
        <v>111</v>
      </c>
      <c r="D73">
        <v>1</v>
      </c>
      <c r="E73">
        <v>29337497</v>
      </c>
      <c r="F73" t="s">
        <v>227</v>
      </c>
      <c r="G73">
        <v>0</v>
      </c>
      <c r="H73">
        <v>26</v>
      </c>
      <c r="I73">
        <v>20</v>
      </c>
      <c r="J73">
        <v>149</v>
      </c>
    </row>
    <row r="74" spans="1:12" x14ac:dyDescent="0.3">
      <c r="A74" t="s">
        <v>9</v>
      </c>
      <c r="B74" t="s">
        <v>25</v>
      </c>
      <c r="C74" t="s">
        <v>108</v>
      </c>
      <c r="D74">
        <v>1</v>
      </c>
      <c r="E74">
        <v>28662635</v>
      </c>
      <c r="F74" t="s">
        <v>228</v>
      </c>
      <c r="G74">
        <v>0</v>
      </c>
      <c r="H74">
        <v>24</v>
      </c>
      <c r="I74">
        <v>20</v>
      </c>
      <c r="J74">
        <v>151</v>
      </c>
    </row>
    <row r="75" spans="1:12" x14ac:dyDescent="0.3">
      <c r="A75" t="s">
        <v>9</v>
      </c>
      <c r="B75" t="s">
        <v>25</v>
      </c>
      <c r="C75" t="s">
        <v>108</v>
      </c>
      <c r="D75">
        <v>1</v>
      </c>
      <c r="E75">
        <v>28662635</v>
      </c>
      <c r="F75" t="s">
        <v>228</v>
      </c>
      <c r="G75">
        <v>0</v>
      </c>
      <c r="H75">
        <v>26</v>
      </c>
      <c r="I75">
        <v>20</v>
      </c>
      <c r="J75">
        <v>149</v>
      </c>
    </row>
    <row r="76" spans="1:12" x14ac:dyDescent="0.3">
      <c r="A76" t="s">
        <v>9</v>
      </c>
      <c r="B76" t="s">
        <v>25</v>
      </c>
      <c r="C76" t="s">
        <v>109</v>
      </c>
      <c r="D76">
        <v>1</v>
      </c>
      <c r="E76">
        <v>29896217</v>
      </c>
      <c r="F76" t="s">
        <v>229</v>
      </c>
      <c r="G76">
        <v>0</v>
      </c>
      <c r="H76">
        <v>24</v>
      </c>
      <c r="I76">
        <v>20</v>
      </c>
      <c r="J76">
        <v>151</v>
      </c>
    </row>
    <row r="77" spans="1:12" x14ac:dyDescent="0.3">
      <c r="A77" t="s">
        <v>9</v>
      </c>
      <c r="B77" t="s">
        <v>25</v>
      </c>
      <c r="C77" t="s">
        <v>109</v>
      </c>
      <c r="D77">
        <v>1</v>
      </c>
      <c r="E77">
        <v>29896217</v>
      </c>
      <c r="F77" t="s">
        <v>229</v>
      </c>
      <c r="G77">
        <v>0</v>
      </c>
      <c r="H77">
        <v>27</v>
      </c>
      <c r="I77">
        <v>20</v>
      </c>
      <c r="J77">
        <v>149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F4474-AB4B-4509-BB39-EDE561C83DBC}">
  <dimension ref="A1:AE109"/>
  <sheetViews>
    <sheetView zoomScaleNormal="100" workbookViewId="0">
      <pane ySplit="1" topLeftCell="A2" activePane="bottomLeft" state="frozen"/>
      <selection pane="bottomLeft" activeCell="F104" sqref="F104"/>
    </sheetView>
  </sheetViews>
  <sheetFormatPr defaultRowHeight="14.4" x14ac:dyDescent="0.3"/>
  <cols>
    <col min="1" max="1" width="17.21875" bestFit="1" customWidth="1"/>
    <col min="2" max="2" width="15" bestFit="1" customWidth="1"/>
    <col min="3" max="3" width="16.88671875" bestFit="1" customWidth="1"/>
    <col min="4" max="4" width="25" bestFit="1" customWidth="1"/>
    <col min="5" max="5" width="23.5546875" bestFit="1" customWidth="1"/>
    <col min="6" max="6" width="22.44140625" bestFit="1" customWidth="1"/>
    <col min="7" max="8" width="15" bestFit="1" customWidth="1"/>
    <col min="9" max="9" width="13.77734375" bestFit="1" customWidth="1"/>
    <col min="10" max="10" width="20.5546875" bestFit="1" customWidth="1"/>
    <col min="11" max="11" width="13.5546875" bestFit="1" customWidth="1"/>
    <col min="12" max="12" width="20.44140625" bestFit="1" customWidth="1"/>
    <col min="13" max="13" width="8.77734375" bestFit="1" customWidth="1"/>
    <col min="14" max="14" width="15.5546875" bestFit="1" customWidth="1"/>
    <col min="15" max="15" width="10" bestFit="1" customWidth="1"/>
    <col min="16" max="16" width="21.88671875" bestFit="1" customWidth="1"/>
    <col min="17" max="17" width="16" bestFit="1" customWidth="1"/>
    <col min="18" max="18" width="23.44140625" bestFit="1" customWidth="1"/>
    <col min="19" max="20" width="9" bestFit="1" customWidth="1"/>
    <col min="21" max="21" width="10" bestFit="1" customWidth="1"/>
    <col min="22" max="22" width="16.88671875" bestFit="1" customWidth="1"/>
    <col min="23" max="23" width="16.77734375" bestFit="1" customWidth="1"/>
    <col min="24" max="24" width="16.21875" bestFit="1" customWidth="1"/>
  </cols>
  <sheetData>
    <row r="1" spans="1:26" s="2" customFormat="1" x14ac:dyDescent="0.3">
      <c r="A1" s="2" t="s">
        <v>87</v>
      </c>
      <c r="B1" s="2" t="s">
        <v>0</v>
      </c>
      <c r="C1" s="2" t="s">
        <v>1</v>
      </c>
      <c r="D1" s="2" t="s">
        <v>2</v>
      </c>
      <c r="E1" s="2" t="s">
        <v>162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76</v>
      </c>
      <c r="K1" s="2" t="s">
        <v>69</v>
      </c>
      <c r="L1" s="2" t="s">
        <v>77</v>
      </c>
      <c r="M1" s="2" t="s">
        <v>84</v>
      </c>
      <c r="N1" s="2" t="s">
        <v>140</v>
      </c>
      <c r="O1" s="2" t="s">
        <v>70</v>
      </c>
      <c r="P1" s="2" t="s">
        <v>81</v>
      </c>
      <c r="Q1" s="2" t="s">
        <v>71</v>
      </c>
      <c r="R1" s="2" t="s">
        <v>78</v>
      </c>
      <c r="S1" s="2" t="s">
        <v>72</v>
      </c>
      <c r="T1" s="2" t="s">
        <v>73</v>
      </c>
      <c r="U1" s="2" t="s">
        <v>74</v>
      </c>
      <c r="V1" s="2" t="s">
        <v>79</v>
      </c>
      <c r="W1" s="2" t="s">
        <v>99</v>
      </c>
      <c r="X1" s="2" t="s">
        <v>100</v>
      </c>
      <c r="Z1" s="2" t="s">
        <v>238</v>
      </c>
    </row>
    <row r="2" spans="1:26" s="5" customFormat="1" x14ac:dyDescent="0.3">
      <c r="A2" s="5" t="s">
        <v>141</v>
      </c>
      <c r="B2" s="5" t="s">
        <v>139</v>
      </c>
      <c r="C2" s="5" t="s">
        <v>10</v>
      </c>
      <c r="D2" s="5" t="s">
        <v>75</v>
      </c>
      <c r="E2" s="5">
        <v>1</v>
      </c>
      <c r="F2" s="5">
        <v>5520701</v>
      </c>
      <c r="G2" s="5">
        <v>3090694</v>
      </c>
      <c r="H2" s="6">
        <v>0.56000000000000005</v>
      </c>
    </row>
    <row r="3" spans="1:26" s="5" customFormat="1" x14ac:dyDescent="0.3">
      <c r="A3" s="5" t="s">
        <v>141</v>
      </c>
      <c r="B3" s="5" t="s">
        <v>139</v>
      </c>
      <c r="C3" s="5" t="s">
        <v>10</v>
      </c>
      <c r="D3" s="5" t="s">
        <v>80</v>
      </c>
      <c r="E3" s="5">
        <v>1</v>
      </c>
      <c r="F3" s="5">
        <v>4961173</v>
      </c>
      <c r="G3" s="5">
        <v>3030117</v>
      </c>
      <c r="H3" s="6">
        <v>0.61099999999999999</v>
      </c>
    </row>
    <row r="4" spans="1:26" s="5" customFormat="1" x14ac:dyDescent="0.3">
      <c r="A4" s="5" t="s">
        <v>141</v>
      </c>
      <c r="B4" s="5" t="s">
        <v>139</v>
      </c>
      <c r="C4" s="5" t="s">
        <v>15</v>
      </c>
      <c r="D4" s="5" t="s">
        <v>82</v>
      </c>
      <c r="E4" s="5">
        <v>1</v>
      </c>
      <c r="F4" s="5">
        <v>5305388</v>
      </c>
      <c r="G4" s="5">
        <v>2223477</v>
      </c>
      <c r="H4" s="6">
        <v>0.41899999999999998</v>
      </c>
    </row>
    <row r="5" spans="1:26" s="5" customFormat="1" x14ac:dyDescent="0.3">
      <c r="A5" s="5" t="s">
        <v>141</v>
      </c>
      <c r="B5" s="5" t="s">
        <v>139</v>
      </c>
      <c r="C5" s="5" t="s">
        <v>15</v>
      </c>
      <c r="D5" s="5" t="s">
        <v>83</v>
      </c>
      <c r="E5" s="5">
        <v>1</v>
      </c>
      <c r="F5" s="5">
        <v>4892203</v>
      </c>
      <c r="G5" s="5">
        <v>2362744</v>
      </c>
      <c r="H5" s="6">
        <v>0.48299999999999998</v>
      </c>
    </row>
    <row r="6" spans="1:26" s="5" customFormat="1" x14ac:dyDescent="0.3">
      <c r="A6" s="5" t="s">
        <v>141</v>
      </c>
      <c r="B6" s="5" t="s">
        <v>139</v>
      </c>
      <c r="C6" s="5" t="s">
        <v>20</v>
      </c>
      <c r="D6" s="5" t="s">
        <v>85</v>
      </c>
      <c r="E6" s="5">
        <v>1</v>
      </c>
      <c r="F6" s="5">
        <v>5043708</v>
      </c>
      <c r="G6" s="5">
        <v>2564056</v>
      </c>
      <c r="H6" s="6">
        <v>0.50800000000000001</v>
      </c>
    </row>
    <row r="7" spans="1:26" s="5" customFormat="1" x14ac:dyDescent="0.3">
      <c r="A7" s="5" t="s">
        <v>141</v>
      </c>
      <c r="B7" s="5" t="s">
        <v>139</v>
      </c>
      <c r="C7" s="5" t="s">
        <v>20</v>
      </c>
      <c r="D7" s="5" t="s">
        <v>86</v>
      </c>
      <c r="E7" s="5">
        <v>1</v>
      </c>
      <c r="F7" s="5">
        <v>5091785</v>
      </c>
      <c r="G7" s="5">
        <v>2619677</v>
      </c>
      <c r="H7" s="6">
        <v>0.51400000000000001</v>
      </c>
    </row>
    <row r="8" spans="1:26" s="5" customFormat="1" x14ac:dyDescent="0.3">
      <c r="A8" s="5" t="s">
        <v>141</v>
      </c>
      <c r="B8" s="5" t="s">
        <v>139</v>
      </c>
      <c r="C8" s="5" t="s">
        <v>25</v>
      </c>
      <c r="D8" s="5" t="s">
        <v>89</v>
      </c>
      <c r="E8" s="5">
        <v>1</v>
      </c>
      <c r="F8" s="5">
        <v>4771325</v>
      </c>
      <c r="G8" s="5">
        <v>2744043</v>
      </c>
      <c r="H8" s="6">
        <v>0.57499999999999996</v>
      </c>
    </row>
    <row r="9" spans="1:26" s="5" customFormat="1" x14ac:dyDescent="0.3">
      <c r="A9" s="5" t="s">
        <v>141</v>
      </c>
      <c r="B9" s="5" t="s">
        <v>139</v>
      </c>
      <c r="C9" s="5" t="s">
        <v>25</v>
      </c>
      <c r="D9" s="5" t="s">
        <v>90</v>
      </c>
      <c r="E9" s="5">
        <v>1</v>
      </c>
      <c r="F9" s="5">
        <v>5649344</v>
      </c>
      <c r="G9" s="5">
        <v>3289537</v>
      </c>
      <c r="H9" s="6">
        <v>0.58199999999999996</v>
      </c>
    </row>
    <row r="10" spans="1:26" s="5" customFormat="1" x14ac:dyDescent="0.3">
      <c r="A10" s="5" t="s">
        <v>141</v>
      </c>
      <c r="B10" s="5" t="s">
        <v>139</v>
      </c>
      <c r="C10" s="5" t="s">
        <v>25</v>
      </c>
      <c r="D10" s="5" t="s">
        <v>91</v>
      </c>
      <c r="E10" s="5">
        <v>1</v>
      </c>
      <c r="F10" s="5">
        <v>4818318</v>
      </c>
      <c r="G10" s="5">
        <v>2719371</v>
      </c>
      <c r="H10" s="6">
        <v>0.56399999999999995</v>
      </c>
    </row>
    <row r="11" spans="1:26" s="5" customFormat="1" x14ac:dyDescent="0.3">
      <c r="A11" s="5" t="s">
        <v>141</v>
      </c>
      <c r="B11" s="5" t="s">
        <v>139</v>
      </c>
      <c r="C11" s="5" t="s">
        <v>25</v>
      </c>
      <c r="D11" s="5" t="s">
        <v>92</v>
      </c>
      <c r="E11" s="5">
        <v>1</v>
      </c>
      <c r="F11" s="5">
        <v>5033316</v>
      </c>
      <c r="G11" s="5">
        <v>2803748</v>
      </c>
      <c r="H11" s="6">
        <v>0.55700000000000005</v>
      </c>
    </row>
    <row r="12" spans="1:26" s="5" customFormat="1" x14ac:dyDescent="0.3">
      <c r="A12" s="5" t="s">
        <v>141</v>
      </c>
      <c r="B12" s="5" t="s">
        <v>139</v>
      </c>
      <c r="C12" s="5" t="s">
        <v>34</v>
      </c>
      <c r="D12" s="5" t="s">
        <v>93</v>
      </c>
      <c r="E12" s="5">
        <v>1</v>
      </c>
      <c r="F12" s="5">
        <v>6245913</v>
      </c>
      <c r="G12" s="5">
        <v>3026402</v>
      </c>
      <c r="H12" s="6">
        <v>0.48499999999999999</v>
      </c>
    </row>
    <row r="13" spans="1:26" s="5" customFormat="1" x14ac:dyDescent="0.3">
      <c r="A13" s="5" t="s">
        <v>141</v>
      </c>
      <c r="B13" s="5" t="s">
        <v>139</v>
      </c>
      <c r="C13" s="5" t="s">
        <v>34</v>
      </c>
      <c r="D13" s="5" t="s">
        <v>94</v>
      </c>
      <c r="E13" s="5">
        <v>1</v>
      </c>
      <c r="F13" s="5">
        <v>4913728</v>
      </c>
      <c r="G13" s="5">
        <v>2776671</v>
      </c>
      <c r="H13" s="6">
        <v>0.56499999999999995</v>
      </c>
    </row>
    <row r="14" spans="1:26" s="5" customFormat="1" x14ac:dyDescent="0.3">
      <c r="A14" s="5" t="s">
        <v>141</v>
      </c>
      <c r="B14" s="5" t="s">
        <v>139</v>
      </c>
      <c r="C14" s="5" t="s">
        <v>34</v>
      </c>
      <c r="D14" s="5" t="s">
        <v>95</v>
      </c>
      <c r="E14" s="5">
        <v>1</v>
      </c>
      <c r="F14" s="5">
        <v>6146888</v>
      </c>
      <c r="G14" s="5">
        <v>3509529</v>
      </c>
      <c r="H14" s="6">
        <v>0.57099999999999995</v>
      </c>
    </row>
    <row r="15" spans="1:26" s="5" customFormat="1" x14ac:dyDescent="0.3">
      <c r="A15" s="5" t="s">
        <v>141</v>
      </c>
      <c r="B15" s="5" t="s">
        <v>139</v>
      </c>
      <c r="C15" s="5" t="s">
        <v>34</v>
      </c>
      <c r="D15" s="5" t="s">
        <v>96</v>
      </c>
      <c r="E15" s="5">
        <v>1</v>
      </c>
      <c r="F15" s="5">
        <v>4675027</v>
      </c>
      <c r="G15" s="5">
        <v>2755832</v>
      </c>
      <c r="H15" s="6">
        <v>0.58899999999999997</v>
      </c>
    </row>
    <row r="16" spans="1:26" s="5" customFormat="1" x14ac:dyDescent="0.3">
      <c r="A16" s="5" t="s">
        <v>141</v>
      </c>
      <c r="B16" s="5" t="s">
        <v>43</v>
      </c>
      <c r="C16" s="5" t="s">
        <v>25</v>
      </c>
      <c r="D16" s="5" t="s">
        <v>98</v>
      </c>
      <c r="E16" s="5">
        <v>1</v>
      </c>
      <c r="F16" s="5">
        <v>5251002</v>
      </c>
      <c r="G16" s="5">
        <v>3006112</v>
      </c>
      <c r="H16" s="6">
        <v>0.57199999999999995</v>
      </c>
    </row>
    <row r="17" spans="1:8" s="5" customFormat="1" x14ac:dyDescent="0.3">
      <c r="A17" s="5" t="s">
        <v>141</v>
      </c>
      <c r="B17" s="5" t="s">
        <v>43</v>
      </c>
      <c r="C17" s="5" t="s">
        <v>25</v>
      </c>
      <c r="D17" s="5" t="s">
        <v>101</v>
      </c>
      <c r="E17" s="5">
        <v>1</v>
      </c>
      <c r="F17" s="5">
        <v>4769367</v>
      </c>
      <c r="G17" s="5">
        <v>2690545</v>
      </c>
      <c r="H17" s="6">
        <v>0.56399999999999995</v>
      </c>
    </row>
    <row r="18" spans="1:8" s="5" customFormat="1" x14ac:dyDescent="0.3">
      <c r="A18" s="5" t="s">
        <v>141</v>
      </c>
      <c r="B18" s="5" t="s">
        <v>43</v>
      </c>
      <c r="C18" s="5" t="s">
        <v>25</v>
      </c>
      <c r="D18" s="5" t="s">
        <v>102</v>
      </c>
      <c r="E18" s="5">
        <v>1</v>
      </c>
      <c r="F18" s="5">
        <v>7382840</v>
      </c>
      <c r="G18" s="5">
        <v>4368352</v>
      </c>
      <c r="H18" s="6">
        <v>0.59199999999999997</v>
      </c>
    </row>
    <row r="19" spans="1:8" s="5" customFormat="1" x14ac:dyDescent="0.3">
      <c r="A19" s="5" t="s">
        <v>141</v>
      </c>
      <c r="B19" s="5" t="s">
        <v>43</v>
      </c>
      <c r="C19" s="5" t="s">
        <v>25</v>
      </c>
      <c r="D19" s="5" t="s">
        <v>103</v>
      </c>
      <c r="E19" s="5">
        <v>1</v>
      </c>
      <c r="F19" s="5">
        <v>5065773</v>
      </c>
      <c r="G19" s="5">
        <v>2842083</v>
      </c>
      <c r="H19" s="6">
        <v>0.56100000000000005</v>
      </c>
    </row>
    <row r="20" spans="1:8" s="5" customFormat="1" x14ac:dyDescent="0.3">
      <c r="A20" s="5" t="s">
        <v>141</v>
      </c>
      <c r="B20" s="5" t="s">
        <v>43</v>
      </c>
      <c r="C20" s="5" t="s">
        <v>34</v>
      </c>
      <c r="D20" s="5" t="s">
        <v>104</v>
      </c>
      <c r="E20" s="5">
        <v>1</v>
      </c>
      <c r="F20" s="5">
        <v>4811072</v>
      </c>
      <c r="G20" s="5">
        <v>2403651</v>
      </c>
      <c r="H20" s="6">
        <v>0.5</v>
      </c>
    </row>
    <row r="21" spans="1:8" s="5" customFormat="1" x14ac:dyDescent="0.3">
      <c r="A21" s="5" t="s">
        <v>141</v>
      </c>
      <c r="B21" s="5" t="s">
        <v>43</v>
      </c>
      <c r="C21" s="5" t="s">
        <v>34</v>
      </c>
      <c r="D21" s="5" t="s">
        <v>105</v>
      </c>
      <c r="E21" s="5">
        <v>1</v>
      </c>
      <c r="F21" s="5">
        <v>5029997</v>
      </c>
      <c r="G21" s="5">
        <v>2730416</v>
      </c>
      <c r="H21" s="6">
        <v>0.54300000000000004</v>
      </c>
    </row>
    <row r="22" spans="1:8" s="5" customFormat="1" x14ac:dyDescent="0.3">
      <c r="A22" s="5" t="s">
        <v>141</v>
      </c>
      <c r="B22" s="5" t="s">
        <v>43</v>
      </c>
      <c r="C22" s="5" t="s">
        <v>34</v>
      </c>
      <c r="D22" s="5" t="s">
        <v>106</v>
      </c>
      <c r="E22" s="5">
        <v>1</v>
      </c>
      <c r="F22" s="5">
        <v>4938105</v>
      </c>
      <c r="G22" s="5">
        <v>2606765</v>
      </c>
      <c r="H22" s="6">
        <v>0.52800000000000002</v>
      </c>
    </row>
    <row r="23" spans="1:8" s="5" customFormat="1" x14ac:dyDescent="0.3">
      <c r="A23" s="5" t="s">
        <v>141</v>
      </c>
      <c r="B23" s="5" t="s">
        <v>43</v>
      </c>
      <c r="C23" s="5" t="s">
        <v>34</v>
      </c>
      <c r="D23" s="5" t="s">
        <v>107</v>
      </c>
      <c r="E23" s="5">
        <v>1</v>
      </c>
      <c r="F23" s="5">
        <v>4896604</v>
      </c>
      <c r="G23" s="5">
        <v>2663551</v>
      </c>
      <c r="H23" s="6">
        <v>0.54400000000000004</v>
      </c>
    </row>
    <row r="24" spans="1:8" s="5" customFormat="1" x14ac:dyDescent="0.3">
      <c r="A24" s="5" t="s">
        <v>141</v>
      </c>
      <c r="B24" s="5" t="s">
        <v>139</v>
      </c>
      <c r="C24" s="5" t="s">
        <v>10</v>
      </c>
      <c r="D24" s="5" t="s">
        <v>151</v>
      </c>
      <c r="E24" s="5">
        <v>2</v>
      </c>
      <c r="F24" s="5">
        <v>19767135</v>
      </c>
      <c r="G24" s="5">
        <v>10387780</v>
      </c>
      <c r="H24" s="6">
        <v>0.52600000000000002</v>
      </c>
    </row>
    <row r="25" spans="1:8" s="5" customFormat="1" x14ac:dyDescent="0.3">
      <c r="A25" s="5" t="s">
        <v>141</v>
      </c>
      <c r="B25" s="5" t="s">
        <v>139</v>
      </c>
      <c r="C25" s="5" t="s">
        <v>10</v>
      </c>
      <c r="D25" s="5" t="s">
        <v>150</v>
      </c>
      <c r="E25" s="5">
        <v>2</v>
      </c>
      <c r="F25" s="5">
        <v>9814991</v>
      </c>
      <c r="G25" s="5">
        <v>5498118</v>
      </c>
      <c r="H25" s="6">
        <v>0.56000000000000005</v>
      </c>
    </row>
    <row r="26" spans="1:8" s="5" customFormat="1" x14ac:dyDescent="0.3">
      <c r="A26" s="5" t="s">
        <v>141</v>
      </c>
      <c r="B26" s="5" t="s">
        <v>139</v>
      </c>
      <c r="C26" s="5" t="s">
        <v>15</v>
      </c>
      <c r="D26" s="5" t="s">
        <v>152</v>
      </c>
      <c r="E26" s="5">
        <v>2</v>
      </c>
      <c r="F26" s="5">
        <v>18755372</v>
      </c>
      <c r="G26" s="5">
        <v>10380859</v>
      </c>
      <c r="H26" s="6">
        <v>0.55300000000000005</v>
      </c>
    </row>
    <row r="27" spans="1:8" s="5" customFormat="1" x14ac:dyDescent="0.3">
      <c r="A27" s="5" t="s">
        <v>141</v>
      </c>
      <c r="B27" s="5" t="s">
        <v>139</v>
      </c>
      <c r="C27" s="5" t="s">
        <v>15</v>
      </c>
      <c r="D27" s="5" t="s">
        <v>153</v>
      </c>
      <c r="E27" s="5">
        <v>2</v>
      </c>
      <c r="F27" s="5">
        <v>12314013</v>
      </c>
      <c r="G27" s="5">
        <v>5920710</v>
      </c>
      <c r="H27" s="6">
        <v>0.48099999999999998</v>
      </c>
    </row>
    <row r="28" spans="1:8" s="5" customFormat="1" x14ac:dyDescent="0.3">
      <c r="A28" s="5" t="s">
        <v>141</v>
      </c>
      <c r="B28" s="5" t="s">
        <v>139</v>
      </c>
      <c r="C28" s="5" t="s">
        <v>20</v>
      </c>
      <c r="D28" s="5" t="s">
        <v>154</v>
      </c>
      <c r="E28" s="5">
        <v>2</v>
      </c>
      <c r="F28" s="5">
        <v>34465923</v>
      </c>
      <c r="G28" s="5">
        <v>18554315</v>
      </c>
      <c r="H28" s="6">
        <v>0.53800000000000003</v>
      </c>
    </row>
    <row r="29" spans="1:8" s="5" customFormat="1" x14ac:dyDescent="0.3">
      <c r="A29" s="5" t="s">
        <v>141</v>
      </c>
      <c r="B29" s="5" t="s">
        <v>139</v>
      </c>
      <c r="C29" s="5" t="s">
        <v>20</v>
      </c>
      <c r="D29" s="5" t="s">
        <v>155</v>
      </c>
      <c r="E29" s="5">
        <v>2</v>
      </c>
      <c r="F29" s="5">
        <v>13063356</v>
      </c>
      <c r="G29" s="5">
        <v>6354332</v>
      </c>
      <c r="H29" s="6">
        <v>0.48599999999999999</v>
      </c>
    </row>
    <row r="30" spans="1:8" s="5" customFormat="1" x14ac:dyDescent="0.3">
      <c r="A30" s="5" t="s">
        <v>141</v>
      </c>
      <c r="B30" s="5" t="s">
        <v>43</v>
      </c>
      <c r="C30" s="5" t="s">
        <v>10</v>
      </c>
      <c r="D30" s="5" t="s">
        <v>156</v>
      </c>
      <c r="E30" s="5">
        <v>2</v>
      </c>
      <c r="F30" s="5">
        <v>8832220</v>
      </c>
      <c r="G30" s="5">
        <v>5123899</v>
      </c>
      <c r="H30" s="6">
        <v>0.57999999999999996</v>
      </c>
    </row>
    <row r="31" spans="1:8" s="5" customFormat="1" x14ac:dyDescent="0.3">
      <c r="A31" s="5" t="s">
        <v>141</v>
      </c>
      <c r="B31" s="5" t="s">
        <v>43</v>
      </c>
      <c r="C31" s="5" t="s">
        <v>10</v>
      </c>
      <c r="D31" s="5" t="s">
        <v>157</v>
      </c>
      <c r="E31" s="5">
        <v>2</v>
      </c>
      <c r="F31" s="5">
        <v>7998331</v>
      </c>
      <c r="G31" s="5">
        <v>4469513</v>
      </c>
      <c r="H31" s="6">
        <v>0.55900000000000005</v>
      </c>
    </row>
    <row r="32" spans="1:8" s="5" customFormat="1" x14ac:dyDescent="0.3">
      <c r="A32" s="5" t="s">
        <v>141</v>
      </c>
      <c r="B32" s="5" t="s">
        <v>43</v>
      </c>
      <c r="C32" s="5" t="s">
        <v>10</v>
      </c>
      <c r="D32" s="5" t="s">
        <v>158</v>
      </c>
      <c r="E32" s="5">
        <v>2</v>
      </c>
      <c r="F32" s="5">
        <v>10365606</v>
      </c>
      <c r="G32" s="5">
        <v>4834516</v>
      </c>
      <c r="H32" s="6">
        <v>0.46600000000000003</v>
      </c>
    </row>
    <row r="33" spans="1:24" s="5" customFormat="1" x14ac:dyDescent="0.3">
      <c r="A33" s="5" t="s">
        <v>141</v>
      </c>
      <c r="B33" s="5" t="s">
        <v>43</v>
      </c>
      <c r="C33" s="5" t="s">
        <v>15</v>
      </c>
      <c r="D33" s="5" t="s">
        <v>161</v>
      </c>
      <c r="E33" s="5">
        <v>2</v>
      </c>
      <c r="F33" s="5">
        <v>24206272</v>
      </c>
      <c r="G33" s="5">
        <v>14014080</v>
      </c>
      <c r="H33" s="6">
        <v>0.57899999999999996</v>
      </c>
    </row>
    <row r="34" spans="1:24" s="5" customFormat="1" x14ac:dyDescent="0.3">
      <c r="A34" s="5" t="s">
        <v>141</v>
      </c>
      <c r="B34" s="5" t="s">
        <v>43</v>
      </c>
      <c r="C34" s="5" t="s">
        <v>15</v>
      </c>
      <c r="D34" s="5" t="s">
        <v>159</v>
      </c>
      <c r="E34" s="5">
        <v>2</v>
      </c>
      <c r="F34" s="5">
        <v>17022019</v>
      </c>
      <c r="G34" s="5">
        <v>10030205</v>
      </c>
      <c r="H34" s="6">
        <v>0.58899999999999997</v>
      </c>
    </row>
    <row r="35" spans="1:24" s="5" customFormat="1" x14ac:dyDescent="0.3">
      <c r="A35" s="5" t="s">
        <v>141</v>
      </c>
      <c r="B35" s="5" t="s">
        <v>43</v>
      </c>
      <c r="C35" s="5" t="s">
        <v>15</v>
      </c>
      <c r="D35" s="5" t="s">
        <v>160</v>
      </c>
      <c r="E35" s="5">
        <v>2</v>
      </c>
      <c r="F35" s="5">
        <v>12605122</v>
      </c>
      <c r="G35" s="5">
        <v>7361917</v>
      </c>
      <c r="H35" s="6">
        <v>0.58399999999999996</v>
      </c>
    </row>
    <row r="36" spans="1:24" x14ac:dyDescent="0.3">
      <c r="A36" s="5" t="s">
        <v>88</v>
      </c>
      <c r="B36" s="5" t="s">
        <v>139</v>
      </c>
      <c r="C36" s="5" t="s">
        <v>10</v>
      </c>
      <c r="D36" s="5" t="s">
        <v>75</v>
      </c>
      <c r="E36" s="5">
        <v>1</v>
      </c>
      <c r="F36" s="5">
        <v>11066740</v>
      </c>
      <c r="G36" s="5">
        <v>5084715</v>
      </c>
      <c r="H36" s="6">
        <v>0.45945900000000001</v>
      </c>
      <c r="I36" s="5">
        <v>8473883</v>
      </c>
      <c r="J36" s="6">
        <v>0.76570700000000003</v>
      </c>
      <c r="K36" s="5">
        <v>2592857</v>
      </c>
      <c r="L36" s="6">
        <v>0.234293</v>
      </c>
      <c r="M36" s="5">
        <v>0</v>
      </c>
      <c r="N36" s="6">
        <v>0</v>
      </c>
      <c r="O36" s="5">
        <v>0</v>
      </c>
      <c r="P36" s="6">
        <v>1</v>
      </c>
      <c r="Q36" s="5">
        <v>4994582</v>
      </c>
      <c r="R36" s="6">
        <v>0.45131500000000002</v>
      </c>
      <c r="S36" s="5">
        <v>5533474</v>
      </c>
      <c r="T36" s="5">
        <v>5533266</v>
      </c>
      <c r="U36" s="5">
        <v>90133</v>
      </c>
      <c r="V36" s="6">
        <v>8.1444900000000008E-3</v>
      </c>
      <c r="W36" s="5">
        <v>6596.29</v>
      </c>
      <c r="X36" s="5">
        <v>21</v>
      </c>
    </row>
    <row r="37" spans="1:24" x14ac:dyDescent="0.3">
      <c r="A37" s="5" t="s">
        <v>88</v>
      </c>
      <c r="B37" s="5" t="s">
        <v>139</v>
      </c>
      <c r="C37" s="5" t="s">
        <v>10</v>
      </c>
      <c r="D37" s="5" t="s">
        <v>80</v>
      </c>
      <c r="E37" s="5">
        <v>1</v>
      </c>
      <c r="F37" s="5">
        <v>9949144</v>
      </c>
      <c r="G37" s="5">
        <v>4867670</v>
      </c>
      <c r="H37" s="6">
        <v>0.489255</v>
      </c>
      <c r="I37" s="5">
        <v>7471241</v>
      </c>
      <c r="J37" s="6">
        <v>0.75094300000000003</v>
      </c>
      <c r="K37" s="5">
        <v>2477903</v>
      </c>
      <c r="L37" s="6">
        <v>0.249057</v>
      </c>
      <c r="M37" s="5">
        <v>0</v>
      </c>
      <c r="N37" s="6">
        <v>0</v>
      </c>
      <c r="O37" s="5">
        <v>0</v>
      </c>
      <c r="P37" s="6">
        <v>1</v>
      </c>
      <c r="Q37" s="5">
        <v>4784461</v>
      </c>
      <c r="R37" s="6">
        <v>0.48089199999999999</v>
      </c>
      <c r="S37" s="5">
        <v>4972010</v>
      </c>
      <c r="T37" s="5">
        <v>4977134</v>
      </c>
      <c r="U37" s="5">
        <v>83209</v>
      </c>
      <c r="V37" s="6">
        <v>8.3634299999999998E-3</v>
      </c>
      <c r="W37" s="5">
        <v>8223.24</v>
      </c>
      <c r="X37" s="5">
        <v>21</v>
      </c>
    </row>
    <row r="38" spans="1:24" x14ac:dyDescent="0.3">
      <c r="A38" s="5" t="s">
        <v>88</v>
      </c>
      <c r="B38" s="5" t="s">
        <v>139</v>
      </c>
      <c r="C38" s="5" t="s">
        <v>15</v>
      </c>
      <c r="D38" s="5" t="s">
        <v>82</v>
      </c>
      <c r="E38" s="5">
        <v>1</v>
      </c>
      <c r="F38" s="5">
        <v>10629663</v>
      </c>
      <c r="G38" s="5">
        <v>4983595</v>
      </c>
      <c r="H38" s="6">
        <v>0.46883900000000001</v>
      </c>
      <c r="I38" s="5">
        <v>8094751</v>
      </c>
      <c r="J38" s="6">
        <v>0.76152500000000001</v>
      </c>
      <c r="K38" s="5">
        <v>2534912</v>
      </c>
      <c r="L38" s="6">
        <v>0.23847499999999999</v>
      </c>
      <c r="M38" s="5">
        <v>0</v>
      </c>
      <c r="N38" s="6">
        <v>0</v>
      </c>
      <c r="O38" s="5">
        <v>0</v>
      </c>
      <c r="P38" s="6">
        <v>1</v>
      </c>
      <c r="Q38" s="5">
        <v>4907337</v>
      </c>
      <c r="R38" s="6">
        <v>0.46166400000000002</v>
      </c>
      <c r="S38" s="5">
        <v>5314919</v>
      </c>
      <c r="T38" s="5">
        <v>5314744</v>
      </c>
      <c r="U38" s="5">
        <v>76258</v>
      </c>
      <c r="V38" s="6">
        <v>7.1740800000000002E-3</v>
      </c>
      <c r="W38" s="5">
        <v>5585.01</v>
      </c>
      <c r="X38" s="5">
        <v>21</v>
      </c>
    </row>
    <row r="39" spans="1:24" x14ac:dyDescent="0.3">
      <c r="A39" s="5" t="s">
        <v>88</v>
      </c>
      <c r="B39" s="5" t="s">
        <v>139</v>
      </c>
      <c r="C39" s="5" t="s">
        <v>15</v>
      </c>
      <c r="D39" s="5" t="s">
        <v>83</v>
      </c>
      <c r="E39" s="5">
        <v>1</v>
      </c>
      <c r="F39" s="5">
        <v>9804930</v>
      </c>
      <c r="G39" s="5">
        <v>4590739</v>
      </c>
      <c r="H39" s="6">
        <v>0.46820699999999998</v>
      </c>
      <c r="I39" s="5">
        <v>7468582</v>
      </c>
      <c r="J39" s="6">
        <v>0.76171699999999998</v>
      </c>
      <c r="K39" s="5">
        <v>2336348</v>
      </c>
      <c r="L39" s="6">
        <v>0.23828299999999999</v>
      </c>
      <c r="M39" s="5">
        <v>0</v>
      </c>
      <c r="N39" s="6">
        <v>0</v>
      </c>
      <c r="O39" s="5">
        <v>0</v>
      </c>
      <c r="P39" s="6">
        <v>1</v>
      </c>
      <c r="Q39" s="5">
        <v>4512190</v>
      </c>
      <c r="R39" s="6">
        <v>0.46019599999999999</v>
      </c>
      <c r="S39" s="5">
        <v>4900883</v>
      </c>
      <c r="T39" s="5">
        <v>4904047</v>
      </c>
      <c r="U39" s="5">
        <v>78549</v>
      </c>
      <c r="V39" s="6">
        <v>8.0111699999999997E-3</v>
      </c>
      <c r="W39" s="5">
        <v>5237.1000000000004</v>
      </c>
      <c r="X39" s="5">
        <v>21</v>
      </c>
    </row>
    <row r="40" spans="1:24" x14ac:dyDescent="0.3">
      <c r="A40" s="5" t="s">
        <v>88</v>
      </c>
      <c r="B40" s="5" t="s">
        <v>139</v>
      </c>
      <c r="C40" s="5" t="s">
        <v>20</v>
      </c>
      <c r="D40" s="5" t="s">
        <v>85</v>
      </c>
      <c r="E40" s="5">
        <v>1</v>
      </c>
      <c r="F40" s="5">
        <v>10107118</v>
      </c>
      <c r="G40" s="5">
        <v>4762314</v>
      </c>
      <c r="H40" s="6">
        <v>0.47118399999999999</v>
      </c>
      <c r="I40" s="5">
        <v>7685660</v>
      </c>
      <c r="J40" s="6">
        <v>0.76042100000000001</v>
      </c>
      <c r="K40" s="5">
        <v>2421458</v>
      </c>
      <c r="L40" s="6">
        <v>0.23957899999999999</v>
      </c>
      <c r="M40" s="5">
        <v>0</v>
      </c>
      <c r="N40" s="6">
        <v>0</v>
      </c>
      <c r="O40" s="5">
        <v>0</v>
      </c>
      <c r="P40" s="6">
        <v>1</v>
      </c>
      <c r="Q40" s="5">
        <v>4690811</v>
      </c>
      <c r="R40" s="6">
        <v>0.46411000000000002</v>
      </c>
      <c r="S40" s="5">
        <v>5051617</v>
      </c>
      <c r="T40" s="5">
        <v>5055501</v>
      </c>
      <c r="U40" s="5">
        <v>71503</v>
      </c>
      <c r="V40" s="6">
        <v>7.0745199999999999E-3</v>
      </c>
      <c r="W40" s="5">
        <v>5641.02</v>
      </c>
      <c r="X40" s="5">
        <v>21</v>
      </c>
    </row>
    <row r="41" spans="1:24" x14ac:dyDescent="0.3">
      <c r="A41" s="5" t="s">
        <v>88</v>
      </c>
      <c r="B41" s="5" t="s">
        <v>139</v>
      </c>
      <c r="C41" s="5" t="s">
        <v>20</v>
      </c>
      <c r="D41" s="5" t="s">
        <v>86</v>
      </c>
      <c r="E41" s="5">
        <v>1</v>
      </c>
      <c r="F41" s="5">
        <v>10213003</v>
      </c>
      <c r="G41" s="5">
        <v>5264391</v>
      </c>
      <c r="H41" s="6">
        <v>0.51546000000000003</v>
      </c>
      <c r="I41" s="5">
        <v>7533098</v>
      </c>
      <c r="J41" s="6">
        <v>0.737599</v>
      </c>
      <c r="K41" s="5">
        <v>2679905</v>
      </c>
      <c r="L41" s="6">
        <v>0.262401</v>
      </c>
      <c r="M41" s="5">
        <v>0</v>
      </c>
      <c r="N41" s="6">
        <v>0</v>
      </c>
      <c r="O41" s="5">
        <v>0</v>
      </c>
      <c r="P41" s="6">
        <v>1</v>
      </c>
      <c r="Q41" s="5">
        <v>5170451</v>
      </c>
      <c r="R41" s="6">
        <v>0.50626199999999999</v>
      </c>
      <c r="S41" s="5">
        <v>5102499</v>
      </c>
      <c r="T41" s="5">
        <v>5110504</v>
      </c>
      <c r="U41" s="5">
        <v>93940</v>
      </c>
      <c r="V41" s="6">
        <v>9.1980800000000008E-3</v>
      </c>
      <c r="W41" s="5">
        <v>7875.29</v>
      </c>
      <c r="X41" s="5">
        <v>21</v>
      </c>
    </row>
    <row r="42" spans="1:24" x14ac:dyDescent="0.3">
      <c r="A42" s="5" t="s">
        <v>88</v>
      </c>
      <c r="B42" s="5" t="s">
        <v>139</v>
      </c>
      <c r="C42" s="5" t="s">
        <v>25</v>
      </c>
      <c r="D42" s="5" t="s">
        <v>89</v>
      </c>
      <c r="E42" s="5">
        <v>1</v>
      </c>
      <c r="F42" s="5">
        <v>9566451</v>
      </c>
      <c r="G42" s="5">
        <v>5252261</v>
      </c>
      <c r="H42" s="6">
        <v>0.54902899999999999</v>
      </c>
      <c r="I42" s="5">
        <v>6898929</v>
      </c>
      <c r="J42" s="6">
        <v>0.72115899999999999</v>
      </c>
      <c r="K42" s="5">
        <v>2667522</v>
      </c>
      <c r="L42" s="6">
        <v>0.27884100000000001</v>
      </c>
      <c r="M42" s="5">
        <v>0</v>
      </c>
      <c r="N42" s="6">
        <v>0</v>
      </c>
      <c r="O42" s="5">
        <v>0</v>
      </c>
      <c r="P42" s="6">
        <v>1</v>
      </c>
      <c r="Q42" s="5">
        <v>5174092</v>
      </c>
      <c r="R42" s="6">
        <v>0.54085799999999995</v>
      </c>
      <c r="S42" s="5">
        <v>4782613</v>
      </c>
      <c r="T42" s="5">
        <v>4783838</v>
      </c>
      <c r="U42" s="5">
        <v>78169</v>
      </c>
      <c r="V42" s="6">
        <v>8.1711600000000002E-3</v>
      </c>
      <c r="W42" s="5">
        <v>10836.4</v>
      </c>
      <c r="X42" s="5">
        <v>21</v>
      </c>
    </row>
    <row r="43" spans="1:24" x14ac:dyDescent="0.3">
      <c r="A43" s="5" t="s">
        <v>88</v>
      </c>
      <c r="B43" s="5" t="s">
        <v>139</v>
      </c>
      <c r="C43" s="5" t="s">
        <v>25</v>
      </c>
      <c r="D43" s="5" t="s">
        <v>90</v>
      </c>
      <c r="E43" s="5">
        <v>1</v>
      </c>
      <c r="F43" s="5">
        <v>11336029</v>
      </c>
      <c r="G43" s="5">
        <v>6252131</v>
      </c>
      <c r="H43" s="6">
        <v>0.55152699999999999</v>
      </c>
      <c r="I43" s="5">
        <v>8154121</v>
      </c>
      <c r="J43" s="6">
        <v>0.71931</v>
      </c>
      <c r="K43" s="5">
        <v>3181908</v>
      </c>
      <c r="L43" s="6">
        <v>0.28069</v>
      </c>
      <c r="M43" s="5">
        <v>0</v>
      </c>
      <c r="N43" s="6">
        <v>0</v>
      </c>
      <c r="O43" s="5">
        <v>0</v>
      </c>
      <c r="P43" s="6">
        <v>1</v>
      </c>
      <c r="Q43" s="5">
        <v>6141026</v>
      </c>
      <c r="R43" s="6">
        <v>0.54172600000000004</v>
      </c>
      <c r="S43" s="5">
        <v>5664164</v>
      </c>
      <c r="T43" s="5">
        <v>5671865</v>
      </c>
      <c r="U43" s="5">
        <v>111105</v>
      </c>
      <c r="V43" s="6">
        <v>9.8010500000000004E-3</v>
      </c>
      <c r="W43" s="5">
        <v>11248.5</v>
      </c>
      <c r="X43" s="5">
        <v>21</v>
      </c>
    </row>
    <row r="44" spans="1:24" x14ac:dyDescent="0.3">
      <c r="A44" s="5" t="s">
        <v>88</v>
      </c>
      <c r="B44" s="5" t="s">
        <v>139</v>
      </c>
      <c r="C44" s="5" t="s">
        <v>25</v>
      </c>
      <c r="D44" s="5" t="s">
        <v>91</v>
      </c>
      <c r="E44" s="5">
        <v>1</v>
      </c>
      <c r="F44" s="5">
        <v>9668281</v>
      </c>
      <c r="G44" s="5">
        <v>5109554</v>
      </c>
      <c r="H44" s="6">
        <v>0.52848600000000001</v>
      </c>
      <c r="I44" s="5">
        <v>7069087</v>
      </c>
      <c r="J44" s="6">
        <v>0.73116300000000001</v>
      </c>
      <c r="K44" s="5">
        <v>2599194</v>
      </c>
      <c r="L44" s="6">
        <v>0.26883699999999999</v>
      </c>
      <c r="M44" s="5">
        <v>0</v>
      </c>
      <c r="N44" s="6">
        <v>0</v>
      </c>
      <c r="O44" s="5">
        <v>0</v>
      </c>
      <c r="P44" s="6">
        <v>1</v>
      </c>
      <c r="Q44" s="5">
        <v>5023283</v>
      </c>
      <c r="R44" s="6">
        <v>0.519563</v>
      </c>
      <c r="S44" s="5">
        <v>4829723</v>
      </c>
      <c r="T44" s="5">
        <v>4838558</v>
      </c>
      <c r="U44" s="5">
        <v>86271</v>
      </c>
      <c r="V44" s="6">
        <v>8.9230999999999998E-3</v>
      </c>
      <c r="W44" s="5">
        <v>9588.9500000000007</v>
      </c>
      <c r="X44" s="5">
        <v>21</v>
      </c>
    </row>
    <row r="45" spans="1:24" x14ac:dyDescent="0.3">
      <c r="A45" s="5" t="s">
        <v>88</v>
      </c>
      <c r="B45" s="5" t="s">
        <v>139</v>
      </c>
      <c r="C45" s="5" t="s">
        <v>25</v>
      </c>
      <c r="D45" s="5" t="s">
        <v>92</v>
      </c>
      <c r="E45" s="5">
        <v>1</v>
      </c>
      <c r="F45" s="5">
        <v>10101281</v>
      </c>
      <c r="G45" s="5">
        <v>5233143</v>
      </c>
      <c r="H45" s="6">
        <v>0.51806700000000006</v>
      </c>
      <c r="I45" s="5">
        <v>7438094</v>
      </c>
      <c r="J45" s="6">
        <v>0.73635200000000001</v>
      </c>
      <c r="K45" s="5">
        <v>2663187</v>
      </c>
      <c r="L45" s="6">
        <v>0.26364799999999999</v>
      </c>
      <c r="M45" s="5">
        <v>0</v>
      </c>
      <c r="N45" s="6">
        <v>0</v>
      </c>
      <c r="O45" s="5">
        <v>0</v>
      </c>
      <c r="P45" s="6">
        <v>1</v>
      </c>
      <c r="Q45" s="5">
        <v>5135158</v>
      </c>
      <c r="R45" s="6">
        <v>0.50836700000000001</v>
      </c>
      <c r="S45" s="5">
        <v>5045608</v>
      </c>
      <c r="T45" s="5">
        <v>5055673</v>
      </c>
      <c r="U45" s="5">
        <v>97985</v>
      </c>
      <c r="V45" s="6">
        <v>9.7002500000000005E-3</v>
      </c>
      <c r="W45" s="5">
        <v>9074.27</v>
      </c>
      <c r="X45" s="5">
        <v>21</v>
      </c>
    </row>
    <row r="46" spans="1:24" x14ac:dyDescent="0.3">
      <c r="A46" s="5" t="s">
        <v>88</v>
      </c>
      <c r="B46" s="5" t="s">
        <v>139</v>
      </c>
      <c r="C46" s="5" t="s">
        <v>34</v>
      </c>
      <c r="D46" s="5" t="s">
        <v>93</v>
      </c>
      <c r="E46" s="5">
        <v>1</v>
      </c>
      <c r="F46" s="5">
        <v>12540871</v>
      </c>
      <c r="G46" s="5">
        <v>6713670</v>
      </c>
      <c r="H46" s="6">
        <v>0.53534300000000001</v>
      </c>
      <c r="I46" s="5">
        <v>9112733</v>
      </c>
      <c r="J46" s="6">
        <v>0.72664300000000004</v>
      </c>
      <c r="K46" s="5">
        <v>3428138</v>
      </c>
      <c r="L46" s="6">
        <v>0.27335700000000002</v>
      </c>
      <c r="M46" s="5">
        <v>0</v>
      </c>
      <c r="N46" s="6">
        <v>0</v>
      </c>
      <c r="O46" s="5">
        <v>0</v>
      </c>
      <c r="P46" s="6">
        <v>1</v>
      </c>
      <c r="Q46" s="5">
        <v>6568197</v>
      </c>
      <c r="R46" s="6">
        <v>0.52374299999999996</v>
      </c>
      <c r="S46" s="5">
        <v>6258582</v>
      </c>
      <c r="T46" s="5">
        <v>6282289</v>
      </c>
      <c r="U46" s="5">
        <v>145473</v>
      </c>
      <c r="V46" s="6">
        <v>1.15999E-2</v>
      </c>
      <c r="W46" s="5">
        <v>9267.33</v>
      </c>
      <c r="X46" s="5">
        <v>21</v>
      </c>
    </row>
    <row r="47" spans="1:24" x14ac:dyDescent="0.3">
      <c r="A47" s="5" t="s">
        <v>88</v>
      </c>
      <c r="B47" s="5" t="s">
        <v>139</v>
      </c>
      <c r="C47" s="5" t="s">
        <v>34</v>
      </c>
      <c r="D47" s="5" t="s">
        <v>94</v>
      </c>
      <c r="E47" s="5">
        <v>1</v>
      </c>
      <c r="F47" s="5">
        <v>9855984</v>
      </c>
      <c r="G47" s="5">
        <v>5038614</v>
      </c>
      <c r="H47" s="6">
        <v>0.51122400000000001</v>
      </c>
      <c r="I47" s="5">
        <v>7287926</v>
      </c>
      <c r="J47" s="6">
        <v>0.73944200000000004</v>
      </c>
      <c r="K47" s="5">
        <v>2568058</v>
      </c>
      <c r="L47" s="6">
        <v>0.26055800000000001</v>
      </c>
      <c r="M47" s="5">
        <v>0</v>
      </c>
      <c r="N47" s="6">
        <v>0</v>
      </c>
      <c r="O47" s="5">
        <v>0</v>
      </c>
      <c r="P47" s="6">
        <v>1</v>
      </c>
      <c r="Q47" s="5">
        <v>4947413</v>
      </c>
      <c r="R47" s="6">
        <v>0.50197000000000003</v>
      </c>
      <c r="S47" s="5">
        <v>4924529</v>
      </c>
      <c r="T47" s="5">
        <v>4931455</v>
      </c>
      <c r="U47" s="5">
        <v>91201</v>
      </c>
      <c r="V47" s="6">
        <v>9.2533600000000004E-3</v>
      </c>
      <c r="W47" s="5">
        <v>6867.66</v>
      </c>
      <c r="X47" s="5">
        <v>21</v>
      </c>
    </row>
    <row r="48" spans="1:24" x14ac:dyDescent="0.3">
      <c r="A48" s="5" t="s">
        <v>88</v>
      </c>
      <c r="B48" s="5" t="s">
        <v>139</v>
      </c>
      <c r="C48" s="5" t="s">
        <v>34</v>
      </c>
      <c r="D48" s="5" t="s">
        <v>95</v>
      </c>
      <c r="E48" s="5">
        <v>1</v>
      </c>
      <c r="F48" s="5">
        <v>12332260</v>
      </c>
      <c r="G48" s="5">
        <v>6627808</v>
      </c>
      <c r="H48" s="6">
        <v>0.53743700000000005</v>
      </c>
      <c r="I48" s="5">
        <v>8960545</v>
      </c>
      <c r="J48" s="6">
        <v>0.72659399999999996</v>
      </c>
      <c r="K48" s="5">
        <v>3371715</v>
      </c>
      <c r="L48" s="6">
        <v>0.27340599999999998</v>
      </c>
      <c r="M48" s="5">
        <v>0</v>
      </c>
      <c r="N48" s="6">
        <v>0</v>
      </c>
      <c r="O48" s="5">
        <v>0</v>
      </c>
      <c r="P48" s="6">
        <v>1</v>
      </c>
      <c r="Q48" s="5">
        <v>6514303</v>
      </c>
      <c r="R48" s="6">
        <v>0.52823299999999995</v>
      </c>
      <c r="S48" s="5">
        <v>6161807</v>
      </c>
      <c r="T48" s="5">
        <v>6170453</v>
      </c>
      <c r="U48" s="5">
        <v>113505</v>
      </c>
      <c r="V48" s="6">
        <v>9.2039099999999992E-3</v>
      </c>
      <c r="W48" s="5">
        <v>9346.7099999999991</v>
      </c>
      <c r="X48" s="5">
        <v>21</v>
      </c>
    </row>
    <row r="49" spans="1:24" x14ac:dyDescent="0.3">
      <c r="A49" s="5" t="s">
        <v>88</v>
      </c>
      <c r="B49" s="5" t="s">
        <v>139</v>
      </c>
      <c r="C49" s="5" t="s">
        <v>34</v>
      </c>
      <c r="D49" s="5" t="s">
        <v>96</v>
      </c>
      <c r="E49" s="5">
        <v>1</v>
      </c>
      <c r="F49" s="5">
        <v>9375688</v>
      </c>
      <c r="G49" s="5">
        <v>5148609</v>
      </c>
      <c r="H49" s="6">
        <v>0.54914499999999999</v>
      </c>
      <c r="I49" s="5">
        <v>6759306</v>
      </c>
      <c r="J49" s="6">
        <v>0.72094000000000003</v>
      </c>
      <c r="K49" s="5">
        <v>2616382</v>
      </c>
      <c r="L49" s="6">
        <v>0.27905999999999997</v>
      </c>
      <c r="M49" s="5">
        <v>0</v>
      </c>
      <c r="N49" s="6">
        <v>0</v>
      </c>
      <c r="O49" s="5">
        <v>0</v>
      </c>
      <c r="P49" s="6">
        <v>1</v>
      </c>
      <c r="Q49" s="5">
        <v>5067147</v>
      </c>
      <c r="R49" s="6">
        <v>0.54045600000000005</v>
      </c>
      <c r="S49" s="5">
        <v>4686809</v>
      </c>
      <c r="T49" s="5">
        <v>4688879</v>
      </c>
      <c r="U49" s="5">
        <v>81462</v>
      </c>
      <c r="V49" s="6">
        <v>8.6886399999999992E-3</v>
      </c>
      <c r="W49" s="5">
        <v>8742.91</v>
      </c>
      <c r="X49" s="5">
        <v>21</v>
      </c>
    </row>
    <row r="50" spans="1:24" x14ac:dyDescent="0.3">
      <c r="A50" s="5" t="s">
        <v>88</v>
      </c>
      <c r="B50" s="5" t="s">
        <v>43</v>
      </c>
      <c r="C50" s="5" t="s">
        <v>25</v>
      </c>
      <c r="D50" s="5" t="s">
        <v>98</v>
      </c>
      <c r="E50" s="5">
        <v>1</v>
      </c>
      <c r="F50" s="5">
        <v>10537415</v>
      </c>
      <c r="G50" s="5">
        <v>5575623</v>
      </c>
      <c r="H50" s="6">
        <v>0.52912599999999999</v>
      </c>
      <c r="I50" s="5">
        <v>7699928</v>
      </c>
      <c r="J50" s="6">
        <v>0.73072300000000001</v>
      </c>
      <c r="K50" s="5">
        <v>2837487</v>
      </c>
      <c r="L50" s="6">
        <v>0.26927699999999999</v>
      </c>
      <c r="M50" s="5">
        <v>0</v>
      </c>
      <c r="N50" s="6">
        <v>0</v>
      </c>
      <c r="O50" s="5">
        <v>0</v>
      </c>
      <c r="P50" s="6">
        <v>1</v>
      </c>
      <c r="Q50" s="5">
        <v>5476979</v>
      </c>
      <c r="R50" s="6">
        <v>0.51976500000000003</v>
      </c>
      <c r="S50" s="5">
        <v>5264100</v>
      </c>
      <c r="T50" s="5">
        <v>5273315</v>
      </c>
      <c r="U50" s="5">
        <v>98644</v>
      </c>
      <c r="V50" s="6">
        <v>9.3613099999999994E-3</v>
      </c>
      <c r="W50" s="5">
        <v>9582.51</v>
      </c>
      <c r="X50" s="5">
        <v>21</v>
      </c>
    </row>
    <row r="51" spans="1:24" x14ac:dyDescent="0.3">
      <c r="A51" s="5" t="s">
        <v>88</v>
      </c>
      <c r="B51" s="5" t="s">
        <v>43</v>
      </c>
      <c r="C51" s="5" t="s">
        <v>25</v>
      </c>
      <c r="D51" s="5" t="s">
        <v>101</v>
      </c>
      <c r="E51" s="5">
        <v>1</v>
      </c>
      <c r="F51" s="5">
        <v>9565131</v>
      </c>
      <c r="G51" s="5">
        <v>5221586</v>
      </c>
      <c r="H51" s="6">
        <v>0.54589799999999999</v>
      </c>
      <c r="I51" s="5">
        <v>6906262</v>
      </c>
      <c r="J51" s="6">
        <v>0.72202500000000003</v>
      </c>
      <c r="K51" s="5">
        <v>2658869</v>
      </c>
      <c r="L51" s="6">
        <v>0.27797500000000003</v>
      </c>
      <c r="M51" s="5">
        <v>0</v>
      </c>
      <c r="N51" s="6">
        <v>0</v>
      </c>
      <c r="O51" s="5">
        <v>0</v>
      </c>
      <c r="P51" s="6">
        <v>1</v>
      </c>
      <c r="Q51" s="5">
        <v>5128404</v>
      </c>
      <c r="R51" s="6">
        <v>0.53615599999999997</v>
      </c>
      <c r="S51" s="5">
        <v>4781741</v>
      </c>
      <c r="T51" s="5">
        <v>4783390</v>
      </c>
      <c r="U51" s="5">
        <v>93182</v>
      </c>
      <c r="V51" s="6">
        <v>9.7418399999999999E-3</v>
      </c>
      <c r="W51" s="5">
        <v>12103.8</v>
      </c>
      <c r="X51" s="5">
        <v>21</v>
      </c>
    </row>
    <row r="52" spans="1:24" x14ac:dyDescent="0.3">
      <c r="A52" s="5" t="s">
        <v>88</v>
      </c>
      <c r="B52" s="5" t="s">
        <v>43</v>
      </c>
      <c r="C52" s="5" t="s">
        <v>25</v>
      </c>
      <c r="D52" s="5" t="s">
        <v>102</v>
      </c>
      <c r="E52" s="5">
        <v>1</v>
      </c>
      <c r="F52" s="5">
        <v>14818607</v>
      </c>
      <c r="G52" s="5">
        <v>8335151</v>
      </c>
      <c r="H52" s="6">
        <v>0.56247899999999995</v>
      </c>
      <c r="I52" s="5">
        <v>10575788</v>
      </c>
      <c r="J52" s="6">
        <v>0.71368299999999996</v>
      </c>
      <c r="K52" s="5">
        <v>4242819</v>
      </c>
      <c r="L52" s="6">
        <v>0.28631699999999999</v>
      </c>
      <c r="M52" s="5">
        <v>0</v>
      </c>
      <c r="N52" s="6">
        <v>0</v>
      </c>
      <c r="O52" s="5">
        <v>0</v>
      </c>
      <c r="P52" s="6">
        <v>1</v>
      </c>
      <c r="Q52" s="5">
        <v>8181282</v>
      </c>
      <c r="R52" s="6">
        <v>0.552095</v>
      </c>
      <c r="S52" s="5">
        <v>7403027</v>
      </c>
      <c r="T52" s="5">
        <v>7415580</v>
      </c>
      <c r="U52" s="5">
        <v>153869</v>
      </c>
      <c r="V52" s="6">
        <v>1.03835E-2</v>
      </c>
      <c r="W52" s="5">
        <v>12963.4</v>
      </c>
      <c r="X52" s="5">
        <v>21</v>
      </c>
    </row>
    <row r="53" spans="1:24" x14ac:dyDescent="0.3">
      <c r="A53" s="5" t="s">
        <v>88</v>
      </c>
      <c r="B53" s="5" t="s">
        <v>43</v>
      </c>
      <c r="C53" s="5" t="s">
        <v>25</v>
      </c>
      <c r="D53" s="5" t="s">
        <v>103</v>
      </c>
      <c r="E53" s="5">
        <v>1</v>
      </c>
      <c r="F53" s="5">
        <v>10153008</v>
      </c>
      <c r="G53" s="5">
        <v>5062089</v>
      </c>
      <c r="H53" s="6">
        <v>0.49858000000000002</v>
      </c>
      <c r="I53" s="5">
        <v>7586862</v>
      </c>
      <c r="J53" s="6">
        <v>0.74725299999999995</v>
      </c>
      <c r="K53" s="5">
        <v>2566146</v>
      </c>
      <c r="L53" s="6">
        <v>0.252747</v>
      </c>
      <c r="M53" s="5">
        <v>0</v>
      </c>
      <c r="N53" s="6">
        <v>0</v>
      </c>
      <c r="O53" s="5">
        <v>0</v>
      </c>
      <c r="P53" s="6">
        <v>1</v>
      </c>
      <c r="Q53" s="5">
        <v>4995808</v>
      </c>
      <c r="R53" s="6">
        <v>0.49205199999999999</v>
      </c>
      <c r="S53" s="5">
        <v>5076291</v>
      </c>
      <c r="T53" s="5">
        <v>5076717</v>
      </c>
      <c r="U53" s="5">
        <v>66281</v>
      </c>
      <c r="V53" s="6">
        <v>6.5282099999999996E-3</v>
      </c>
      <c r="W53" s="5">
        <v>6255.93</v>
      </c>
      <c r="X53" s="5">
        <v>21</v>
      </c>
    </row>
    <row r="54" spans="1:24" x14ac:dyDescent="0.3">
      <c r="A54" s="5" t="s">
        <v>88</v>
      </c>
      <c r="B54" s="5" t="s">
        <v>43</v>
      </c>
      <c r="C54" s="5" t="s">
        <v>34</v>
      </c>
      <c r="D54" s="5" t="s">
        <v>104</v>
      </c>
      <c r="E54" s="5">
        <v>1</v>
      </c>
      <c r="F54" s="5">
        <v>9646423</v>
      </c>
      <c r="G54" s="5">
        <v>4977095</v>
      </c>
      <c r="H54" s="6">
        <v>0.51595199999999997</v>
      </c>
      <c r="I54" s="5">
        <v>7113893</v>
      </c>
      <c r="J54" s="6">
        <v>0.73746400000000001</v>
      </c>
      <c r="K54" s="5">
        <v>2532530</v>
      </c>
      <c r="L54" s="6">
        <v>0.26253599999999999</v>
      </c>
      <c r="M54" s="5">
        <v>0</v>
      </c>
      <c r="N54" s="6">
        <v>0</v>
      </c>
      <c r="O54" s="5">
        <v>0</v>
      </c>
      <c r="P54" s="6">
        <v>1</v>
      </c>
      <c r="Q54" s="5">
        <v>4894647</v>
      </c>
      <c r="R54" s="6">
        <v>0.50740499999999999</v>
      </c>
      <c r="S54" s="5">
        <v>4820653</v>
      </c>
      <c r="T54" s="5">
        <v>4825770</v>
      </c>
      <c r="U54" s="5">
        <v>82448</v>
      </c>
      <c r="V54" s="6">
        <v>8.5470000000000008E-3</v>
      </c>
      <c r="W54" s="5">
        <v>7094.9</v>
      </c>
      <c r="X54" s="5">
        <v>21</v>
      </c>
    </row>
    <row r="55" spans="1:24" x14ac:dyDescent="0.3">
      <c r="A55" s="5" t="s">
        <v>88</v>
      </c>
      <c r="B55" s="5" t="s">
        <v>43</v>
      </c>
      <c r="C55" s="5" t="s">
        <v>34</v>
      </c>
      <c r="D55" s="5" t="s">
        <v>105</v>
      </c>
      <c r="E55" s="5">
        <v>1</v>
      </c>
      <c r="F55" s="5">
        <v>10092738</v>
      </c>
      <c r="G55" s="5">
        <v>5252920</v>
      </c>
      <c r="H55" s="6">
        <v>0.52046499999999996</v>
      </c>
      <c r="I55" s="5">
        <v>7411395</v>
      </c>
      <c r="J55" s="6">
        <v>0.73432900000000001</v>
      </c>
      <c r="K55" s="5">
        <v>2681343</v>
      </c>
      <c r="L55" s="6">
        <v>0.26567099999999999</v>
      </c>
      <c r="M55" s="5">
        <v>0</v>
      </c>
      <c r="N55" s="6">
        <v>0</v>
      </c>
      <c r="O55" s="5">
        <v>0</v>
      </c>
      <c r="P55" s="6">
        <v>1</v>
      </c>
      <c r="Q55" s="5">
        <v>5148152</v>
      </c>
      <c r="R55" s="6">
        <v>0.51008500000000001</v>
      </c>
      <c r="S55" s="5">
        <v>5042069</v>
      </c>
      <c r="T55" s="5">
        <v>5050669</v>
      </c>
      <c r="U55" s="5">
        <v>104768</v>
      </c>
      <c r="V55" s="6">
        <v>1.0380500000000001E-2</v>
      </c>
      <c r="W55" s="5">
        <v>9447.6299999999992</v>
      </c>
      <c r="X55" s="5">
        <v>21</v>
      </c>
    </row>
    <row r="56" spans="1:24" x14ac:dyDescent="0.3">
      <c r="A56" s="5" t="s">
        <v>88</v>
      </c>
      <c r="B56" s="5" t="s">
        <v>43</v>
      </c>
      <c r="C56" s="5" t="s">
        <v>34</v>
      </c>
      <c r="D56" s="5" t="s">
        <v>106</v>
      </c>
      <c r="E56" s="5">
        <v>1</v>
      </c>
      <c r="F56" s="5">
        <v>9899269</v>
      </c>
      <c r="G56" s="5">
        <v>5092825</v>
      </c>
      <c r="H56" s="6">
        <v>0.51446499999999995</v>
      </c>
      <c r="I56" s="5">
        <v>7309706</v>
      </c>
      <c r="J56" s="6">
        <v>0.73840899999999998</v>
      </c>
      <c r="K56" s="5">
        <v>2589563</v>
      </c>
      <c r="L56" s="6">
        <v>0.26159100000000002</v>
      </c>
      <c r="M56" s="5">
        <v>0</v>
      </c>
      <c r="N56" s="6">
        <v>0</v>
      </c>
      <c r="O56" s="5">
        <v>0</v>
      </c>
      <c r="P56" s="6">
        <v>1</v>
      </c>
      <c r="Q56" s="5">
        <v>5013782</v>
      </c>
      <c r="R56" s="6">
        <v>0.50648000000000004</v>
      </c>
      <c r="S56" s="5">
        <v>4948815</v>
      </c>
      <c r="T56" s="5">
        <v>4950454</v>
      </c>
      <c r="U56" s="5">
        <v>79043</v>
      </c>
      <c r="V56" s="6">
        <v>7.9847300000000006E-3</v>
      </c>
      <c r="W56" s="5">
        <v>8675.35</v>
      </c>
      <c r="X56" s="5">
        <v>21</v>
      </c>
    </row>
    <row r="57" spans="1:24" x14ac:dyDescent="0.3">
      <c r="A57" s="5" t="s">
        <v>88</v>
      </c>
      <c r="B57" s="5" t="s">
        <v>43</v>
      </c>
      <c r="C57" s="5" t="s">
        <v>34</v>
      </c>
      <c r="D57" s="5" t="s">
        <v>107</v>
      </c>
      <c r="E57" s="5">
        <v>1</v>
      </c>
      <c r="F57" s="5">
        <v>9817693</v>
      </c>
      <c r="G57" s="5">
        <v>5302639</v>
      </c>
      <c r="H57" s="6">
        <v>0.54010999999999998</v>
      </c>
      <c r="I57" s="5">
        <v>7123788</v>
      </c>
      <c r="J57" s="6">
        <v>0.725607</v>
      </c>
      <c r="K57" s="5">
        <v>2693905</v>
      </c>
      <c r="L57" s="6">
        <v>0.274393</v>
      </c>
      <c r="M57" s="5">
        <v>0</v>
      </c>
      <c r="N57" s="6">
        <v>0</v>
      </c>
      <c r="O57" s="5">
        <v>0</v>
      </c>
      <c r="P57" s="6">
        <v>1</v>
      </c>
      <c r="Q57" s="5">
        <v>5222639</v>
      </c>
      <c r="R57" s="6">
        <v>0.53196200000000005</v>
      </c>
      <c r="S57" s="5">
        <v>4908170</v>
      </c>
      <c r="T57" s="5">
        <v>4909523</v>
      </c>
      <c r="U57" s="5">
        <v>80000</v>
      </c>
      <c r="V57" s="6">
        <v>8.1485499999999992E-3</v>
      </c>
      <c r="W57" s="5">
        <v>11329.5</v>
      </c>
      <c r="X57" s="5">
        <v>21</v>
      </c>
    </row>
    <row r="58" spans="1:24" x14ac:dyDescent="0.3">
      <c r="A58" s="5" t="s">
        <v>88</v>
      </c>
      <c r="B58" s="5" t="s">
        <v>139</v>
      </c>
      <c r="C58" s="5" t="s">
        <v>10</v>
      </c>
      <c r="D58" s="5" t="s">
        <v>151</v>
      </c>
      <c r="E58" s="5">
        <v>2</v>
      </c>
      <c r="F58" s="5">
        <v>39676693</v>
      </c>
      <c r="G58" s="5">
        <v>19195775</v>
      </c>
      <c r="H58" s="6">
        <v>0.48380499999999999</v>
      </c>
      <c r="I58" s="5">
        <v>29992429</v>
      </c>
      <c r="J58" s="6">
        <v>0.75592099999999995</v>
      </c>
      <c r="K58" s="5">
        <v>9684264</v>
      </c>
      <c r="L58" s="6">
        <v>0.24407899999999999</v>
      </c>
      <c r="M58" s="5">
        <v>0</v>
      </c>
      <c r="N58" s="6">
        <v>0</v>
      </c>
      <c r="O58" s="5">
        <v>0</v>
      </c>
      <c r="P58" s="6">
        <v>1</v>
      </c>
      <c r="Q58" s="5">
        <v>18852952</v>
      </c>
      <c r="R58" s="6">
        <v>0.47516399999999998</v>
      </c>
      <c r="S58" s="5">
        <v>19788408</v>
      </c>
      <c r="T58" s="5">
        <v>19888285</v>
      </c>
      <c r="U58" s="5">
        <v>342823</v>
      </c>
      <c r="V58" s="6">
        <v>8.6404099999999994E-3</v>
      </c>
      <c r="W58" s="5">
        <v>5369.7</v>
      </c>
      <c r="X58" s="5">
        <v>21</v>
      </c>
    </row>
    <row r="59" spans="1:24" x14ac:dyDescent="0.3">
      <c r="A59" s="5" t="s">
        <v>88</v>
      </c>
      <c r="B59" s="5" t="s">
        <v>139</v>
      </c>
      <c r="C59" s="5" t="s">
        <v>10</v>
      </c>
      <c r="D59" s="5" t="s">
        <v>150</v>
      </c>
      <c r="E59" s="5">
        <v>2</v>
      </c>
      <c r="F59" s="5">
        <v>19700873</v>
      </c>
      <c r="G59" s="5">
        <v>9075055</v>
      </c>
      <c r="H59" s="6">
        <v>0.460642</v>
      </c>
      <c r="I59" s="5">
        <v>15116399</v>
      </c>
      <c r="J59" s="6">
        <v>0.76729599999999998</v>
      </c>
      <c r="K59" s="5">
        <v>4584474</v>
      </c>
      <c r="L59" s="6">
        <v>0.23270399999999999</v>
      </c>
      <c r="M59" s="5">
        <v>0</v>
      </c>
      <c r="N59" s="6">
        <v>0</v>
      </c>
      <c r="O59" s="5">
        <v>0</v>
      </c>
      <c r="P59" s="6">
        <v>1</v>
      </c>
      <c r="Q59" s="5">
        <v>8908701</v>
      </c>
      <c r="R59" s="6">
        <v>0.45219799999999999</v>
      </c>
      <c r="S59" s="5">
        <v>9823000</v>
      </c>
      <c r="T59" s="5">
        <v>9877873</v>
      </c>
      <c r="U59" s="5">
        <v>166354</v>
      </c>
      <c r="V59" s="6">
        <v>8.4439900000000002E-3</v>
      </c>
      <c r="W59" s="5">
        <v>4772.3900000000003</v>
      </c>
      <c r="X59" s="5">
        <v>21</v>
      </c>
    </row>
    <row r="60" spans="1:24" x14ac:dyDescent="0.3">
      <c r="A60" s="5" t="s">
        <v>88</v>
      </c>
      <c r="B60" s="5" t="s">
        <v>139</v>
      </c>
      <c r="C60" s="5" t="s">
        <v>15</v>
      </c>
      <c r="D60" s="5" t="s">
        <v>152</v>
      </c>
      <c r="E60" s="5">
        <v>2</v>
      </c>
      <c r="F60" s="5">
        <v>37639478</v>
      </c>
      <c r="G60" s="5">
        <v>16146974</v>
      </c>
      <c r="H60" s="6">
        <v>0.42898999999999998</v>
      </c>
      <c r="I60" s="5">
        <v>29489701</v>
      </c>
      <c r="J60" s="6">
        <v>0.78347800000000001</v>
      </c>
      <c r="K60" s="5">
        <v>8149777</v>
      </c>
      <c r="L60" s="6">
        <v>0.21652199999999999</v>
      </c>
      <c r="M60" s="5">
        <v>0</v>
      </c>
      <c r="N60" s="6">
        <v>0</v>
      </c>
      <c r="O60" s="5">
        <v>0</v>
      </c>
      <c r="P60" s="6">
        <v>1</v>
      </c>
      <c r="Q60" s="5">
        <v>15836251</v>
      </c>
      <c r="R60" s="6">
        <v>0.42073500000000003</v>
      </c>
      <c r="S60" s="5">
        <v>18772580</v>
      </c>
      <c r="T60" s="5">
        <v>18866898</v>
      </c>
      <c r="U60" s="5">
        <v>310723</v>
      </c>
      <c r="V60" s="6">
        <v>8.2552400000000005E-3</v>
      </c>
      <c r="W60" s="5">
        <v>4129.5600000000004</v>
      </c>
      <c r="X60" s="5">
        <v>21</v>
      </c>
    </row>
    <row r="61" spans="1:24" x14ac:dyDescent="0.3">
      <c r="A61" s="5" t="s">
        <v>88</v>
      </c>
      <c r="B61" s="5" t="s">
        <v>139</v>
      </c>
      <c r="C61" s="5" t="s">
        <v>15</v>
      </c>
      <c r="D61" s="5" t="s">
        <v>153</v>
      </c>
      <c r="E61" s="5">
        <v>2</v>
      </c>
      <c r="F61" s="5">
        <v>24715851</v>
      </c>
      <c r="G61" s="5">
        <v>10619137</v>
      </c>
      <c r="H61" s="6">
        <v>0.429649</v>
      </c>
      <c r="I61" s="5">
        <v>19350847</v>
      </c>
      <c r="J61" s="6">
        <v>0.78293299999999999</v>
      </c>
      <c r="K61" s="5">
        <v>5365004</v>
      </c>
      <c r="L61" s="6">
        <v>0.21706700000000001</v>
      </c>
      <c r="M61" s="5">
        <v>0</v>
      </c>
      <c r="N61" s="6">
        <v>0</v>
      </c>
      <c r="O61" s="5">
        <v>0</v>
      </c>
      <c r="P61" s="6">
        <v>1</v>
      </c>
      <c r="Q61" s="5">
        <v>10406795</v>
      </c>
      <c r="R61" s="6">
        <v>0.42105799999999999</v>
      </c>
      <c r="S61" s="5">
        <v>12324259</v>
      </c>
      <c r="T61" s="5">
        <v>12391592</v>
      </c>
      <c r="U61" s="5">
        <v>212342</v>
      </c>
      <c r="V61" s="6">
        <v>8.5913299999999995E-3</v>
      </c>
      <c r="W61" s="5">
        <v>4012.69</v>
      </c>
      <c r="X61" s="5">
        <v>21</v>
      </c>
    </row>
    <row r="62" spans="1:24" x14ac:dyDescent="0.3">
      <c r="A62" s="5" t="s">
        <v>88</v>
      </c>
      <c r="B62" s="5" t="s">
        <v>139</v>
      </c>
      <c r="C62" s="5" t="s">
        <v>20</v>
      </c>
      <c r="D62" s="5" t="s">
        <v>154</v>
      </c>
      <c r="E62" s="5">
        <v>2</v>
      </c>
      <c r="F62" s="5">
        <v>69173640</v>
      </c>
      <c r="G62" s="5">
        <v>31501018</v>
      </c>
      <c r="H62" s="6">
        <v>0.45539000000000002</v>
      </c>
      <c r="I62" s="5">
        <v>53261629</v>
      </c>
      <c r="J62" s="6">
        <v>0.76997000000000004</v>
      </c>
      <c r="K62" s="5">
        <v>15912011</v>
      </c>
      <c r="L62" s="6">
        <v>0.23003000000000001</v>
      </c>
      <c r="M62" s="5">
        <v>0</v>
      </c>
      <c r="N62" s="6">
        <v>0</v>
      </c>
      <c r="O62" s="5">
        <v>0</v>
      </c>
      <c r="P62" s="6">
        <v>1</v>
      </c>
      <c r="Q62" s="5">
        <v>30910000</v>
      </c>
      <c r="R62" s="6">
        <v>0.44684699999999999</v>
      </c>
      <c r="S62" s="5">
        <v>34497860</v>
      </c>
      <c r="T62" s="5">
        <v>34675780</v>
      </c>
      <c r="U62" s="5">
        <v>591018</v>
      </c>
      <c r="V62" s="6">
        <v>8.5439799999999996E-3</v>
      </c>
      <c r="W62" s="5">
        <v>5641.7</v>
      </c>
      <c r="X62" s="5">
        <v>21</v>
      </c>
    </row>
    <row r="63" spans="1:24" x14ac:dyDescent="0.3">
      <c r="A63" s="5" t="s">
        <v>88</v>
      </c>
      <c r="B63" s="5" t="s">
        <v>139</v>
      </c>
      <c r="C63" s="5" t="s">
        <v>20</v>
      </c>
      <c r="D63" s="5" t="s">
        <v>155</v>
      </c>
      <c r="E63" s="5">
        <v>2</v>
      </c>
      <c r="F63" s="5">
        <v>26227894</v>
      </c>
      <c r="G63" s="5">
        <v>12143248</v>
      </c>
      <c r="H63" s="6">
        <v>0.46299000000000001</v>
      </c>
      <c r="I63" s="5">
        <v>20101777</v>
      </c>
      <c r="J63" s="6">
        <v>0.76642699999999997</v>
      </c>
      <c r="K63" s="5">
        <v>6126117</v>
      </c>
      <c r="L63" s="6">
        <v>0.233573</v>
      </c>
      <c r="M63" s="5">
        <v>0</v>
      </c>
      <c r="N63" s="6">
        <v>0</v>
      </c>
      <c r="O63" s="5">
        <v>0</v>
      </c>
      <c r="P63" s="6">
        <v>1</v>
      </c>
      <c r="Q63" s="5">
        <v>11909304</v>
      </c>
      <c r="R63" s="6">
        <v>0.45406999999999997</v>
      </c>
      <c r="S63" s="5">
        <v>13074507</v>
      </c>
      <c r="T63" s="5">
        <v>13153387</v>
      </c>
      <c r="U63" s="5">
        <v>233944</v>
      </c>
      <c r="V63" s="6">
        <v>8.9196599999999994E-3</v>
      </c>
      <c r="W63" s="5">
        <v>5526.22</v>
      </c>
      <c r="X63" s="5">
        <v>21</v>
      </c>
    </row>
    <row r="64" spans="1:24" x14ac:dyDescent="0.3">
      <c r="A64" s="5" t="s">
        <v>88</v>
      </c>
      <c r="B64" s="5" t="s">
        <v>43</v>
      </c>
      <c r="C64" s="5" t="s">
        <v>10</v>
      </c>
      <c r="D64" s="5" t="s">
        <v>156</v>
      </c>
      <c r="E64" s="5">
        <v>2</v>
      </c>
      <c r="F64" s="5">
        <v>17741387</v>
      </c>
      <c r="G64" s="5">
        <v>6816772</v>
      </c>
      <c r="H64" s="6">
        <v>0.38423000000000002</v>
      </c>
      <c r="I64" s="5">
        <v>14284954</v>
      </c>
      <c r="J64" s="6">
        <v>0.80517700000000003</v>
      </c>
      <c r="K64" s="5">
        <v>3456433</v>
      </c>
      <c r="L64" s="6">
        <v>0.194823</v>
      </c>
      <c r="M64" s="5">
        <v>0</v>
      </c>
      <c r="N64" s="6">
        <v>0</v>
      </c>
      <c r="O64" s="5">
        <v>0</v>
      </c>
      <c r="P64" s="6">
        <v>1</v>
      </c>
      <c r="Q64" s="5">
        <v>6638445</v>
      </c>
      <c r="R64" s="6">
        <v>0.36967699999999998</v>
      </c>
      <c r="S64" s="5">
        <v>8839476</v>
      </c>
      <c r="T64" s="5">
        <v>8901911</v>
      </c>
      <c r="U64" s="5">
        <v>178327</v>
      </c>
      <c r="V64" s="6">
        <v>1.00515E-2</v>
      </c>
      <c r="W64" s="5">
        <v>4394.13</v>
      </c>
      <c r="X64" s="5">
        <v>21</v>
      </c>
    </row>
    <row r="65" spans="1:24" x14ac:dyDescent="0.3">
      <c r="A65" s="5" t="s">
        <v>88</v>
      </c>
      <c r="B65" s="5" t="s">
        <v>43</v>
      </c>
      <c r="C65" s="5" t="s">
        <v>10</v>
      </c>
      <c r="D65" s="5" t="s">
        <v>157</v>
      </c>
      <c r="E65" s="5">
        <v>2</v>
      </c>
      <c r="F65" s="5">
        <v>16055563</v>
      </c>
      <c r="G65" s="5">
        <v>6775909</v>
      </c>
      <c r="H65" s="6">
        <v>0.42202899999999999</v>
      </c>
      <c r="I65" s="5">
        <v>12631459</v>
      </c>
      <c r="J65" s="6">
        <v>0.78673400000000004</v>
      </c>
      <c r="K65" s="5">
        <v>3424104</v>
      </c>
      <c r="L65" s="6">
        <v>0.21326600000000001</v>
      </c>
      <c r="M65" s="5">
        <v>0</v>
      </c>
      <c r="N65" s="6">
        <v>0</v>
      </c>
      <c r="O65" s="5">
        <v>0</v>
      </c>
      <c r="P65" s="6">
        <v>1</v>
      </c>
      <c r="Q65" s="5">
        <v>6633415</v>
      </c>
      <c r="R65" s="6">
        <v>0.41315400000000002</v>
      </c>
      <c r="S65" s="5">
        <v>8005273</v>
      </c>
      <c r="T65" s="5">
        <v>8050290</v>
      </c>
      <c r="U65" s="5">
        <v>142494</v>
      </c>
      <c r="V65" s="6">
        <v>8.8750500000000006E-3</v>
      </c>
      <c r="W65" s="5">
        <v>4815.8599999999997</v>
      </c>
      <c r="X65" s="5">
        <v>21</v>
      </c>
    </row>
    <row r="66" spans="1:24" x14ac:dyDescent="0.3">
      <c r="A66" s="5" t="s">
        <v>88</v>
      </c>
      <c r="B66" s="5" t="s">
        <v>43</v>
      </c>
      <c r="C66" s="5" t="s">
        <v>10</v>
      </c>
      <c r="D66" s="5" t="s">
        <v>158</v>
      </c>
      <c r="E66" s="5">
        <v>2</v>
      </c>
      <c r="F66" s="5">
        <v>20821646</v>
      </c>
      <c r="G66" s="5">
        <v>9231599</v>
      </c>
      <c r="H66" s="6">
        <v>0.44336500000000001</v>
      </c>
      <c r="I66" s="5">
        <v>16159740</v>
      </c>
      <c r="J66" s="6">
        <v>0.77610299999999999</v>
      </c>
      <c r="K66" s="5">
        <v>4661906</v>
      </c>
      <c r="L66" s="6">
        <v>0.22389700000000001</v>
      </c>
      <c r="M66" s="5">
        <v>0</v>
      </c>
      <c r="N66" s="6">
        <v>0</v>
      </c>
      <c r="O66" s="5">
        <v>0</v>
      </c>
      <c r="P66" s="6">
        <v>1</v>
      </c>
      <c r="Q66" s="5">
        <v>9019345</v>
      </c>
      <c r="R66" s="6">
        <v>0.433172</v>
      </c>
      <c r="S66" s="5">
        <v>10374492</v>
      </c>
      <c r="T66" s="5">
        <v>10447154</v>
      </c>
      <c r="U66" s="5">
        <v>212254</v>
      </c>
      <c r="V66" s="6">
        <v>1.0193900000000001E-2</v>
      </c>
      <c r="W66" s="5">
        <v>5780.08</v>
      </c>
      <c r="X66" s="5">
        <v>21</v>
      </c>
    </row>
    <row r="67" spans="1:24" x14ac:dyDescent="0.3">
      <c r="A67" s="5" t="s">
        <v>88</v>
      </c>
      <c r="B67" s="5" t="s">
        <v>43</v>
      </c>
      <c r="C67" s="5" t="s">
        <v>15</v>
      </c>
      <c r="D67" s="5" t="s">
        <v>161</v>
      </c>
      <c r="E67" s="5">
        <v>2</v>
      </c>
      <c r="F67" s="5">
        <v>48595821</v>
      </c>
      <c r="G67" s="5">
        <v>23464426</v>
      </c>
      <c r="H67" s="6">
        <v>0.48284899999999997</v>
      </c>
      <c r="I67" s="5">
        <v>36732499</v>
      </c>
      <c r="J67" s="6">
        <v>0.75587800000000005</v>
      </c>
      <c r="K67" s="5">
        <v>11863322</v>
      </c>
      <c r="L67" s="6">
        <v>0.24412200000000001</v>
      </c>
      <c r="M67" s="5">
        <v>0</v>
      </c>
      <c r="N67" s="6">
        <v>0</v>
      </c>
      <c r="O67" s="5">
        <v>0</v>
      </c>
      <c r="P67" s="6">
        <v>1</v>
      </c>
      <c r="Q67" s="5">
        <v>23029593</v>
      </c>
      <c r="R67" s="6">
        <v>0.47390100000000002</v>
      </c>
      <c r="S67" s="5">
        <v>24229956</v>
      </c>
      <c r="T67" s="5">
        <v>24365865</v>
      </c>
      <c r="U67" s="5">
        <v>434833</v>
      </c>
      <c r="V67" s="6">
        <v>8.9479499999999997E-3</v>
      </c>
      <c r="W67" s="5">
        <v>6210.6</v>
      </c>
      <c r="X67" s="5">
        <v>21</v>
      </c>
    </row>
    <row r="68" spans="1:24" x14ac:dyDescent="0.3">
      <c r="A68" s="5" t="s">
        <v>88</v>
      </c>
      <c r="B68" s="5" t="s">
        <v>43</v>
      </c>
      <c r="C68" s="5" t="s">
        <v>15</v>
      </c>
      <c r="D68" s="5" t="s">
        <v>159</v>
      </c>
      <c r="E68" s="5">
        <v>2</v>
      </c>
      <c r="F68" s="5">
        <v>34176093</v>
      </c>
      <c r="G68" s="5">
        <v>15766341</v>
      </c>
      <c r="H68" s="6">
        <v>0.46132699999999999</v>
      </c>
      <c r="I68" s="5">
        <v>26214558</v>
      </c>
      <c r="J68" s="6">
        <v>0.76704399999999995</v>
      </c>
      <c r="K68" s="5">
        <v>7961535</v>
      </c>
      <c r="L68" s="6">
        <v>0.232956</v>
      </c>
      <c r="M68" s="5">
        <v>0</v>
      </c>
      <c r="N68" s="6">
        <v>0</v>
      </c>
      <c r="O68" s="5">
        <v>0</v>
      </c>
      <c r="P68" s="6">
        <v>1</v>
      </c>
      <c r="Q68" s="5">
        <v>15457171</v>
      </c>
      <c r="R68" s="6">
        <v>0.45228000000000002</v>
      </c>
      <c r="S68" s="5">
        <v>17038844</v>
      </c>
      <c r="T68" s="5">
        <v>17137249</v>
      </c>
      <c r="U68" s="5">
        <v>309170</v>
      </c>
      <c r="V68" s="6">
        <v>9.0463799999999997E-3</v>
      </c>
      <c r="W68" s="5">
        <v>5940.09</v>
      </c>
      <c r="X68" s="5">
        <v>21</v>
      </c>
    </row>
    <row r="69" spans="1:24" x14ac:dyDescent="0.3">
      <c r="A69" s="5" t="s">
        <v>88</v>
      </c>
      <c r="B69" s="5" t="s">
        <v>43</v>
      </c>
      <c r="C69" s="5" t="s">
        <v>15</v>
      </c>
      <c r="D69" s="5" t="s">
        <v>160</v>
      </c>
      <c r="E69" s="5">
        <v>2</v>
      </c>
      <c r="F69" s="5">
        <v>25295055</v>
      </c>
      <c r="G69" s="5">
        <v>11453216</v>
      </c>
      <c r="H69" s="6">
        <v>0.45278499999999999</v>
      </c>
      <c r="I69" s="5">
        <v>19514901</v>
      </c>
      <c r="J69" s="6">
        <v>0.77149100000000004</v>
      </c>
      <c r="K69" s="5">
        <v>5780154</v>
      </c>
      <c r="L69" s="6">
        <v>0.22850899999999999</v>
      </c>
      <c r="M69" s="5">
        <v>0</v>
      </c>
      <c r="N69" s="6">
        <v>0</v>
      </c>
      <c r="O69" s="5">
        <v>0</v>
      </c>
      <c r="P69" s="6">
        <v>1</v>
      </c>
      <c r="Q69" s="5">
        <v>11247527</v>
      </c>
      <c r="R69" s="6">
        <v>0.44465300000000002</v>
      </c>
      <c r="S69" s="5">
        <v>12617989</v>
      </c>
      <c r="T69" s="5">
        <v>12677066</v>
      </c>
      <c r="U69" s="5">
        <v>205689</v>
      </c>
      <c r="V69" s="6">
        <v>8.1315899999999993E-3</v>
      </c>
      <c r="W69" s="5">
        <v>4745.3900000000003</v>
      </c>
      <c r="X69" s="5">
        <v>21</v>
      </c>
    </row>
    <row r="70" spans="1:24" s="5" customFormat="1" x14ac:dyDescent="0.3">
      <c r="A70" t="s">
        <v>97</v>
      </c>
      <c r="B70" t="s">
        <v>139</v>
      </c>
      <c r="C70" t="s">
        <v>10</v>
      </c>
      <c r="D70" t="s">
        <v>75</v>
      </c>
      <c r="E70">
        <v>1</v>
      </c>
      <c r="F70">
        <v>11062877</v>
      </c>
      <c r="G70">
        <v>10978049</v>
      </c>
      <c r="H70" s="3">
        <v>0.99233199999999999</v>
      </c>
      <c r="I70">
        <v>5569334</v>
      </c>
      <c r="J70" s="3">
        <v>0.50342500000000001</v>
      </c>
      <c r="K70">
        <v>5493543</v>
      </c>
      <c r="L70" s="3">
        <v>0.49657499999999999</v>
      </c>
      <c r="M70">
        <v>1638196</v>
      </c>
      <c r="N70" s="3">
        <v>0.14807999999999999</v>
      </c>
      <c r="O70">
        <v>0</v>
      </c>
      <c r="P70" s="7">
        <v>1</v>
      </c>
      <c r="Q70">
        <v>10964076</v>
      </c>
      <c r="R70" s="3">
        <v>0.99106899999999998</v>
      </c>
      <c r="S70">
        <v>5529968</v>
      </c>
      <c r="T70">
        <v>5532909</v>
      </c>
      <c r="U70">
        <v>13973</v>
      </c>
      <c r="V70" s="3">
        <v>1.2630499999999999E-3</v>
      </c>
      <c r="W70">
        <v>839.279</v>
      </c>
      <c r="X70">
        <v>37</v>
      </c>
    </row>
    <row r="71" spans="1:24" s="5" customFormat="1" x14ac:dyDescent="0.3">
      <c r="A71" t="s">
        <v>97</v>
      </c>
      <c r="B71" t="s">
        <v>139</v>
      </c>
      <c r="C71" t="s">
        <v>10</v>
      </c>
      <c r="D71" t="s">
        <v>80</v>
      </c>
      <c r="E71">
        <v>1</v>
      </c>
      <c r="F71">
        <v>9942190</v>
      </c>
      <c r="G71">
        <v>9877462</v>
      </c>
      <c r="H71" s="3">
        <v>0.99348999999999998</v>
      </c>
      <c r="I71">
        <v>4998947</v>
      </c>
      <c r="J71" s="3">
        <v>0.50280100000000005</v>
      </c>
      <c r="K71">
        <v>4943243</v>
      </c>
      <c r="L71" s="3">
        <v>0.497199</v>
      </c>
      <c r="M71">
        <v>1488369</v>
      </c>
      <c r="N71" s="3">
        <v>0.149702</v>
      </c>
      <c r="O71">
        <v>0</v>
      </c>
      <c r="P71" s="7">
        <v>1</v>
      </c>
      <c r="Q71">
        <v>9865369</v>
      </c>
      <c r="R71" s="3">
        <v>0.99227299999999996</v>
      </c>
      <c r="S71">
        <v>4969138</v>
      </c>
      <c r="T71">
        <v>4973052</v>
      </c>
      <c r="U71">
        <v>12093</v>
      </c>
      <c r="V71" s="3">
        <v>1.2163300000000001E-3</v>
      </c>
      <c r="W71">
        <v>892.904</v>
      </c>
      <c r="X71">
        <v>38</v>
      </c>
    </row>
    <row r="72" spans="1:24" s="5" customFormat="1" x14ac:dyDescent="0.3">
      <c r="A72" t="s">
        <v>97</v>
      </c>
      <c r="B72" t="s">
        <v>139</v>
      </c>
      <c r="C72" t="s">
        <v>15</v>
      </c>
      <c r="D72" t="s">
        <v>82</v>
      </c>
      <c r="E72">
        <v>1</v>
      </c>
      <c r="F72">
        <v>10630144</v>
      </c>
      <c r="G72">
        <v>10536819</v>
      </c>
      <c r="H72" s="3">
        <v>0.99122100000000002</v>
      </c>
      <c r="I72">
        <v>5357575</v>
      </c>
      <c r="J72" s="3">
        <v>0.50399799999999995</v>
      </c>
      <c r="K72">
        <v>5272569</v>
      </c>
      <c r="L72" s="3">
        <v>0.496002</v>
      </c>
      <c r="M72">
        <v>1465330</v>
      </c>
      <c r="N72" s="3">
        <v>0.137847</v>
      </c>
      <c r="O72">
        <v>0</v>
      </c>
      <c r="P72" s="7">
        <v>1</v>
      </c>
      <c r="Q72">
        <v>10525329</v>
      </c>
      <c r="R72" s="3">
        <v>0.99014000000000002</v>
      </c>
      <c r="S72">
        <v>5313836</v>
      </c>
      <c r="T72">
        <v>5316308</v>
      </c>
      <c r="U72">
        <v>11490</v>
      </c>
      <c r="V72" s="3">
        <v>1.0808899999999999E-3</v>
      </c>
      <c r="W72">
        <v>691.73699999999997</v>
      </c>
      <c r="X72">
        <v>36</v>
      </c>
    </row>
    <row r="73" spans="1:24" s="5" customFormat="1" x14ac:dyDescent="0.3">
      <c r="A73" t="s">
        <v>97</v>
      </c>
      <c r="B73" t="s">
        <v>139</v>
      </c>
      <c r="C73" t="s">
        <v>15</v>
      </c>
      <c r="D73" t="s">
        <v>83</v>
      </c>
      <c r="E73">
        <v>1</v>
      </c>
      <c r="F73">
        <v>9806240</v>
      </c>
      <c r="G73">
        <v>9730916</v>
      </c>
      <c r="H73" s="3">
        <v>0.99231899999999995</v>
      </c>
      <c r="I73">
        <v>4936343</v>
      </c>
      <c r="J73" s="3">
        <v>0.50338799999999995</v>
      </c>
      <c r="K73">
        <v>4869897</v>
      </c>
      <c r="L73" s="3">
        <v>0.496612</v>
      </c>
      <c r="M73">
        <v>1379455</v>
      </c>
      <c r="N73" s="3">
        <v>0.14067099999999999</v>
      </c>
      <c r="O73">
        <v>0</v>
      </c>
      <c r="P73" s="7">
        <v>1</v>
      </c>
      <c r="Q73">
        <v>9719499</v>
      </c>
      <c r="R73" s="3">
        <v>0.99115399999999998</v>
      </c>
      <c r="S73">
        <v>4901626</v>
      </c>
      <c r="T73">
        <v>4904614</v>
      </c>
      <c r="U73">
        <v>11417</v>
      </c>
      <c r="V73" s="3">
        <v>1.1642600000000001E-3</v>
      </c>
      <c r="W73">
        <v>821.90200000000004</v>
      </c>
      <c r="X73">
        <v>37</v>
      </c>
    </row>
    <row r="74" spans="1:24" s="5" customFormat="1" x14ac:dyDescent="0.3">
      <c r="A74" t="s">
        <v>97</v>
      </c>
      <c r="B74" t="s">
        <v>139</v>
      </c>
      <c r="C74" t="s">
        <v>20</v>
      </c>
      <c r="D74" t="s">
        <v>85</v>
      </c>
      <c r="E74">
        <v>1</v>
      </c>
      <c r="F74">
        <v>10103396</v>
      </c>
      <c r="G74">
        <v>10024183</v>
      </c>
      <c r="H74" s="3">
        <v>0.99216000000000004</v>
      </c>
      <c r="I74">
        <v>5086982</v>
      </c>
      <c r="J74" s="3">
        <v>0.50349200000000005</v>
      </c>
      <c r="K74">
        <v>5016414</v>
      </c>
      <c r="L74" s="3">
        <v>0.496508</v>
      </c>
      <c r="M74">
        <v>1300390</v>
      </c>
      <c r="N74" s="3">
        <v>0.12870799999999999</v>
      </c>
      <c r="O74">
        <v>0</v>
      </c>
      <c r="P74" s="7">
        <v>1</v>
      </c>
      <c r="Q74">
        <v>10013523</v>
      </c>
      <c r="R74" s="3">
        <v>0.99110500000000001</v>
      </c>
      <c r="S74">
        <v>5050138</v>
      </c>
      <c r="T74">
        <v>5053258</v>
      </c>
      <c r="U74">
        <v>10660</v>
      </c>
      <c r="V74" s="3">
        <v>1.0550900000000001E-3</v>
      </c>
      <c r="W74">
        <v>840.49800000000005</v>
      </c>
      <c r="X74">
        <v>36</v>
      </c>
    </row>
    <row r="75" spans="1:24" s="5" customFormat="1" x14ac:dyDescent="0.3">
      <c r="A75" t="s">
        <v>97</v>
      </c>
      <c r="B75" t="s">
        <v>139</v>
      </c>
      <c r="C75" t="s">
        <v>20</v>
      </c>
      <c r="D75" t="s">
        <v>86</v>
      </c>
      <c r="E75">
        <v>1</v>
      </c>
      <c r="F75">
        <v>10203152</v>
      </c>
      <c r="G75">
        <v>10137359</v>
      </c>
      <c r="H75" s="3">
        <v>0.99355199999999999</v>
      </c>
      <c r="I75">
        <v>5128940</v>
      </c>
      <c r="J75" s="3">
        <v>0.50268199999999996</v>
      </c>
      <c r="K75">
        <v>5074212</v>
      </c>
      <c r="L75" s="3">
        <v>0.49731799999999998</v>
      </c>
      <c r="M75">
        <v>1576676</v>
      </c>
      <c r="N75" s="3">
        <v>0.154528</v>
      </c>
      <c r="O75">
        <v>0</v>
      </c>
      <c r="P75" s="7">
        <v>1</v>
      </c>
      <c r="Q75">
        <v>10124326</v>
      </c>
      <c r="R75" s="3">
        <v>0.99227399999999999</v>
      </c>
      <c r="S75">
        <v>5100315</v>
      </c>
      <c r="T75">
        <v>5102837</v>
      </c>
      <c r="U75">
        <v>13033</v>
      </c>
      <c r="V75" s="3">
        <v>1.27735E-3</v>
      </c>
      <c r="W75">
        <v>930.64400000000001</v>
      </c>
      <c r="X75">
        <v>39</v>
      </c>
    </row>
    <row r="76" spans="1:24" s="5" customFormat="1" x14ac:dyDescent="0.3">
      <c r="A76" t="s">
        <v>97</v>
      </c>
      <c r="B76" t="s">
        <v>139</v>
      </c>
      <c r="C76" t="s">
        <v>25</v>
      </c>
      <c r="D76" t="s">
        <v>89</v>
      </c>
      <c r="E76">
        <v>1</v>
      </c>
      <c r="F76">
        <v>9562477</v>
      </c>
      <c r="G76">
        <v>9509437</v>
      </c>
      <c r="H76" s="3">
        <v>0.99445300000000003</v>
      </c>
      <c r="I76">
        <v>4805011</v>
      </c>
      <c r="J76" s="3">
        <v>0.50248599999999999</v>
      </c>
      <c r="K76">
        <v>4757466</v>
      </c>
      <c r="L76" s="3">
        <v>0.49751400000000001</v>
      </c>
      <c r="M76">
        <v>1647024</v>
      </c>
      <c r="N76" s="3">
        <v>0.172238</v>
      </c>
      <c r="O76">
        <v>0</v>
      </c>
      <c r="P76" s="7">
        <v>1</v>
      </c>
      <c r="Q76">
        <v>9500624</v>
      </c>
      <c r="R76" s="3">
        <v>0.99353199999999997</v>
      </c>
      <c r="S76">
        <v>4779412</v>
      </c>
      <c r="T76">
        <v>4783065</v>
      </c>
      <c r="U76">
        <v>8813</v>
      </c>
      <c r="V76" s="3">
        <v>9.21623E-4</v>
      </c>
      <c r="W76">
        <v>876.58299999999997</v>
      </c>
      <c r="X76">
        <v>41</v>
      </c>
    </row>
    <row r="77" spans="1:24" s="5" customFormat="1" x14ac:dyDescent="0.3">
      <c r="A77" t="s">
        <v>97</v>
      </c>
      <c r="B77" t="s">
        <v>139</v>
      </c>
      <c r="C77" t="s">
        <v>25</v>
      </c>
      <c r="D77" t="s">
        <v>90</v>
      </c>
      <c r="E77">
        <v>1</v>
      </c>
      <c r="F77">
        <v>11322833</v>
      </c>
      <c r="G77">
        <v>11253322</v>
      </c>
      <c r="H77" s="3">
        <v>0.99386099999999999</v>
      </c>
      <c r="I77">
        <v>5690836</v>
      </c>
      <c r="J77" s="3">
        <v>0.50259799999999999</v>
      </c>
      <c r="K77">
        <v>5631997</v>
      </c>
      <c r="L77" s="3">
        <v>0.49740200000000001</v>
      </c>
      <c r="M77">
        <v>2004292</v>
      </c>
      <c r="N77" s="3">
        <v>0.177013</v>
      </c>
      <c r="O77">
        <v>0</v>
      </c>
      <c r="P77" s="7">
        <v>1</v>
      </c>
      <c r="Q77">
        <v>11239456</v>
      </c>
      <c r="R77" s="3">
        <v>0.99263599999999996</v>
      </c>
      <c r="S77">
        <v>5659982</v>
      </c>
      <c r="T77">
        <v>5662851</v>
      </c>
      <c r="U77">
        <v>13866</v>
      </c>
      <c r="V77" s="3">
        <v>1.2246100000000001E-3</v>
      </c>
      <c r="W77">
        <v>1256.5999999999999</v>
      </c>
      <c r="X77">
        <v>42</v>
      </c>
    </row>
    <row r="78" spans="1:24" s="5" customFormat="1" x14ac:dyDescent="0.3">
      <c r="A78" t="s">
        <v>97</v>
      </c>
      <c r="B78" t="s">
        <v>139</v>
      </c>
      <c r="C78" t="s">
        <v>25</v>
      </c>
      <c r="D78" t="s">
        <v>91</v>
      </c>
      <c r="E78">
        <v>1</v>
      </c>
      <c r="F78">
        <v>9655782</v>
      </c>
      <c r="G78">
        <v>9595790</v>
      </c>
      <c r="H78" s="3">
        <v>0.99378699999999998</v>
      </c>
      <c r="I78">
        <v>4853414</v>
      </c>
      <c r="J78" s="3">
        <v>0.50264299999999995</v>
      </c>
      <c r="K78">
        <v>4802368</v>
      </c>
      <c r="L78" s="3">
        <v>0.49735699999999999</v>
      </c>
      <c r="M78">
        <v>1530420</v>
      </c>
      <c r="N78" s="3">
        <v>0.158498</v>
      </c>
      <c r="O78">
        <v>0</v>
      </c>
      <c r="P78" s="7">
        <v>1</v>
      </c>
      <c r="Q78">
        <v>9584120</v>
      </c>
      <c r="R78" s="3">
        <v>0.99257799999999996</v>
      </c>
      <c r="S78">
        <v>4825568</v>
      </c>
      <c r="T78">
        <v>4830214</v>
      </c>
      <c r="U78">
        <v>11670</v>
      </c>
      <c r="V78" s="3">
        <v>1.2086E-3</v>
      </c>
      <c r="W78">
        <v>959.18100000000004</v>
      </c>
      <c r="X78">
        <v>40</v>
      </c>
    </row>
    <row r="79" spans="1:24" s="5" customFormat="1" x14ac:dyDescent="0.3">
      <c r="A79" t="s">
        <v>97</v>
      </c>
      <c r="B79" t="s">
        <v>139</v>
      </c>
      <c r="C79" t="s">
        <v>25</v>
      </c>
      <c r="D79" t="s">
        <v>92</v>
      </c>
      <c r="E79">
        <v>1</v>
      </c>
      <c r="F79">
        <v>10087347</v>
      </c>
      <c r="G79">
        <v>10017666</v>
      </c>
      <c r="H79" s="3">
        <v>0.99309199999999997</v>
      </c>
      <c r="I79">
        <v>5073474</v>
      </c>
      <c r="J79" s="3">
        <v>0.50295400000000001</v>
      </c>
      <c r="K79">
        <v>5013873</v>
      </c>
      <c r="L79" s="3">
        <v>0.49704599999999999</v>
      </c>
      <c r="M79">
        <v>1618541</v>
      </c>
      <c r="N79" s="3">
        <v>0.16045300000000001</v>
      </c>
      <c r="O79">
        <v>0</v>
      </c>
      <c r="P79" s="7">
        <v>1</v>
      </c>
      <c r="Q79">
        <v>10005025</v>
      </c>
      <c r="R79" s="3">
        <v>0.99183900000000003</v>
      </c>
      <c r="S79">
        <v>5041671</v>
      </c>
      <c r="T79">
        <v>5045676</v>
      </c>
      <c r="U79">
        <v>12641</v>
      </c>
      <c r="V79" s="3">
        <v>1.25315E-3</v>
      </c>
      <c r="W79">
        <v>1127</v>
      </c>
      <c r="X79">
        <v>40</v>
      </c>
    </row>
    <row r="80" spans="1:24" s="5" customFormat="1" x14ac:dyDescent="0.3">
      <c r="A80" t="s">
        <v>97</v>
      </c>
      <c r="B80" t="s">
        <v>139</v>
      </c>
      <c r="C80" t="s">
        <v>34</v>
      </c>
      <c r="D80" t="s">
        <v>93</v>
      </c>
      <c r="E80">
        <v>1</v>
      </c>
      <c r="F80">
        <v>12522132</v>
      </c>
      <c r="G80">
        <v>12436020</v>
      </c>
      <c r="H80" s="3">
        <v>0.99312299999999998</v>
      </c>
      <c r="I80">
        <v>6296187</v>
      </c>
      <c r="J80" s="3">
        <v>0.50280499999999995</v>
      </c>
      <c r="K80">
        <v>6225945</v>
      </c>
      <c r="L80" s="3">
        <v>0.497195</v>
      </c>
      <c r="M80">
        <v>2086686</v>
      </c>
      <c r="N80" s="3">
        <v>0.16664000000000001</v>
      </c>
      <c r="O80">
        <v>0</v>
      </c>
      <c r="P80" s="7">
        <v>1</v>
      </c>
      <c r="Q80">
        <v>12418409</v>
      </c>
      <c r="R80" s="3">
        <v>0.99171699999999996</v>
      </c>
      <c r="S80">
        <v>6258740</v>
      </c>
      <c r="T80">
        <v>6263392</v>
      </c>
      <c r="U80">
        <v>17611</v>
      </c>
      <c r="V80" s="3">
        <v>1.40639E-3</v>
      </c>
      <c r="W80">
        <v>1246.78</v>
      </c>
      <c r="X80">
        <v>40</v>
      </c>
    </row>
    <row r="81" spans="1:24" s="5" customFormat="1" x14ac:dyDescent="0.3">
      <c r="A81" t="s">
        <v>97</v>
      </c>
      <c r="B81" t="s">
        <v>139</v>
      </c>
      <c r="C81" t="s">
        <v>34</v>
      </c>
      <c r="D81" t="s">
        <v>94</v>
      </c>
      <c r="E81">
        <v>1</v>
      </c>
      <c r="F81">
        <v>9858620</v>
      </c>
      <c r="G81">
        <v>9791713</v>
      </c>
      <c r="H81" s="3">
        <v>0.99321300000000001</v>
      </c>
      <c r="I81">
        <v>4957709</v>
      </c>
      <c r="J81" s="3">
        <v>0.50288100000000002</v>
      </c>
      <c r="K81">
        <v>4900911</v>
      </c>
      <c r="L81" s="3">
        <v>0.49711899999999998</v>
      </c>
      <c r="M81">
        <v>1578118</v>
      </c>
      <c r="N81" s="3">
        <v>0.160075</v>
      </c>
      <c r="O81">
        <v>0</v>
      </c>
      <c r="P81" s="7">
        <v>1</v>
      </c>
      <c r="Q81">
        <v>9778806</v>
      </c>
      <c r="R81" s="3">
        <v>0.99190400000000001</v>
      </c>
      <c r="S81">
        <v>4927547</v>
      </c>
      <c r="T81">
        <v>4931073</v>
      </c>
      <c r="U81">
        <v>12907</v>
      </c>
      <c r="V81" s="3">
        <v>1.3092100000000001E-3</v>
      </c>
      <c r="W81">
        <v>1181.6300000000001</v>
      </c>
      <c r="X81">
        <v>40</v>
      </c>
    </row>
    <row r="82" spans="1:24" s="5" customFormat="1" x14ac:dyDescent="0.3">
      <c r="A82" t="s">
        <v>97</v>
      </c>
      <c r="B82" t="s">
        <v>139</v>
      </c>
      <c r="C82" t="s">
        <v>34</v>
      </c>
      <c r="D82" t="s">
        <v>95</v>
      </c>
      <c r="E82">
        <v>1</v>
      </c>
      <c r="F82">
        <v>12319700</v>
      </c>
      <c r="G82">
        <v>12252589</v>
      </c>
      <c r="H82" s="3">
        <v>0.99455300000000002</v>
      </c>
      <c r="I82">
        <v>6187729</v>
      </c>
      <c r="J82" s="3">
        <v>0.50226300000000001</v>
      </c>
      <c r="K82">
        <v>6131971</v>
      </c>
      <c r="L82" s="3">
        <v>0.49773699999999999</v>
      </c>
      <c r="M82">
        <v>2016782</v>
      </c>
      <c r="N82" s="3">
        <v>0.16370399999999999</v>
      </c>
      <c r="O82">
        <v>0</v>
      </c>
      <c r="P82" s="7">
        <v>1</v>
      </c>
      <c r="Q82">
        <v>12238492</v>
      </c>
      <c r="R82" s="3">
        <v>0.99340799999999996</v>
      </c>
      <c r="S82">
        <v>6158730</v>
      </c>
      <c r="T82">
        <v>6160970</v>
      </c>
      <c r="U82">
        <v>14097</v>
      </c>
      <c r="V82" s="3">
        <v>1.14426E-3</v>
      </c>
      <c r="W82">
        <v>1034.95</v>
      </c>
      <c r="X82">
        <v>40</v>
      </c>
    </row>
    <row r="83" spans="1:24" s="5" customFormat="1" x14ac:dyDescent="0.3">
      <c r="A83" t="s">
        <v>97</v>
      </c>
      <c r="B83" t="s">
        <v>139</v>
      </c>
      <c r="C83" t="s">
        <v>34</v>
      </c>
      <c r="D83" t="s">
        <v>96</v>
      </c>
      <c r="E83">
        <v>1</v>
      </c>
      <c r="F83">
        <v>9370271</v>
      </c>
      <c r="G83">
        <v>9317963</v>
      </c>
      <c r="H83" s="3">
        <v>0.99441800000000002</v>
      </c>
      <c r="I83">
        <v>4707753</v>
      </c>
      <c r="J83" s="3">
        <v>0.50241400000000003</v>
      </c>
      <c r="K83">
        <v>4662518</v>
      </c>
      <c r="L83" s="3">
        <v>0.49758599999999997</v>
      </c>
      <c r="M83">
        <v>1652227</v>
      </c>
      <c r="N83" s="3">
        <v>0.17632600000000001</v>
      </c>
      <c r="O83">
        <v>0</v>
      </c>
      <c r="P83" s="7">
        <v>1</v>
      </c>
      <c r="Q83">
        <v>9308330</v>
      </c>
      <c r="R83" s="3">
        <v>0.99339</v>
      </c>
      <c r="S83">
        <v>4683183</v>
      </c>
      <c r="T83">
        <v>4687088</v>
      </c>
      <c r="U83">
        <v>9633</v>
      </c>
      <c r="V83" s="3">
        <v>1.02804E-3</v>
      </c>
      <c r="W83">
        <v>877.51099999999997</v>
      </c>
      <c r="X83">
        <v>41</v>
      </c>
    </row>
    <row r="84" spans="1:24" s="5" customFormat="1" x14ac:dyDescent="0.3">
      <c r="A84" t="s">
        <v>97</v>
      </c>
      <c r="B84" t="s">
        <v>43</v>
      </c>
      <c r="C84" t="s">
        <v>25</v>
      </c>
      <c r="D84" t="s">
        <v>98</v>
      </c>
      <c r="E84">
        <v>1</v>
      </c>
      <c r="F84">
        <v>10524201</v>
      </c>
      <c r="G84">
        <v>10453018</v>
      </c>
      <c r="H84" s="3">
        <v>0.99323600000000001</v>
      </c>
      <c r="I84">
        <v>5291974</v>
      </c>
      <c r="J84" s="3">
        <v>0.50283900000000004</v>
      </c>
      <c r="K84">
        <v>5232227</v>
      </c>
      <c r="L84" s="3">
        <v>0.49716100000000002</v>
      </c>
      <c r="M84">
        <v>1733010</v>
      </c>
      <c r="N84" s="3">
        <v>0.16466900000000001</v>
      </c>
      <c r="O84">
        <v>0</v>
      </c>
      <c r="P84" s="7">
        <v>1</v>
      </c>
      <c r="Q84">
        <v>10439134</v>
      </c>
      <c r="R84" s="3">
        <v>0.99191700000000005</v>
      </c>
      <c r="S84">
        <v>5260406</v>
      </c>
      <c r="T84">
        <v>5263795</v>
      </c>
      <c r="U84">
        <v>13884</v>
      </c>
      <c r="V84" s="3">
        <v>1.3192499999999999E-3</v>
      </c>
      <c r="W84">
        <v>1008</v>
      </c>
      <c r="X84">
        <v>40</v>
      </c>
    </row>
    <row r="85" spans="1:24" s="5" customFormat="1" x14ac:dyDescent="0.3">
      <c r="A85" t="s">
        <v>97</v>
      </c>
      <c r="B85" t="s">
        <v>43</v>
      </c>
      <c r="C85" t="s">
        <v>25</v>
      </c>
      <c r="D85" t="s">
        <v>101</v>
      </c>
      <c r="E85">
        <v>1</v>
      </c>
      <c r="F85">
        <v>9562807</v>
      </c>
      <c r="G85">
        <v>9497400</v>
      </c>
      <c r="H85" s="3">
        <v>0.99316000000000004</v>
      </c>
      <c r="I85">
        <v>4810598</v>
      </c>
      <c r="J85" s="3">
        <v>0.50305299999999997</v>
      </c>
      <c r="K85">
        <v>4752209</v>
      </c>
      <c r="L85" s="3">
        <v>0.49694700000000003</v>
      </c>
      <c r="M85">
        <v>1818318</v>
      </c>
      <c r="N85" s="3">
        <v>0.19014500000000001</v>
      </c>
      <c r="O85">
        <v>0</v>
      </c>
      <c r="P85" s="7">
        <v>1</v>
      </c>
      <c r="Q85">
        <v>9487460</v>
      </c>
      <c r="R85" s="3">
        <v>0.99212100000000003</v>
      </c>
      <c r="S85">
        <v>4779514</v>
      </c>
      <c r="T85">
        <v>4783293</v>
      </c>
      <c r="U85">
        <v>9940</v>
      </c>
      <c r="V85" s="3">
        <v>1.03944E-3</v>
      </c>
      <c r="W85">
        <v>1008.56</v>
      </c>
      <c r="X85">
        <v>41</v>
      </c>
    </row>
    <row r="86" spans="1:24" s="5" customFormat="1" x14ac:dyDescent="0.3">
      <c r="A86" t="s">
        <v>97</v>
      </c>
      <c r="B86" t="s">
        <v>43</v>
      </c>
      <c r="C86" t="s">
        <v>25</v>
      </c>
      <c r="D86" t="s">
        <v>102</v>
      </c>
      <c r="E86">
        <v>1</v>
      </c>
      <c r="F86">
        <v>14798452</v>
      </c>
      <c r="G86">
        <v>14720725</v>
      </c>
      <c r="H86" s="3">
        <v>0.99474799999999997</v>
      </c>
      <c r="I86">
        <v>7431716</v>
      </c>
      <c r="J86" s="3">
        <v>0.50219499999999995</v>
      </c>
      <c r="K86">
        <v>7366736</v>
      </c>
      <c r="L86" s="3">
        <v>0.49780400000000002</v>
      </c>
      <c r="M86">
        <v>2847582</v>
      </c>
      <c r="N86" s="3">
        <v>0.19242400000000001</v>
      </c>
      <c r="O86">
        <v>0</v>
      </c>
      <c r="P86" s="7">
        <v>1</v>
      </c>
      <c r="Q86">
        <v>14703396</v>
      </c>
      <c r="R86" s="3">
        <v>0.99357700000000004</v>
      </c>
      <c r="S86">
        <v>7396563</v>
      </c>
      <c r="T86">
        <v>7401889</v>
      </c>
      <c r="U86">
        <v>17329</v>
      </c>
      <c r="V86" s="3">
        <v>1.1709999999999999E-3</v>
      </c>
      <c r="W86">
        <v>1145.97</v>
      </c>
      <c r="X86">
        <v>41</v>
      </c>
    </row>
    <row r="87" spans="1:24" s="5" customFormat="1" x14ac:dyDescent="0.3">
      <c r="A87" t="s">
        <v>97</v>
      </c>
      <c r="B87" t="s">
        <v>43</v>
      </c>
      <c r="C87" t="s">
        <v>25</v>
      </c>
      <c r="D87" t="s">
        <v>103</v>
      </c>
      <c r="E87">
        <v>1</v>
      </c>
      <c r="F87">
        <v>10148791</v>
      </c>
      <c r="G87">
        <v>10078714</v>
      </c>
      <c r="H87" s="3">
        <v>0.99309499999999995</v>
      </c>
      <c r="I87">
        <v>5105772</v>
      </c>
      <c r="J87" s="3">
        <v>0.50309199999999998</v>
      </c>
      <c r="K87">
        <v>5043019</v>
      </c>
      <c r="L87" s="3">
        <v>0.49690800000000002</v>
      </c>
      <c r="M87">
        <v>1426574</v>
      </c>
      <c r="N87" s="3">
        <v>0.140566</v>
      </c>
      <c r="O87">
        <v>0</v>
      </c>
      <c r="P87" s="7">
        <v>1</v>
      </c>
      <c r="Q87">
        <v>10068605</v>
      </c>
      <c r="R87" s="3">
        <v>0.99209899999999995</v>
      </c>
      <c r="S87">
        <v>5072986</v>
      </c>
      <c r="T87">
        <v>5075805</v>
      </c>
      <c r="U87">
        <v>10109</v>
      </c>
      <c r="V87" s="3">
        <v>9.9607899999999997E-4</v>
      </c>
      <c r="W87">
        <v>663.21199999999999</v>
      </c>
      <c r="X87">
        <v>38</v>
      </c>
    </row>
    <row r="88" spans="1:24" s="5" customFormat="1" x14ac:dyDescent="0.3">
      <c r="A88" t="s">
        <v>97</v>
      </c>
      <c r="B88" t="s">
        <v>43</v>
      </c>
      <c r="C88" t="s">
        <v>34</v>
      </c>
      <c r="D88" t="s">
        <v>104</v>
      </c>
      <c r="E88">
        <v>1</v>
      </c>
      <c r="F88">
        <v>9655173</v>
      </c>
      <c r="G88">
        <v>9598869</v>
      </c>
      <c r="H88" s="3">
        <v>0.99416899999999997</v>
      </c>
      <c r="I88">
        <v>4851515</v>
      </c>
      <c r="J88" s="3">
        <v>0.50247799999999998</v>
      </c>
      <c r="K88">
        <v>4803658</v>
      </c>
      <c r="L88" s="3">
        <v>0.49752200000000002</v>
      </c>
      <c r="M88">
        <v>1521137</v>
      </c>
      <c r="N88" s="3">
        <v>0.15754599999999999</v>
      </c>
      <c r="O88">
        <v>0</v>
      </c>
      <c r="P88" s="7">
        <v>1</v>
      </c>
      <c r="Q88">
        <v>9588045</v>
      </c>
      <c r="R88" s="3">
        <v>0.99304700000000001</v>
      </c>
      <c r="S88">
        <v>4826116</v>
      </c>
      <c r="T88">
        <v>4829057</v>
      </c>
      <c r="U88">
        <v>10824</v>
      </c>
      <c r="V88" s="3">
        <v>1.1210599999999999E-3</v>
      </c>
      <c r="W88">
        <v>1297.48</v>
      </c>
      <c r="X88">
        <v>39</v>
      </c>
    </row>
    <row r="89" spans="1:24" s="5" customFormat="1" x14ac:dyDescent="0.3">
      <c r="A89" t="s">
        <v>97</v>
      </c>
      <c r="B89" t="s">
        <v>43</v>
      </c>
      <c r="C89" t="s">
        <v>34</v>
      </c>
      <c r="D89" t="s">
        <v>105</v>
      </c>
      <c r="E89">
        <v>1</v>
      </c>
      <c r="F89">
        <v>10089452</v>
      </c>
      <c r="G89">
        <v>10024902</v>
      </c>
      <c r="H89" s="3">
        <v>0.99360199999999999</v>
      </c>
      <c r="I89">
        <v>5072263</v>
      </c>
      <c r="J89" s="3">
        <v>0.50272899999999998</v>
      </c>
      <c r="K89">
        <v>5017189</v>
      </c>
      <c r="L89" s="3">
        <v>0.49727100000000002</v>
      </c>
      <c r="M89">
        <v>1747762</v>
      </c>
      <c r="N89" s="3">
        <v>0.17322699999999999</v>
      </c>
      <c r="O89">
        <v>0</v>
      </c>
      <c r="P89" s="7">
        <v>1</v>
      </c>
      <c r="Q89">
        <v>10012132</v>
      </c>
      <c r="R89" s="3">
        <v>0.99233700000000002</v>
      </c>
      <c r="S89">
        <v>5042594</v>
      </c>
      <c r="T89">
        <v>5046858</v>
      </c>
      <c r="U89">
        <v>12770</v>
      </c>
      <c r="V89" s="3">
        <v>1.2656799999999999E-3</v>
      </c>
      <c r="W89">
        <v>1250.94</v>
      </c>
      <c r="X89">
        <v>41</v>
      </c>
    </row>
    <row r="90" spans="1:24" s="5" customFormat="1" x14ac:dyDescent="0.3">
      <c r="A90" t="s">
        <v>97</v>
      </c>
      <c r="B90" t="s">
        <v>43</v>
      </c>
      <c r="C90" t="s">
        <v>34</v>
      </c>
      <c r="D90" t="s">
        <v>106</v>
      </c>
      <c r="E90">
        <v>1</v>
      </c>
      <c r="F90">
        <v>9902975</v>
      </c>
      <c r="G90">
        <v>9837137</v>
      </c>
      <c r="H90" s="3">
        <v>0.99335200000000001</v>
      </c>
      <c r="I90">
        <v>4980729</v>
      </c>
      <c r="J90" s="3">
        <v>0.50295299999999998</v>
      </c>
      <c r="K90">
        <v>4922246</v>
      </c>
      <c r="L90" s="3">
        <v>0.49704700000000002</v>
      </c>
      <c r="M90">
        <v>1574201</v>
      </c>
      <c r="N90" s="3">
        <v>0.15896199999999999</v>
      </c>
      <c r="O90">
        <v>0</v>
      </c>
      <c r="P90" s="7">
        <v>1</v>
      </c>
      <c r="Q90">
        <v>9827038</v>
      </c>
      <c r="R90" s="3">
        <v>0.99233199999999999</v>
      </c>
      <c r="S90">
        <v>4949754</v>
      </c>
      <c r="T90">
        <v>4953221</v>
      </c>
      <c r="U90">
        <v>10099</v>
      </c>
      <c r="V90" s="3">
        <v>1.01979E-3</v>
      </c>
      <c r="W90">
        <v>943.86599999999999</v>
      </c>
      <c r="X90">
        <v>40</v>
      </c>
    </row>
    <row r="91" spans="1:24" s="5" customFormat="1" x14ac:dyDescent="0.3">
      <c r="A91" t="s">
        <v>97</v>
      </c>
      <c r="B91" t="s">
        <v>43</v>
      </c>
      <c r="C91" t="s">
        <v>34</v>
      </c>
      <c r="D91" t="s">
        <v>107</v>
      </c>
      <c r="E91">
        <v>1</v>
      </c>
      <c r="F91">
        <v>9815491</v>
      </c>
      <c r="G91">
        <v>9756652</v>
      </c>
      <c r="H91" s="3">
        <v>0.99400599999999995</v>
      </c>
      <c r="I91">
        <v>4933888</v>
      </c>
      <c r="J91" s="3">
        <v>0.50266299999999997</v>
      </c>
      <c r="K91">
        <v>4881603</v>
      </c>
      <c r="L91" s="3">
        <v>0.49733699999999997</v>
      </c>
      <c r="M91">
        <v>1677931</v>
      </c>
      <c r="N91" s="3">
        <v>0.17094699999999999</v>
      </c>
      <c r="O91">
        <v>0</v>
      </c>
      <c r="P91" s="7">
        <v>1</v>
      </c>
      <c r="Q91">
        <v>9747353</v>
      </c>
      <c r="R91" s="3">
        <v>0.993058</v>
      </c>
      <c r="S91">
        <v>4906518</v>
      </c>
      <c r="T91">
        <v>4908973</v>
      </c>
      <c r="U91">
        <v>9299</v>
      </c>
      <c r="V91" s="3">
        <v>9.4738000000000005E-4</v>
      </c>
      <c r="W91">
        <v>1007.31</v>
      </c>
      <c r="X91">
        <v>41</v>
      </c>
    </row>
    <row r="92" spans="1:24" s="5" customFormat="1" x14ac:dyDescent="0.3">
      <c r="A92" t="s">
        <v>97</v>
      </c>
      <c r="B92" t="s">
        <v>139</v>
      </c>
      <c r="C92" t="s">
        <v>10</v>
      </c>
      <c r="D92" t="s">
        <v>151</v>
      </c>
      <c r="E92">
        <v>2</v>
      </c>
      <c r="F92">
        <v>39595403</v>
      </c>
      <c r="G92">
        <v>39242271</v>
      </c>
      <c r="H92" s="3">
        <v>0.99108099999999999</v>
      </c>
      <c r="I92">
        <v>19921065</v>
      </c>
      <c r="J92" s="3">
        <v>0.50311600000000001</v>
      </c>
      <c r="K92">
        <v>19674338</v>
      </c>
      <c r="L92" s="3">
        <v>0.49688399999999999</v>
      </c>
      <c r="M92">
        <v>4353588</v>
      </c>
      <c r="N92" s="3">
        <v>0.10995199999999999</v>
      </c>
      <c r="O92">
        <v>0</v>
      </c>
      <c r="P92" s="7">
        <v>1</v>
      </c>
      <c r="Q92">
        <v>39145210</v>
      </c>
      <c r="R92" s="3">
        <v>0.98863000000000001</v>
      </c>
      <c r="S92">
        <v>19787647</v>
      </c>
      <c r="T92">
        <v>19807756</v>
      </c>
      <c r="U92">
        <v>97061</v>
      </c>
      <c r="V92" s="3">
        <v>2.4513199999999999E-3</v>
      </c>
      <c r="W92">
        <v>1241.1400000000001</v>
      </c>
      <c r="X92">
        <v>37</v>
      </c>
    </row>
    <row r="93" spans="1:24" s="5" customFormat="1" x14ac:dyDescent="0.3">
      <c r="A93" t="s">
        <v>97</v>
      </c>
      <c r="B93" t="s">
        <v>139</v>
      </c>
      <c r="C93" t="s">
        <v>10</v>
      </c>
      <c r="D93" t="s">
        <v>150</v>
      </c>
      <c r="E93">
        <v>2</v>
      </c>
      <c r="F93">
        <v>19661761</v>
      </c>
      <c r="G93">
        <v>19493097</v>
      </c>
      <c r="H93" s="3">
        <v>0.99142200000000003</v>
      </c>
      <c r="I93">
        <v>9887108</v>
      </c>
      <c r="J93" s="3">
        <v>0.50285999999999997</v>
      </c>
      <c r="K93">
        <v>9774653</v>
      </c>
      <c r="L93" s="3">
        <v>0.49714000000000003</v>
      </c>
      <c r="M93">
        <v>1966489</v>
      </c>
      <c r="N93" s="3">
        <v>0.10001599999999999</v>
      </c>
      <c r="O93">
        <v>0</v>
      </c>
      <c r="P93" s="7">
        <v>1</v>
      </c>
      <c r="Q93">
        <v>19441192</v>
      </c>
      <c r="R93" s="3">
        <v>0.98878200000000005</v>
      </c>
      <c r="S93">
        <v>9822111</v>
      </c>
      <c r="T93">
        <v>9839650</v>
      </c>
      <c r="U93">
        <v>51905</v>
      </c>
      <c r="V93" s="3">
        <v>2.6399000000000001E-3</v>
      </c>
      <c r="W93">
        <v>1176.76</v>
      </c>
      <c r="X93">
        <v>36</v>
      </c>
    </row>
    <row r="94" spans="1:24" s="5" customFormat="1" x14ac:dyDescent="0.3">
      <c r="A94" t="s">
        <v>97</v>
      </c>
      <c r="B94" t="s">
        <v>139</v>
      </c>
      <c r="C94" t="s">
        <v>15</v>
      </c>
      <c r="D94" t="s">
        <v>152</v>
      </c>
      <c r="E94">
        <v>2</v>
      </c>
      <c r="F94">
        <v>37565825</v>
      </c>
      <c r="G94">
        <v>37204582</v>
      </c>
      <c r="H94" s="3">
        <v>0.99038400000000004</v>
      </c>
      <c r="I94">
        <v>18908287</v>
      </c>
      <c r="J94" s="3">
        <v>0.50333799999999995</v>
      </c>
      <c r="K94">
        <v>18657538</v>
      </c>
      <c r="L94" s="3">
        <v>0.49666300000000002</v>
      </c>
      <c r="M94">
        <v>3094649</v>
      </c>
      <c r="N94" s="3">
        <v>8.2379400000000005E-2</v>
      </c>
      <c r="O94">
        <v>0</v>
      </c>
      <c r="P94" s="7">
        <v>1</v>
      </c>
      <c r="Q94">
        <v>37104762</v>
      </c>
      <c r="R94" s="3">
        <v>0.98772700000000002</v>
      </c>
      <c r="S94">
        <v>18771705</v>
      </c>
      <c r="T94">
        <v>18794120</v>
      </c>
      <c r="U94">
        <v>99820</v>
      </c>
      <c r="V94" s="3">
        <v>2.6572000000000002E-3</v>
      </c>
      <c r="W94">
        <v>1029.4100000000001</v>
      </c>
      <c r="X94">
        <v>34</v>
      </c>
    </row>
    <row r="95" spans="1:24" s="5" customFormat="1" x14ac:dyDescent="0.3">
      <c r="A95" t="s">
        <v>97</v>
      </c>
      <c r="B95" t="s">
        <v>139</v>
      </c>
      <c r="C95" t="s">
        <v>15</v>
      </c>
      <c r="D95" t="s">
        <v>153</v>
      </c>
      <c r="E95">
        <v>2</v>
      </c>
      <c r="F95">
        <v>24670537</v>
      </c>
      <c r="G95">
        <v>24412938</v>
      </c>
      <c r="H95" s="3">
        <v>0.98955800000000005</v>
      </c>
      <c r="I95">
        <v>12426450</v>
      </c>
      <c r="J95" s="3">
        <v>0.50369600000000003</v>
      </c>
      <c r="K95">
        <v>12244087</v>
      </c>
      <c r="L95" s="3">
        <v>0.49630400000000002</v>
      </c>
      <c r="M95">
        <v>2119815</v>
      </c>
      <c r="N95" s="3">
        <v>8.5925000000000001E-2</v>
      </c>
      <c r="O95">
        <v>0</v>
      </c>
      <c r="P95" s="7">
        <v>1</v>
      </c>
      <c r="Q95">
        <v>24344766</v>
      </c>
      <c r="R95" s="3">
        <v>0.98679499999999998</v>
      </c>
      <c r="S95">
        <v>12327138</v>
      </c>
      <c r="T95">
        <v>12343399</v>
      </c>
      <c r="U95">
        <v>68172</v>
      </c>
      <c r="V95" s="3">
        <v>2.7632999999999998E-3</v>
      </c>
      <c r="W95">
        <v>1043.03</v>
      </c>
      <c r="X95">
        <v>35</v>
      </c>
    </row>
    <row r="96" spans="1:24" s="5" customFormat="1" x14ac:dyDescent="0.3">
      <c r="A96" t="s">
        <v>97</v>
      </c>
      <c r="B96" t="s">
        <v>139</v>
      </c>
      <c r="C96" t="s">
        <v>20</v>
      </c>
      <c r="D96" t="s">
        <v>154</v>
      </c>
      <c r="E96">
        <v>2</v>
      </c>
      <c r="F96">
        <v>69037031</v>
      </c>
      <c r="G96">
        <v>68383956</v>
      </c>
      <c r="H96" s="3">
        <v>0.99053999999999998</v>
      </c>
      <c r="I96">
        <v>34748161</v>
      </c>
      <c r="J96" s="3">
        <v>0.50332600000000005</v>
      </c>
      <c r="K96">
        <v>34288870</v>
      </c>
      <c r="L96" s="3">
        <v>0.496674</v>
      </c>
      <c r="M96">
        <v>6836389</v>
      </c>
      <c r="N96" s="3">
        <v>9.9025000000000002E-2</v>
      </c>
      <c r="O96">
        <v>0</v>
      </c>
      <c r="P96" s="7">
        <v>1</v>
      </c>
      <c r="Q96">
        <v>68205690</v>
      </c>
      <c r="R96" s="3">
        <v>0.987958</v>
      </c>
      <c r="S96">
        <v>34497298</v>
      </c>
      <c r="T96">
        <v>34539733</v>
      </c>
      <c r="U96">
        <v>178266</v>
      </c>
      <c r="V96" s="3">
        <v>2.5821799999999999E-3</v>
      </c>
      <c r="W96">
        <v>1331.33</v>
      </c>
      <c r="X96">
        <v>36</v>
      </c>
    </row>
    <row r="97" spans="1:31" s="5" customFormat="1" x14ac:dyDescent="0.3">
      <c r="A97" t="s">
        <v>97</v>
      </c>
      <c r="B97" t="s">
        <v>139</v>
      </c>
      <c r="C97" t="s">
        <v>20</v>
      </c>
      <c r="D97" t="s">
        <v>155</v>
      </c>
      <c r="E97">
        <v>2</v>
      </c>
      <c r="F97">
        <v>26166750</v>
      </c>
      <c r="G97">
        <v>25930461</v>
      </c>
      <c r="H97" s="3">
        <v>0.99097000000000002</v>
      </c>
      <c r="I97">
        <v>13162607</v>
      </c>
      <c r="J97" s="3">
        <v>0.50302800000000003</v>
      </c>
      <c r="K97">
        <v>13004143</v>
      </c>
      <c r="L97" s="3">
        <v>0.49697200000000002</v>
      </c>
      <c r="M97">
        <v>2525279</v>
      </c>
      <c r="N97" s="3">
        <v>9.6507200000000001E-2</v>
      </c>
      <c r="O97">
        <v>0</v>
      </c>
      <c r="P97" s="7">
        <v>1</v>
      </c>
      <c r="Q97">
        <v>25859135</v>
      </c>
      <c r="R97" s="3">
        <v>0.98824400000000001</v>
      </c>
      <c r="S97">
        <v>13073649</v>
      </c>
      <c r="T97">
        <v>13093101</v>
      </c>
      <c r="U97">
        <v>71326</v>
      </c>
      <c r="V97" s="3">
        <v>2.7258299999999998E-3</v>
      </c>
      <c r="W97">
        <v>1342.48</v>
      </c>
      <c r="X97">
        <v>35</v>
      </c>
      <c r="AC97"/>
      <c r="AD97"/>
      <c r="AE97"/>
    </row>
    <row r="98" spans="1:31" s="5" customFormat="1" x14ac:dyDescent="0.3">
      <c r="A98" t="s">
        <v>97</v>
      </c>
      <c r="B98" t="s">
        <v>43</v>
      </c>
      <c r="C98" t="s">
        <v>10</v>
      </c>
      <c r="D98" t="s">
        <v>156</v>
      </c>
      <c r="E98">
        <v>2</v>
      </c>
      <c r="F98">
        <v>17695864</v>
      </c>
      <c r="G98">
        <v>17490098</v>
      </c>
      <c r="H98" s="3">
        <v>0.98837200000000003</v>
      </c>
      <c r="I98">
        <v>8918662</v>
      </c>
      <c r="J98" s="3">
        <v>0.50399700000000003</v>
      </c>
      <c r="K98">
        <v>8777202</v>
      </c>
      <c r="L98" s="3">
        <v>0.49600300000000003</v>
      </c>
      <c r="M98">
        <v>1403963</v>
      </c>
      <c r="N98" s="3">
        <v>7.9338500000000006E-2</v>
      </c>
      <c r="O98">
        <v>0</v>
      </c>
      <c r="P98" s="7">
        <v>1</v>
      </c>
      <c r="Q98">
        <v>17429016</v>
      </c>
      <c r="R98" s="3">
        <v>0.98492000000000002</v>
      </c>
      <c r="S98">
        <v>8839368</v>
      </c>
      <c r="T98">
        <v>8856496</v>
      </c>
      <c r="U98">
        <v>61082</v>
      </c>
      <c r="V98" s="3">
        <v>3.4517699999999998E-3</v>
      </c>
      <c r="W98">
        <v>953.83699999999999</v>
      </c>
      <c r="X98">
        <v>34</v>
      </c>
      <c r="AC98"/>
      <c r="AD98"/>
      <c r="AE98"/>
    </row>
    <row r="99" spans="1:31" s="5" customFormat="1" x14ac:dyDescent="0.3">
      <c r="A99" t="s">
        <v>97</v>
      </c>
      <c r="B99" t="s">
        <v>43</v>
      </c>
      <c r="C99" t="s">
        <v>10</v>
      </c>
      <c r="D99" t="s">
        <v>157</v>
      </c>
      <c r="E99">
        <v>2</v>
      </c>
      <c r="F99">
        <v>16019373</v>
      </c>
      <c r="G99">
        <v>15855049</v>
      </c>
      <c r="H99" s="3">
        <v>0.98974200000000001</v>
      </c>
      <c r="I99">
        <v>8068139</v>
      </c>
      <c r="J99" s="3">
        <v>0.50364900000000001</v>
      </c>
      <c r="K99">
        <v>7951234</v>
      </c>
      <c r="L99" s="3">
        <v>0.49635099999999999</v>
      </c>
      <c r="M99">
        <v>1480357</v>
      </c>
      <c r="N99" s="3">
        <v>9.2410400000000004E-2</v>
      </c>
      <c r="O99">
        <v>0</v>
      </c>
      <c r="P99" s="7">
        <v>1</v>
      </c>
      <c r="Q99">
        <v>15812059</v>
      </c>
      <c r="R99" s="3">
        <v>0.98705799999999999</v>
      </c>
      <c r="S99">
        <v>8004002</v>
      </c>
      <c r="T99">
        <v>8015371</v>
      </c>
      <c r="U99">
        <v>42990</v>
      </c>
      <c r="V99" s="3">
        <v>2.6836300000000002E-3</v>
      </c>
      <c r="W99">
        <v>1044.3499999999999</v>
      </c>
      <c r="X99">
        <v>35</v>
      </c>
      <c r="AC99"/>
      <c r="AD99"/>
      <c r="AE99"/>
    </row>
    <row r="100" spans="1:31" s="5" customFormat="1" x14ac:dyDescent="0.3">
      <c r="A100" t="s">
        <v>97</v>
      </c>
      <c r="B100" t="s">
        <v>43</v>
      </c>
      <c r="C100" t="s">
        <v>10</v>
      </c>
      <c r="D100" t="s">
        <v>158</v>
      </c>
      <c r="E100">
        <v>2</v>
      </c>
      <c r="F100">
        <v>20765568</v>
      </c>
      <c r="G100">
        <v>20508063</v>
      </c>
      <c r="H100" s="3">
        <v>0.987599</v>
      </c>
      <c r="I100">
        <v>10475100</v>
      </c>
      <c r="J100" s="3">
        <v>0.50444599999999995</v>
      </c>
      <c r="K100">
        <v>10290468</v>
      </c>
      <c r="L100" s="3">
        <v>0.49555399999999999</v>
      </c>
      <c r="M100">
        <v>2290848</v>
      </c>
      <c r="N100" s="3">
        <v>0.11032</v>
      </c>
      <c r="O100">
        <v>0</v>
      </c>
      <c r="P100" s="7">
        <v>1</v>
      </c>
      <c r="Q100">
        <v>20443860</v>
      </c>
      <c r="R100" s="3">
        <v>0.98450800000000005</v>
      </c>
      <c r="S100">
        <v>10372596</v>
      </c>
      <c r="T100">
        <v>10392972</v>
      </c>
      <c r="U100">
        <v>64203</v>
      </c>
      <c r="V100" s="3">
        <v>3.0918E-3</v>
      </c>
      <c r="W100">
        <v>1267.1400000000001</v>
      </c>
      <c r="X100">
        <v>35</v>
      </c>
      <c r="AC100"/>
      <c r="AD100"/>
      <c r="AE100"/>
    </row>
    <row r="101" spans="1:31" s="5" customFormat="1" x14ac:dyDescent="0.3">
      <c r="A101" t="s">
        <v>97</v>
      </c>
      <c r="B101" t="s">
        <v>43</v>
      </c>
      <c r="C101" t="s">
        <v>15</v>
      </c>
      <c r="D101" t="s">
        <v>161</v>
      </c>
      <c r="E101">
        <v>2</v>
      </c>
      <c r="F101">
        <v>48498942</v>
      </c>
      <c r="G101">
        <v>48089321</v>
      </c>
      <c r="H101" s="3">
        <v>0.99155400000000005</v>
      </c>
      <c r="I101">
        <v>24388914</v>
      </c>
      <c r="J101" s="3">
        <v>0.50287499999999996</v>
      </c>
      <c r="K101">
        <v>24110028</v>
      </c>
      <c r="L101" s="3">
        <v>0.49712499999999998</v>
      </c>
      <c r="M101">
        <v>5871014</v>
      </c>
      <c r="N101" s="3">
        <v>0.12105399999999999</v>
      </c>
      <c r="O101">
        <v>0</v>
      </c>
      <c r="P101" s="7">
        <v>1</v>
      </c>
      <c r="Q101">
        <v>47970481</v>
      </c>
      <c r="R101" s="3">
        <v>0.98910399999999998</v>
      </c>
      <c r="S101">
        <v>24226824</v>
      </c>
      <c r="T101">
        <v>24272118</v>
      </c>
      <c r="U101">
        <v>118840</v>
      </c>
      <c r="V101" s="3">
        <v>2.45036E-3</v>
      </c>
      <c r="W101">
        <v>1353.04</v>
      </c>
      <c r="X101">
        <v>37</v>
      </c>
      <c r="AC101"/>
      <c r="AD101"/>
      <c r="AE101"/>
    </row>
    <row r="102" spans="1:31" s="5" customFormat="1" x14ac:dyDescent="0.3">
      <c r="A102" t="s">
        <v>97</v>
      </c>
      <c r="B102" t="s">
        <v>43</v>
      </c>
      <c r="C102" t="s">
        <v>15</v>
      </c>
      <c r="D102" t="s">
        <v>159</v>
      </c>
      <c r="E102">
        <v>2</v>
      </c>
      <c r="F102">
        <v>34098234</v>
      </c>
      <c r="G102">
        <v>33788866</v>
      </c>
      <c r="H102" s="3">
        <v>0.990927</v>
      </c>
      <c r="I102">
        <v>17155245</v>
      </c>
      <c r="J102" s="3">
        <v>0.503112</v>
      </c>
      <c r="K102">
        <v>16942989</v>
      </c>
      <c r="L102" s="3">
        <v>0.496888</v>
      </c>
      <c r="M102">
        <v>3691309</v>
      </c>
      <c r="N102" s="3">
        <v>0.108255</v>
      </c>
      <c r="O102">
        <v>0</v>
      </c>
      <c r="P102" s="7">
        <v>1</v>
      </c>
      <c r="Q102">
        <v>33701054</v>
      </c>
      <c r="R102" s="3">
        <v>0.98835200000000001</v>
      </c>
      <c r="S102">
        <v>17035127</v>
      </c>
      <c r="T102">
        <v>17063107</v>
      </c>
      <c r="U102">
        <v>87812</v>
      </c>
      <c r="V102" s="3">
        <v>2.5752700000000002E-3</v>
      </c>
      <c r="W102">
        <v>1270.7</v>
      </c>
      <c r="X102">
        <v>36</v>
      </c>
    </row>
    <row r="103" spans="1:31" s="5" customFormat="1" x14ac:dyDescent="0.3">
      <c r="A103" t="s">
        <v>97</v>
      </c>
      <c r="B103" t="s">
        <v>43</v>
      </c>
      <c r="C103" t="s">
        <v>15</v>
      </c>
      <c r="D103" t="s">
        <v>160</v>
      </c>
      <c r="E103">
        <v>2</v>
      </c>
      <c r="F103">
        <v>25248498</v>
      </c>
      <c r="G103">
        <v>25035983</v>
      </c>
      <c r="H103" s="3">
        <v>0.99158299999999999</v>
      </c>
      <c r="I103">
        <v>12696913</v>
      </c>
      <c r="J103" s="3">
        <v>0.50287800000000005</v>
      </c>
      <c r="K103">
        <v>12551585</v>
      </c>
      <c r="L103" s="3">
        <v>0.49712200000000001</v>
      </c>
      <c r="M103">
        <v>2390756</v>
      </c>
      <c r="N103" s="3">
        <v>9.4688999999999995E-2</v>
      </c>
      <c r="O103">
        <v>0</v>
      </c>
      <c r="P103" s="7">
        <v>1</v>
      </c>
      <c r="Q103">
        <v>24975676</v>
      </c>
      <c r="R103" s="3">
        <v>0.98919400000000002</v>
      </c>
      <c r="S103">
        <v>12616779</v>
      </c>
      <c r="T103">
        <v>12631719</v>
      </c>
      <c r="U103">
        <v>60307</v>
      </c>
      <c r="V103" s="3">
        <v>2.3885400000000002E-3</v>
      </c>
      <c r="W103">
        <v>1166.05</v>
      </c>
      <c r="X103">
        <v>36</v>
      </c>
    </row>
    <row r="105" spans="1:31" x14ac:dyDescent="0.3">
      <c r="D105" s="9"/>
    </row>
    <row r="106" spans="1:31" x14ac:dyDescent="0.3">
      <c r="G106" t="s">
        <v>248</v>
      </c>
      <c r="H106" s="3">
        <f>AVERAGE(H70:H91)</f>
        <v>0.99340645454545462</v>
      </c>
    </row>
    <row r="107" spans="1:31" x14ac:dyDescent="0.3">
      <c r="G107" t="s">
        <v>248</v>
      </c>
      <c r="H107">
        <f>_xlfn.STDEV.S(H70:H91)</f>
        <v>8.636808673883169E-4</v>
      </c>
    </row>
    <row r="108" spans="1:31" x14ac:dyDescent="0.3">
      <c r="G108" t="s">
        <v>249</v>
      </c>
      <c r="H108" s="3">
        <f>AVERAGE(H92:H103)</f>
        <v>0.99031100000000005</v>
      </c>
    </row>
    <row r="109" spans="1:31" x14ac:dyDescent="0.3">
      <c r="G109" t="s">
        <v>249</v>
      </c>
      <c r="H109">
        <f>_xlfn.STDEV.S(H92:H103)</f>
        <v>1.2744765770521403E-3</v>
      </c>
    </row>
  </sheetData>
  <sortState xmlns:xlrd2="http://schemas.microsoft.com/office/spreadsheetml/2017/richdata2" ref="A2:X117">
    <sortCondition ref="A2:A117"/>
  </sortState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961B-A9C3-429D-85E9-B48388DA030E}">
  <dimension ref="A1:X17"/>
  <sheetViews>
    <sheetView workbookViewId="0">
      <selection activeCell="X1" sqref="X1"/>
    </sheetView>
  </sheetViews>
  <sheetFormatPr defaultRowHeight="14.4" x14ac:dyDescent="0.3"/>
  <cols>
    <col min="1" max="1" width="16.5546875" bestFit="1" customWidth="1"/>
    <col min="2" max="2" width="20.44140625" bestFit="1" customWidth="1"/>
    <col min="4" max="4" width="10.44140625" bestFit="1" customWidth="1"/>
    <col min="5" max="5" width="13.44140625" bestFit="1" customWidth="1"/>
    <col min="6" max="6" width="15" bestFit="1" customWidth="1"/>
    <col min="7" max="7" width="14.6640625" bestFit="1" customWidth="1"/>
    <col min="8" max="8" width="20.5546875" bestFit="1" customWidth="1"/>
    <col min="9" max="9" width="13.5546875" bestFit="1" customWidth="1"/>
    <col min="10" max="10" width="20.44140625" bestFit="1" customWidth="1"/>
    <col min="11" max="11" width="8.33203125" bestFit="1" customWidth="1"/>
    <col min="12" max="12" width="14.88671875" bestFit="1" customWidth="1"/>
    <col min="13" max="13" width="9.6640625" bestFit="1" customWidth="1"/>
    <col min="14" max="14" width="21.33203125" bestFit="1" customWidth="1"/>
    <col min="15" max="15" width="16.21875" bestFit="1" customWidth="1"/>
    <col min="16" max="16" width="22.88671875" bestFit="1" customWidth="1"/>
    <col min="17" max="17" width="9" bestFit="1" customWidth="1"/>
    <col min="18" max="18" width="15.109375" bestFit="1" customWidth="1"/>
    <col min="19" max="19" width="9.6640625" bestFit="1" customWidth="1"/>
    <col min="20" max="20" width="16.21875" bestFit="1" customWidth="1"/>
    <col min="21" max="21" width="16" bestFit="1" customWidth="1"/>
    <col min="22" max="22" width="15.5546875" bestFit="1" customWidth="1"/>
  </cols>
  <sheetData>
    <row r="1" spans="1:24" s="2" customFormat="1" x14ac:dyDescent="0.3">
      <c r="A1" s="2" t="s">
        <v>199</v>
      </c>
      <c r="B1" s="2" t="s">
        <v>2</v>
      </c>
      <c r="C1" s="2" t="s">
        <v>1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76</v>
      </c>
      <c r="I1" s="2" t="s">
        <v>69</v>
      </c>
      <c r="J1" s="2" t="s">
        <v>77</v>
      </c>
      <c r="K1" s="2" t="s">
        <v>84</v>
      </c>
      <c r="L1" s="2" t="s">
        <v>140</v>
      </c>
      <c r="M1" s="2" t="s">
        <v>70</v>
      </c>
      <c r="N1" s="2" t="s">
        <v>81</v>
      </c>
      <c r="O1" s="2" t="s">
        <v>71</v>
      </c>
      <c r="P1" s="2" t="s">
        <v>78</v>
      </c>
      <c r="Q1" s="2" t="s">
        <v>72</v>
      </c>
      <c r="R1" s="2" t="s">
        <v>73</v>
      </c>
      <c r="S1" s="2" t="s">
        <v>74</v>
      </c>
      <c r="T1" s="2" t="s">
        <v>79</v>
      </c>
      <c r="U1" s="2" t="s">
        <v>99</v>
      </c>
      <c r="V1" s="2" t="s">
        <v>100</v>
      </c>
      <c r="X1" s="2" t="s">
        <v>238</v>
      </c>
    </row>
    <row r="2" spans="1:24" x14ac:dyDescent="0.3">
      <c r="A2" t="s">
        <v>141</v>
      </c>
      <c r="B2" t="s">
        <v>108</v>
      </c>
      <c r="C2" t="s">
        <v>25</v>
      </c>
      <c r="D2">
        <v>28643203</v>
      </c>
      <c r="E2">
        <v>10574182</v>
      </c>
      <c r="F2" s="3">
        <v>0.36899999999999999</v>
      </c>
    </row>
    <row r="3" spans="1:24" x14ac:dyDescent="0.3">
      <c r="A3" t="s">
        <v>141</v>
      </c>
      <c r="B3" t="s">
        <v>109</v>
      </c>
      <c r="C3" t="s">
        <v>25</v>
      </c>
      <c r="D3">
        <v>29881638</v>
      </c>
      <c r="E3">
        <v>11628466</v>
      </c>
      <c r="F3" s="3">
        <v>0.38900000000000001</v>
      </c>
    </row>
    <row r="4" spans="1:24" x14ac:dyDescent="0.3">
      <c r="A4" t="s">
        <v>141</v>
      </c>
      <c r="B4" t="s">
        <v>110</v>
      </c>
      <c r="C4" t="s">
        <v>34</v>
      </c>
      <c r="D4">
        <v>29143828</v>
      </c>
      <c r="E4">
        <v>11479416</v>
      </c>
      <c r="F4" s="3">
        <v>0.39400000000000002</v>
      </c>
    </row>
    <row r="5" spans="1:24" x14ac:dyDescent="0.3">
      <c r="A5" t="s">
        <v>141</v>
      </c>
      <c r="B5" t="s">
        <v>111</v>
      </c>
      <c r="C5" t="s">
        <v>34</v>
      </c>
      <c r="D5">
        <v>29298273</v>
      </c>
      <c r="E5">
        <v>11605582</v>
      </c>
      <c r="F5" s="3">
        <v>0.39600000000000002</v>
      </c>
    </row>
    <row r="6" spans="1:24" x14ac:dyDescent="0.3">
      <c r="A6" t="s">
        <v>88</v>
      </c>
      <c r="B6" t="s">
        <v>108</v>
      </c>
      <c r="C6" t="s">
        <v>25</v>
      </c>
      <c r="D6">
        <v>57722927</v>
      </c>
      <c r="E6">
        <v>40191524</v>
      </c>
      <c r="F6" s="3">
        <v>0.69628299999999999</v>
      </c>
      <c r="G6">
        <v>36276954</v>
      </c>
      <c r="H6" s="3">
        <v>0.628467</v>
      </c>
      <c r="I6">
        <v>21445973</v>
      </c>
      <c r="J6" s="3">
        <v>0.371533</v>
      </c>
      <c r="O6">
        <v>37289608</v>
      </c>
      <c r="P6" s="3">
        <v>0.64600999999999997</v>
      </c>
      <c r="Q6">
        <v>28856487</v>
      </c>
      <c r="R6" s="3">
        <v>28866440</v>
      </c>
      <c r="S6">
        <v>2901916</v>
      </c>
      <c r="T6" s="3">
        <v>5.0273199999999997E-2</v>
      </c>
      <c r="U6">
        <v>20287.099999999999</v>
      </c>
      <c r="V6">
        <v>173</v>
      </c>
    </row>
    <row r="7" spans="1:24" x14ac:dyDescent="0.3">
      <c r="A7" t="s">
        <v>88</v>
      </c>
      <c r="B7" t="s">
        <v>109</v>
      </c>
      <c r="C7" t="s">
        <v>25</v>
      </c>
      <c r="D7">
        <v>60235913</v>
      </c>
      <c r="E7">
        <v>46005811</v>
      </c>
      <c r="F7" s="3">
        <v>0.76376100000000002</v>
      </c>
      <c r="G7">
        <v>36186338</v>
      </c>
      <c r="H7" s="3">
        <v>0.60074399999999994</v>
      </c>
      <c r="I7">
        <v>24049575</v>
      </c>
      <c r="J7" s="3">
        <v>0.399256</v>
      </c>
      <c r="O7">
        <v>43727802</v>
      </c>
      <c r="P7" s="3">
        <v>0.72594199999999998</v>
      </c>
      <c r="Q7">
        <v>30108050</v>
      </c>
      <c r="R7">
        <v>30127863</v>
      </c>
      <c r="S7">
        <v>2278009</v>
      </c>
      <c r="T7" s="3">
        <v>3.78181E-2</v>
      </c>
      <c r="U7">
        <v>18614.3</v>
      </c>
      <c r="V7">
        <v>122</v>
      </c>
    </row>
    <row r="8" spans="1:24" x14ac:dyDescent="0.3">
      <c r="A8" t="s">
        <v>88</v>
      </c>
      <c r="B8" t="s">
        <v>110</v>
      </c>
      <c r="C8" t="s">
        <v>34</v>
      </c>
      <c r="D8">
        <v>58739316</v>
      </c>
      <c r="E8">
        <v>44264708</v>
      </c>
      <c r="F8" s="3">
        <v>0.753579</v>
      </c>
      <c r="G8">
        <v>35536765</v>
      </c>
      <c r="H8" s="3">
        <v>0.60499099999999995</v>
      </c>
      <c r="I8">
        <v>23202551</v>
      </c>
      <c r="J8" s="3">
        <v>0.395009</v>
      </c>
      <c r="O8">
        <v>41933084</v>
      </c>
      <c r="P8" s="3">
        <v>0.71388499999999999</v>
      </c>
      <c r="Q8">
        <v>29361305</v>
      </c>
      <c r="R8">
        <v>29378011</v>
      </c>
      <c r="S8">
        <v>2331624</v>
      </c>
      <c r="T8" s="3">
        <v>3.9694399999999998E-2</v>
      </c>
      <c r="U8">
        <v>18354.099999999999</v>
      </c>
      <c r="V8">
        <v>131</v>
      </c>
    </row>
    <row r="9" spans="1:24" x14ac:dyDescent="0.3">
      <c r="A9" t="s">
        <v>88</v>
      </c>
      <c r="B9" t="s">
        <v>111</v>
      </c>
      <c r="C9" t="s">
        <v>34</v>
      </c>
      <c r="D9">
        <v>59062826</v>
      </c>
      <c r="E9">
        <v>45606309</v>
      </c>
      <c r="F9" s="3">
        <v>0.77216600000000002</v>
      </c>
      <c r="G9">
        <v>35292048</v>
      </c>
      <c r="H9" s="3">
        <v>0.59753400000000001</v>
      </c>
      <c r="I9">
        <v>23770778</v>
      </c>
      <c r="J9" s="3">
        <v>0.40246599999999999</v>
      </c>
      <c r="O9">
        <v>43499078</v>
      </c>
      <c r="P9" s="3">
        <v>0.73648800000000003</v>
      </c>
      <c r="Q9">
        <v>29519578</v>
      </c>
      <c r="R9">
        <v>29543248</v>
      </c>
      <c r="S9">
        <v>2107231</v>
      </c>
      <c r="T9" s="3">
        <v>3.5677800000000003E-2</v>
      </c>
      <c r="U9">
        <v>17646.5</v>
      </c>
      <c r="V9">
        <v>111</v>
      </c>
    </row>
    <row r="10" spans="1:24" x14ac:dyDescent="0.3">
      <c r="A10" t="s">
        <v>97</v>
      </c>
      <c r="B10" t="s">
        <v>108</v>
      </c>
      <c r="C10" t="s">
        <v>25</v>
      </c>
      <c r="D10">
        <v>57653482</v>
      </c>
      <c r="E10">
        <v>57279177</v>
      </c>
      <c r="F10" s="3">
        <v>0.99350799999999995</v>
      </c>
      <c r="G10">
        <v>28990378</v>
      </c>
      <c r="H10" s="3">
        <v>0.50283800000000001</v>
      </c>
      <c r="I10">
        <v>28663104</v>
      </c>
      <c r="J10" s="3">
        <v>0.49716199999999999</v>
      </c>
      <c r="K10">
        <v>3409720</v>
      </c>
      <c r="L10" s="3">
        <v>5.9141600000000003E-2</v>
      </c>
      <c r="M10">
        <v>0</v>
      </c>
      <c r="N10" s="3">
        <v>1</v>
      </c>
      <c r="O10">
        <v>57235015</v>
      </c>
      <c r="P10" s="3">
        <v>0.99274200000000001</v>
      </c>
      <c r="Q10">
        <v>28811277</v>
      </c>
      <c r="R10">
        <v>28842205</v>
      </c>
      <c r="S10">
        <v>44162</v>
      </c>
      <c r="T10" s="3">
        <v>7.6599000000000003E-4</v>
      </c>
      <c r="U10">
        <v>3884.22</v>
      </c>
      <c r="V10">
        <v>275</v>
      </c>
    </row>
    <row r="11" spans="1:24" x14ac:dyDescent="0.3">
      <c r="A11" t="s">
        <v>97</v>
      </c>
      <c r="B11" t="s">
        <v>109</v>
      </c>
      <c r="C11" t="s">
        <v>25</v>
      </c>
      <c r="D11">
        <v>60161374</v>
      </c>
      <c r="E11">
        <v>59973483</v>
      </c>
      <c r="F11" s="3">
        <v>0.99687700000000001</v>
      </c>
      <c r="G11">
        <v>30154313</v>
      </c>
      <c r="H11" s="3">
        <v>0.501224</v>
      </c>
      <c r="I11">
        <v>30007061</v>
      </c>
      <c r="J11" s="3">
        <v>0.498776</v>
      </c>
      <c r="K11">
        <v>3127032</v>
      </c>
      <c r="L11" s="3">
        <v>5.19774E-2</v>
      </c>
      <c r="M11">
        <v>0</v>
      </c>
      <c r="N11" s="3">
        <v>1</v>
      </c>
      <c r="O11">
        <v>59937076</v>
      </c>
      <c r="P11" s="3">
        <v>0.99627200000000005</v>
      </c>
      <c r="Q11">
        <v>30066931</v>
      </c>
      <c r="R11">
        <v>30094443</v>
      </c>
      <c r="S11">
        <v>36407</v>
      </c>
      <c r="T11" s="3">
        <v>6.0515600000000003E-4</v>
      </c>
      <c r="U11">
        <v>3608.97</v>
      </c>
      <c r="V11">
        <v>231</v>
      </c>
    </row>
    <row r="12" spans="1:24" x14ac:dyDescent="0.3">
      <c r="A12" t="s">
        <v>97</v>
      </c>
      <c r="B12" t="s">
        <v>110</v>
      </c>
      <c r="C12" t="s">
        <v>34</v>
      </c>
      <c r="D12">
        <v>58665265</v>
      </c>
      <c r="E12">
        <v>58452571</v>
      </c>
      <c r="F12" s="3">
        <v>0.99637500000000001</v>
      </c>
      <c r="G12">
        <v>29418895</v>
      </c>
      <c r="H12" s="3">
        <v>0.50146999999999997</v>
      </c>
      <c r="I12">
        <v>29246370</v>
      </c>
      <c r="J12" s="3">
        <v>0.49852999999999997</v>
      </c>
      <c r="K12">
        <v>3139556</v>
      </c>
      <c r="L12" s="3">
        <v>5.3516399999999999E-2</v>
      </c>
      <c r="M12">
        <v>0</v>
      </c>
      <c r="N12" s="3">
        <v>1</v>
      </c>
      <c r="O12">
        <v>58415400</v>
      </c>
      <c r="P12" s="3">
        <v>0.99574099999999999</v>
      </c>
      <c r="Q12">
        <v>29318769</v>
      </c>
      <c r="R12">
        <v>29346496</v>
      </c>
      <c r="S12">
        <v>37171</v>
      </c>
      <c r="T12" s="3">
        <v>6.3361199999999998E-4</v>
      </c>
      <c r="U12">
        <v>3544.49</v>
      </c>
      <c r="V12">
        <v>238</v>
      </c>
    </row>
    <row r="13" spans="1:24" x14ac:dyDescent="0.3">
      <c r="A13" t="s">
        <v>97</v>
      </c>
      <c r="B13" t="s">
        <v>111</v>
      </c>
      <c r="C13" t="s">
        <v>34</v>
      </c>
      <c r="D13">
        <v>58978618</v>
      </c>
      <c r="E13">
        <v>58778623</v>
      </c>
      <c r="F13" s="3">
        <v>0.99660899999999997</v>
      </c>
      <c r="G13">
        <v>29569718</v>
      </c>
      <c r="H13" s="3">
        <v>0.501363</v>
      </c>
      <c r="I13">
        <v>29408900</v>
      </c>
      <c r="J13" s="3">
        <v>0.498637</v>
      </c>
      <c r="K13">
        <v>3203260</v>
      </c>
      <c r="L13" s="3">
        <v>5.4312199999999998E-2</v>
      </c>
      <c r="M13">
        <v>0</v>
      </c>
      <c r="N13" s="3">
        <v>1</v>
      </c>
      <c r="O13">
        <v>58743067</v>
      </c>
      <c r="P13" s="3">
        <v>0.99600599999999995</v>
      </c>
      <c r="Q13">
        <v>29475904</v>
      </c>
      <c r="R13">
        <v>29502714</v>
      </c>
      <c r="S13">
        <v>35556</v>
      </c>
      <c r="T13" s="3">
        <v>6.0286300000000003E-4</v>
      </c>
      <c r="U13">
        <v>3652.08</v>
      </c>
      <c r="V13">
        <v>225</v>
      </c>
    </row>
    <row r="14" spans="1:24" x14ac:dyDescent="0.3">
      <c r="V14">
        <f>AVERAGE(V10:V13)</f>
        <v>242.25</v>
      </c>
    </row>
    <row r="15" spans="1:24" x14ac:dyDescent="0.3">
      <c r="V15">
        <f>_xlfn.STDEV.S(V10:V13)</f>
        <v>22.47035083541569</v>
      </c>
    </row>
    <row r="16" spans="1:24" x14ac:dyDescent="0.3">
      <c r="D16" s="2"/>
      <c r="G16" s="3"/>
    </row>
    <row r="17" spans="4:4" x14ac:dyDescent="0.3">
      <c r="D17" s="2"/>
    </row>
  </sheetData>
  <sortState xmlns:xlrd2="http://schemas.microsoft.com/office/spreadsheetml/2017/richdata2" ref="A2:V13">
    <sortCondition ref="A2:A13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24F2-6D2E-484B-A7E4-A1C421084FB4}">
  <dimension ref="A1:O115"/>
  <sheetViews>
    <sheetView workbookViewId="0">
      <pane ySplit="1" topLeftCell="A95" activePane="bottomLeft" state="frozen"/>
      <selection pane="bottomLeft" activeCell="O18" sqref="O18"/>
    </sheetView>
  </sheetViews>
  <sheetFormatPr defaultRowHeight="14.4" x14ac:dyDescent="0.3"/>
  <cols>
    <col min="1" max="1" width="9.77734375" bestFit="1" customWidth="1"/>
    <col min="2" max="2" width="14.88671875" bestFit="1" customWidth="1"/>
    <col min="3" max="3" width="17.77734375" bestFit="1" customWidth="1"/>
    <col min="4" max="4" width="20.33203125" bestFit="1" customWidth="1"/>
    <col min="5" max="6" width="16.5546875" bestFit="1" customWidth="1"/>
    <col min="8" max="8" width="16.88671875" bestFit="1" customWidth="1"/>
    <col min="15" max="15" width="22" customWidth="1"/>
  </cols>
  <sheetData>
    <row r="1" spans="1:15" s="2" customFormat="1" x14ac:dyDescent="0.3">
      <c r="A1" s="2" t="s">
        <v>1</v>
      </c>
      <c r="B1" s="2" t="s">
        <v>112</v>
      </c>
      <c r="C1" s="2" t="s">
        <v>113</v>
      </c>
      <c r="D1" s="2" t="s">
        <v>145</v>
      </c>
      <c r="E1" s="2" t="s">
        <v>87</v>
      </c>
      <c r="F1" s="2" t="s">
        <v>162</v>
      </c>
      <c r="G1" s="2" t="s">
        <v>114</v>
      </c>
      <c r="H1" s="2" t="s">
        <v>115</v>
      </c>
      <c r="I1" s="2" t="s">
        <v>116</v>
      </c>
      <c r="J1" s="2" t="s">
        <v>117</v>
      </c>
      <c r="K1" s="2" t="s">
        <v>118</v>
      </c>
      <c r="L1" s="2" t="s">
        <v>119</v>
      </c>
    </row>
    <row r="2" spans="1:15" x14ac:dyDescent="0.3">
      <c r="A2" t="s">
        <v>25</v>
      </c>
      <c r="B2" t="s">
        <v>9</v>
      </c>
      <c r="C2" t="s">
        <v>146</v>
      </c>
      <c r="D2" t="s">
        <v>108</v>
      </c>
      <c r="E2" t="s">
        <v>144</v>
      </c>
      <c r="F2">
        <v>1</v>
      </c>
      <c r="G2">
        <v>10</v>
      </c>
      <c r="H2">
        <v>10</v>
      </c>
      <c r="I2">
        <v>11</v>
      </c>
      <c r="J2">
        <v>12.77</v>
      </c>
      <c r="K2">
        <v>13</v>
      </c>
      <c r="L2">
        <v>16306</v>
      </c>
      <c r="N2" t="s">
        <v>200</v>
      </c>
    </row>
    <row r="3" spans="1:15" x14ac:dyDescent="0.3">
      <c r="A3" t="s">
        <v>25</v>
      </c>
      <c r="B3" t="s">
        <v>9</v>
      </c>
      <c r="C3" t="s">
        <v>146</v>
      </c>
      <c r="D3" t="s">
        <v>109</v>
      </c>
      <c r="E3" t="s">
        <v>144</v>
      </c>
      <c r="F3">
        <v>1</v>
      </c>
      <c r="G3">
        <v>10</v>
      </c>
      <c r="H3">
        <v>10</v>
      </c>
      <c r="I3">
        <v>11</v>
      </c>
      <c r="J3">
        <v>12.72</v>
      </c>
      <c r="K3">
        <v>13</v>
      </c>
      <c r="L3">
        <v>14087</v>
      </c>
    </row>
    <row r="4" spans="1:15" x14ac:dyDescent="0.3">
      <c r="A4" t="s">
        <v>34</v>
      </c>
      <c r="B4" t="s">
        <v>9</v>
      </c>
      <c r="C4" t="s">
        <v>146</v>
      </c>
      <c r="D4" t="s">
        <v>110</v>
      </c>
      <c r="E4" t="s">
        <v>144</v>
      </c>
      <c r="F4">
        <v>1</v>
      </c>
      <c r="G4">
        <v>10</v>
      </c>
      <c r="H4">
        <v>10</v>
      </c>
      <c r="I4">
        <v>11</v>
      </c>
      <c r="J4">
        <v>12.79</v>
      </c>
      <c r="K4">
        <v>13</v>
      </c>
      <c r="L4">
        <v>12522</v>
      </c>
    </row>
    <row r="5" spans="1:15" x14ac:dyDescent="0.3">
      <c r="A5" t="s">
        <v>34</v>
      </c>
      <c r="B5" t="s">
        <v>9</v>
      </c>
      <c r="C5" t="s">
        <v>146</v>
      </c>
      <c r="D5" t="s">
        <v>111</v>
      </c>
      <c r="E5" t="s">
        <v>144</v>
      </c>
      <c r="F5">
        <v>1</v>
      </c>
      <c r="G5">
        <v>10</v>
      </c>
      <c r="H5">
        <v>10</v>
      </c>
      <c r="I5">
        <v>11</v>
      </c>
      <c r="J5">
        <v>12.65</v>
      </c>
      <c r="K5">
        <v>13</v>
      </c>
      <c r="L5">
        <v>10865</v>
      </c>
    </row>
    <row r="6" spans="1:15" x14ac:dyDescent="0.3">
      <c r="A6" t="s">
        <v>20</v>
      </c>
      <c r="B6" t="s">
        <v>9</v>
      </c>
      <c r="C6" t="s">
        <v>120</v>
      </c>
      <c r="D6" t="s">
        <v>121</v>
      </c>
      <c r="E6" t="s">
        <v>144</v>
      </c>
      <c r="F6">
        <v>1</v>
      </c>
      <c r="G6">
        <v>10</v>
      </c>
      <c r="H6" s="4">
        <v>11</v>
      </c>
      <c r="I6" s="4">
        <v>12</v>
      </c>
      <c r="J6" s="4">
        <v>15.01</v>
      </c>
      <c r="K6" s="4">
        <v>15</v>
      </c>
      <c r="L6" s="4">
        <v>12639</v>
      </c>
    </row>
    <row r="7" spans="1:15" x14ac:dyDescent="0.3">
      <c r="A7" t="s">
        <v>20</v>
      </c>
      <c r="B7" t="s">
        <v>9</v>
      </c>
      <c r="C7" t="s">
        <v>120</v>
      </c>
      <c r="D7" t="s">
        <v>122</v>
      </c>
      <c r="E7" t="s">
        <v>144</v>
      </c>
      <c r="F7">
        <v>1</v>
      </c>
      <c r="G7">
        <v>10</v>
      </c>
      <c r="H7" s="4">
        <v>10</v>
      </c>
      <c r="I7" s="4">
        <v>12</v>
      </c>
      <c r="J7" s="4">
        <v>14.68</v>
      </c>
      <c r="K7" s="4">
        <v>14</v>
      </c>
      <c r="L7" s="4">
        <v>11152</v>
      </c>
    </row>
    <row r="8" spans="1:15" x14ac:dyDescent="0.3">
      <c r="A8" t="s">
        <v>15</v>
      </c>
      <c r="B8" t="s">
        <v>9</v>
      </c>
      <c r="C8" t="s">
        <v>120</v>
      </c>
      <c r="D8" t="s">
        <v>123</v>
      </c>
      <c r="E8" t="s">
        <v>144</v>
      </c>
      <c r="F8">
        <v>1</v>
      </c>
      <c r="G8">
        <v>10</v>
      </c>
      <c r="H8" s="4">
        <v>10</v>
      </c>
      <c r="I8" s="4">
        <v>12</v>
      </c>
      <c r="J8" s="4">
        <v>16.02</v>
      </c>
      <c r="K8" s="4">
        <v>14</v>
      </c>
      <c r="L8" s="4">
        <v>27777</v>
      </c>
      <c r="N8">
        <f>AVERAGE(J6:J27)</f>
        <v>14.72909090909091</v>
      </c>
      <c r="O8">
        <f>_xlfn.STDEV.P(J6:J27)</f>
        <v>1.0704285849004127</v>
      </c>
    </row>
    <row r="9" spans="1:15" x14ac:dyDescent="0.3">
      <c r="A9" t="s">
        <v>15</v>
      </c>
      <c r="B9" t="s">
        <v>9</v>
      </c>
      <c r="C9" t="s">
        <v>120</v>
      </c>
      <c r="D9" t="s">
        <v>124</v>
      </c>
      <c r="E9" t="s">
        <v>144</v>
      </c>
      <c r="F9">
        <v>1</v>
      </c>
      <c r="G9">
        <v>10</v>
      </c>
      <c r="H9" s="4">
        <v>11</v>
      </c>
      <c r="I9" s="4">
        <v>12</v>
      </c>
      <c r="J9" s="4">
        <v>14.8</v>
      </c>
      <c r="K9" s="4">
        <v>14</v>
      </c>
      <c r="L9" s="4">
        <v>9278</v>
      </c>
      <c r="N9">
        <f>AVERAGE(J28:J39)</f>
        <v>19.444166666666664</v>
      </c>
      <c r="O9">
        <f>_xlfn.STDEV.S(J28:J39)</f>
        <v>4.22429651665293</v>
      </c>
    </row>
    <row r="10" spans="1:15" x14ac:dyDescent="0.3">
      <c r="A10" t="s">
        <v>10</v>
      </c>
      <c r="B10" t="s">
        <v>9</v>
      </c>
      <c r="C10" t="s">
        <v>120</v>
      </c>
      <c r="D10" t="s">
        <v>125</v>
      </c>
      <c r="E10" t="s">
        <v>144</v>
      </c>
      <c r="F10">
        <v>1</v>
      </c>
      <c r="G10">
        <v>10</v>
      </c>
      <c r="H10" s="4">
        <v>11</v>
      </c>
      <c r="I10" s="4">
        <v>13</v>
      </c>
      <c r="J10" s="4">
        <v>15.11</v>
      </c>
      <c r="K10" s="4">
        <v>17</v>
      </c>
      <c r="L10" s="4">
        <v>4750</v>
      </c>
    </row>
    <row r="11" spans="1:15" x14ac:dyDescent="0.3">
      <c r="A11" t="s">
        <v>10</v>
      </c>
      <c r="B11" t="s">
        <v>9</v>
      </c>
      <c r="C11" t="s">
        <v>120</v>
      </c>
      <c r="D11" t="s">
        <v>126</v>
      </c>
      <c r="E11" t="s">
        <v>144</v>
      </c>
      <c r="F11">
        <v>1</v>
      </c>
      <c r="G11">
        <v>10</v>
      </c>
      <c r="H11" s="4">
        <v>11</v>
      </c>
      <c r="I11" s="4">
        <v>12</v>
      </c>
      <c r="J11" s="4">
        <v>13.89</v>
      </c>
      <c r="K11" s="4">
        <v>15</v>
      </c>
      <c r="L11" s="4">
        <v>2375</v>
      </c>
      <c r="N11">
        <f>AVERAGE(J6:J39)</f>
        <v>16.393235294117648</v>
      </c>
    </row>
    <row r="12" spans="1:15" x14ac:dyDescent="0.3">
      <c r="A12" t="s">
        <v>25</v>
      </c>
      <c r="B12" t="s">
        <v>9</v>
      </c>
      <c r="C12" t="s">
        <v>120</v>
      </c>
      <c r="D12" t="s">
        <v>127</v>
      </c>
      <c r="E12" t="s">
        <v>144</v>
      </c>
      <c r="F12">
        <v>1</v>
      </c>
      <c r="G12">
        <v>10</v>
      </c>
      <c r="H12" s="4">
        <v>10</v>
      </c>
      <c r="I12" s="4">
        <v>12</v>
      </c>
      <c r="J12" s="4">
        <v>13.87</v>
      </c>
      <c r="K12" s="4">
        <v>14</v>
      </c>
      <c r="L12" s="4">
        <v>7051</v>
      </c>
      <c r="N12">
        <f>_xlfn.STDEV.S(J6:J39)</f>
        <v>3.4558862570615432</v>
      </c>
    </row>
    <row r="13" spans="1:15" x14ac:dyDescent="0.3">
      <c r="A13" t="s">
        <v>25</v>
      </c>
      <c r="B13" t="s">
        <v>9</v>
      </c>
      <c r="C13" t="s">
        <v>120</v>
      </c>
      <c r="D13" t="s">
        <v>128</v>
      </c>
      <c r="E13" t="s">
        <v>144</v>
      </c>
      <c r="F13">
        <v>1</v>
      </c>
      <c r="G13">
        <v>10</v>
      </c>
      <c r="H13">
        <v>10</v>
      </c>
      <c r="I13">
        <v>12</v>
      </c>
      <c r="J13">
        <v>13.92</v>
      </c>
      <c r="K13">
        <v>14</v>
      </c>
      <c r="L13">
        <v>5870</v>
      </c>
      <c r="N13">
        <f>_xlfn.STDEV.S(J6:J39)/SQRT(COUNT(J6:J39))</f>
        <v>0.59267960349949522</v>
      </c>
    </row>
    <row r="14" spans="1:15" x14ac:dyDescent="0.3">
      <c r="A14" t="s">
        <v>25</v>
      </c>
      <c r="B14" t="s">
        <v>9</v>
      </c>
      <c r="C14" t="s">
        <v>120</v>
      </c>
      <c r="D14" t="s">
        <v>129</v>
      </c>
      <c r="E14" t="s">
        <v>144</v>
      </c>
      <c r="F14">
        <v>1</v>
      </c>
      <c r="G14">
        <v>10</v>
      </c>
      <c r="H14">
        <v>11</v>
      </c>
      <c r="I14">
        <v>12</v>
      </c>
      <c r="J14">
        <v>13.91</v>
      </c>
      <c r="K14">
        <v>14</v>
      </c>
      <c r="L14">
        <v>9196</v>
      </c>
    </row>
    <row r="15" spans="1:15" x14ac:dyDescent="0.3">
      <c r="A15" t="s">
        <v>25</v>
      </c>
      <c r="B15" t="s">
        <v>9</v>
      </c>
      <c r="C15" t="s">
        <v>120</v>
      </c>
      <c r="D15" t="s">
        <v>130</v>
      </c>
      <c r="E15" t="s">
        <v>144</v>
      </c>
      <c r="F15">
        <v>1</v>
      </c>
      <c r="G15">
        <v>10</v>
      </c>
      <c r="H15">
        <v>10</v>
      </c>
      <c r="I15">
        <v>12</v>
      </c>
      <c r="J15">
        <v>13.97</v>
      </c>
      <c r="K15">
        <v>14</v>
      </c>
      <c r="L15">
        <v>10060</v>
      </c>
      <c r="N15">
        <f>AVERAGE(J2:J5)</f>
        <v>12.7325</v>
      </c>
    </row>
    <row r="16" spans="1:15" x14ac:dyDescent="0.3">
      <c r="A16" t="s">
        <v>34</v>
      </c>
      <c r="B16" t="s">
        <v>9</v>
      </c>
      <c r="C16" t="s">
        <v>120</v>
      </c>
      <c r="D16" t="s">
        <v>131</v>
      </c>
      <c r="E16" t="s">
        <v>144</v>
      </c>
      <c r="F16">
        <v>1</v>
      </c>
      <c r="G16">
        <v>10</v>
      </c>
      <c r="H16">
        <v>10</v>
      </c>
      <c r="I16">
        <v>12</v>
      </c>
      <c r="J16">
        <v>15.36</v>
      </c>
      <c r="K16">
        <v>14</v>
      </c>
      <c r="L16">
        <v>15261</v>
      </c>
      <c r="N16">
        <f>_xlfn.STDEV.S(J2:J5)</f>
        <v>6.2383224240709127E-2</v>
      </c>
    </row>
    <row r="17" spans="1:12" x14ac:dyDescent="0.3">
      <c r="A17" t="s">
        <v>34</v>
      </c>
      <c r="B17" t="s">
        <v>9</v>
      </c>
      <c r="C17" t="s">
        <v>120</v>
      </c>
      <c r="D17" t="s">
        <v>132</v>
      </c>
      <c r="E17" t="s">
        <v>144</v>
      </c>
      <c r="F17">
        <v>1</v>
      </c>
      <c r="G17">
        <v>10</v>
      </c>
      <c r="H17">
        <v>10</v>
      </c>
      <c r="I17">
        <v>11</v>
      </c>
      <c r="J17">
        <v>14.82</v>
      </c>
      <c r="K17">
        <v>13</v>
      </c>
      <c r="L17">
        <v>6900</v>
      </c>
    </row>
    <row r="18" spans="1:12" x14ac:dyDescent="0.3">
      <c r="A18" t="s">
        <v>34</v>
      </c>
      <c r="B18" t="s">
        <v>9</v>
      </c>
      <c r="C18" t="s">
        <v>120</v>
      </c>
      <c r="D18" t="s">
        <v>133</v>
      </c>
      <c r="E18" t="s">
        <v>144</v>
      </c>
      <c r="F18">
        <v>1</v>
      </c>
      <c r="G18">
        <v>10</v>
      </c>
      <c r="H18" s="4">
        <v>11</v>
      </c>
      <c r="I18" s="4">
        <v>12</v>
      </c>
      <c r="J18" s="4">
        <v>14.35</v>
      </c>
      <c r="K18" s="4">
        <v>15</v>
      </c>
      <c r="L18" s="4">
        <v>9780</v>
      </c>
    </row>
    <row r="19" spans="1:12" x14ac:dyDescent="0.3">
      <c r="A19" t="s">
        <v>34</v>
      </c>
      <c r="B19" t="s">
        <v>9</v>
      </c>
      <c r="C19" t="s">
        <v>120</v>
      </c>
      <c r="D19" t="s">
        <v>134</v>
      </c>
      <c r="E19" t="s">
        <v>144</v>
      </c>
      <c r="F19">
        <v>1</v>
      </c>
      <c r="G19">
        <v>10</v>
      </c>
      <c r="H19">
        <v>10</v>
      </c>
      <c r="I19">
        <v>12</v>
      </c>
      <c r="J19">
        <v>13.74</v>
      </c>
      <c r="K19">
        <v>14</v>
      </c>
      <c r="L19">
        <v>5471</v>
      </c>
    </row>
    <row r="20" spans="1:12" x14ac:dyDescent="0.3">
      <c r="A20" t="s">
        <v>25</v>
      </c>
      <c r="B20" t="s">
        <v>43</v>
      </c>
      <c r="C20" t="s">
        <v>120</v>
      </c>
      <c r="D20" t="s">
        <v>98</v>
      </c>
      <c r="E20" t="s">
        <v>144</v>
      </c>
      <c r="F20">
        <v>1</v>
      </c>
      <c r="G20">
        <v>10</v>
      </c>
      <c r="H20" s="4">
        <v>11</v>
      </c>
      <c r="I20" s="4">
        <v>12</v>
      </c>
      <c r="J20" s="4">
        <v>13.96</v>
      </c>
      <c r="K20" s="4">
        <v>14</v>
      </c>
      <c r="L20" s="4">
        <v>7974</v>
      </c>
    </row>
    <row r="21" spans="1:12" x14ac:dyDescent="0.3">
      <c r="A21" t="s">
        <v>25</v>
      </c>
      <c r="B21" t="s">
        <v>43</v>
      </c>
      <c r="C21" t="s">
        <v>120</v>
      </c>
      <c r="D21" t="s">
        <v>101</v>
      </c>
      <c r="E21" t="s">
        <v>144</v>
      </c>
      <c r="F21">
        <v>1</v>
      </c>
      <c r="G21">
        <v>10</v>
      </c>
      <c r="H21" s="4">
        <v>10</v>
      </c>
      <c r="I21" s="4">
        <v>11</v>
      </c>
      <c r="J21" s="4">
        <v>13.99</v>
      </c>
      <c r="K21" s="4">
        <v>13</v>
      </c>
      <c r="L21" s="4">
        <v>6788</v>
      </c>
    </row>
    <row r="22" spans="1:12" x14ac:dyDescent="0.3">
      <c r="A22" t="s">
        <v>25</v>
      </c>
      <c r="B22" t="s">
        <v>43</v>
      </c>
      <c r="C22" t="s">
        <v>120</v>
      </c>
      <c r="D22" t="s">
        <v>102</v>
      </c>
      <c r="E22" t="s">
        <v>144</v>
      </c>
      <c r="F22">
        <v>1</v>
      </c>
      <c r="G22">
        <v>10</v>
      </c>
      <c r="H22" s="4">
        <v>11</v>
      </c>
      <c r="I22" s="4">
        <v>12</v>
      </c>
      <c r="J22" s="4">
        <v>14.1</v>
      </c>
      <c r="K22" s="4">
        <v>15</v>
      </c>
      <c r="L22" s="4">
        <v>8649</v>
      </c>
    </row>
    <row r="23" spans="1:12" x14ac:dyDescent="0.3">
      <c r="A23" t="s">
        <v>25</v>
      </c>
      <c r="B23" t="s">
        <v>43</v>
      </c>
      <c r="C23" t="s">
        <v>120</v>
      </c>
      <c r="D23" t="s">
        <v>103</v>
      </c>
      <c r="E23" t="s">
        <v>144</v>
      </c>
      <c r="F23">
        <v>1</v>
      </c>
      <c r="G23">
        <v>10</v>
      </c>
      <c r="H23" s="4">
        <v>11</v>
      </c>
      <c r="I23" s="4">
        <v>12</v>
      </c>
      <c r="J23" s="4">
        <v>14.32</v>
      </c>
      <c r="K23" s="4">
        <v>15</v>
      </c>
      <c r="L23" s="4">
        <v>10663</v>
      </c>
    </row>
    <row r="24" spans="1:12" x14ac:dyDescent="0.3">
      <c r="A24" t="s">
        <v>34</v>
      </c>
      <c r="B24" t="s">
        <v>43</v>
      </c>
      <c r="C24" t="s">
        <v>120</v>
      </c>
      <c r="D24" t="s">
        <v>104</v>
      </c>
      <c r="E24" t="s">
        <v>144</v>
      </c>
      <c r="F24">
        <v>1</v>
      </c>
      <c r="G24">
        <v>10</v>
      </c>
      <c r="H24" s="4">
        <v>10</v>
      </c>
      <c r="I24" s="4">
        <v>11</v>
      </c>
      <c r="J24" s="4">
        <v>18.18</v>
      </c>
      <c r="K24" s="4">
        <v>13</v>
      </c>
      <c r="L24" s="4">
        <v>7476</v>
      </c>
    </row>
    <row r="25" spans="1:12" x14ac:dyDescent="0.3">
      <c r="A25" t="s">
        <v>34</v>
      </c>
      <c r="B25" t="s">
        <v>43</v>
      </c>
      <c r="C25" t="s">
        <v>120</v>
      </c>
      <c r="D25" t="s">
        <v>105</v>
      </c>
      <c r="E25" t="s">
        <v>144</v>
      </c>
      <c r="F25">
        <v>1</v>
      </c>
      <c r="G25">
        <v>10</v>
      </c>
      <c r="H25" s="4">
        <v>10</v>
      </c>
      <c r="I25" s="4">
        <v>11</v>
      </c>
      <c r="J25" s="4">
        <v>16.899999999999999</v>
      </c>
      <c r="K25" s="4">
        <v>13</v>
      </c>
      <c r="L25" s="4">
        <v>8006</v>
      </c>
    </row>
    <row r="26" spans="1:12" x14ac:dyDescent="0.3">
      <c r="A26" t="s">
        <v>34</v>
      </c>
      <c r="B26" t="s">
        <v>43</v>
      </c>
      <c r="C26" t="s">
        <v>120</v>
      </c>
      <c r="D26" t="s">
        <v>106</v>
      </c>
      <c r="E26" t="s">
        <v>144</v>
      </c>
      <c r="F26">
        <v>1</v>
      </c>
      <c r="G26">
        <v>10</v>
      </c>
      <c r="H26" s="4">
        <v>10</v>
      </c>
      <c r="I26" s="4">
        <v>11</v>
      </c>
      <c r="J26" s="4">
        <v>14.75</v>
      </c>
      <c r="K26" s="4">
        <v>13</v>
      </c>
      <c r="L26" s="4">
        <v>10916</v>
      </c>
    </row>
    <row r="27" spans="1:12" x14ac:dyDescent="0.3">
      <c r="A27" t="s">
        <v>34</v>
      </c>
      <c r="B27" t="s">
        <v>43</v>
      </c>
      <c r="C27" t="s">
        <v>120</v>
      </c>
      <c r="D27" t="s">
        <v>107</v>
      </c>
      <c r="E27" t="s">
        <v>144</v>
      </c>
      <c r="F27">
        <v>1</v>
      </c>
      <c r="G27">
        <v>10</v>
      </c>
      <c r="H27" s="4">
        <v>10</v>
      </c>
      <c r="I27" s="4">
        <v>12</v>
      </c>
      <c r="J27" s="4">
        <v>14.39</v>
      </c>
      <c r="K27" s="4">
        <v>14</v>
      </c>
      <c r="L27" s="4">
        <v>7389</v>
      </c>
    </row>
    <row r="28" spans="1:12" x14ac:dyDescent="0.3">
      <c r="A28" t="s">
        <v>20</v>
      </c>
      <c r="B28" t="s">
        <v>9</v>
      </c>
      <c r="C28" t="s">
        <v>120</v>
      </c>
      <c r="D28" t="s">
        <v>154</v>
      </c>
      <c r="E28" t="s">
        <v>144</v>
      </c>
      <c r="F28">
        <v>2</v>
      </c>
      <c r="G28">
        <v>10</v>
      </c>
      <c r="H28">
        <v>14</v>
      </c>
      <c r="I28">
        <v>21</v>
      </c>
      <c r="J28">
        <v>28.35</v>
      </c>
      <c r="K28">
        <v>35</v>
      </c>
      <c r="L28">
        <v>74494</v>
      </c>
    </row>
    <row r="29" spans="1:12" x14ac:dyDescent="0.3">
      <c r="A29" t="s">
        <v>20</v>
      </c>
      <c r="B29" t="s">
        <v>9</v>
      </c>
      <c r="C29" t="s">
        <v>120</v>
      </c>
      <c r="D29" t="s">
        <v>155</v>
      </c>
      <c r="E29" t="s">
        <v>144</v>
      </c>
      <c r="F29">
        <v>2</v>
      </c>
      <c r="G29">
        <v>10</v>
      </c>
      <c r="H29">
        <v>12</v>
      </c>
      <c r="I29">
        <v>15</v>
      </c>
      <c r="J29">
        <v>18.079999999999998</v>
      </c>
      <c r="K29">
        <v>19</v>
      </c>
      <c r="L29">
        <v>49154</v>
      </c>
    </row>
    <row r="30" spans="1:12" x14ac:dyDescent="0.3">
      <c r="A30" t="s">
        <v>15</v>
      </c>
      <c r="B30" t="s">
        <v>9</v>
      </c>
      <c r="C30" t="s">
        <v>120</v>
      </c>
      <c r="D30" t="s">
        <v>152</v>
      </c>
      <c r="E30" t="s">
        <v>144</v>
      </c>
      <c r="F30">
        <v>2</v>
      </c>
      <c r="G30">
        <v>10</v>
      </c>
      <c r="H30">
        <v>13</v>
      </c>
      <c r="I30">
        <v>18</v>
      </c>
      <c r="J30">
        <v>23.58</v>
      </c>
      <c r="K30">
        <v>29</v>
      </c>
      <c r="L30">
        <v>48283</v>
      </c>
    </row>
    <row r="31" spans="1:12" x14ac:dyDescent="0.3">
      <c r="A31" t="s">
        <v>15</v>
      </c>
      <c r="B31" t="s">
        <v>9</v>
      </c>
      <c r="C31" t="s">
        <v>120</v>
      </c>
      <c r="D31" t="s">
        <v>153</v>
      </c>
      <c r="E31" t="s">
        <v>144</v>
      </c>
      <c r="F31">
        <v>2</v>
      </c>
      <c r="G31">
        <v>10</v>
      </c>
      <c r="H31">
        <v>11</v>
      </c>
      <c r="I31">
        <v>13</v>
      </c>
      <c r="J31">
        <v>15.83</v>
      </c>
      <c r="K31">
        <v>16</v>
      </c>
      <c r="L31">
        <v>41681</v>
      </c>
    </row>
    <row r="32" spans="1:12" x14ac:dyDescent="0.3">
      <c r="A32" t="s">
        <v>10</v>
      </c>
      <c r="B32" t="s">
        <v>9</v>
      </c>
      <c r="C32" t="s">
        <v>120</v>
      </c>
      <c r="D32" t="s">
        <v>151</v>
      </c>
      <c r="E32" t="s">
        <v>144</v>
      </c>
      <c r="F32">
        <v>2</v>
      </c>
      <c r="G32">
        <v>10</v>
      </c>
      <c r="H32">
        <v>13</v>
      </c>
      <c r="I32">
        <v>17</v>
      </c>
      <c r="J32">
        <v>22.23</v>
      </c>
      <c r="K32">
        <v>26</v>
      </c>
      <c r="L32">
        <v>52043</v>
      </c>
    </row>
    <row r="33" spans="1:12" x14ac:dyDescent="0.3">
      <c r="A33" t="s">
        <v>10</v>
      </c>
      <c r="B33" t="s">
        <v>9</v>
      </c>
      <c r="C33" t="s">
        <v>120</v>
      </c>
      <c r="D33" t="s">
        <v>150</v>
      </c>
      <c r="E33" t="s">
        <v>144</v>
      </c>
      <c r="F33">
        <v>2</v>
      </c>
      <c r="G33">
        <v>10</v>
      </c>
      <c r="H33">
        <v>12</v>
      </c>
      <c r="I33">
        <v>15</v>
      </c>
      <c r="J33">
        <v>18.239999999999998</v>
      </c>
      <c r="K33">
        <v>21</v>
      </c>
      <c r="L33">
        <v>13536</v>
      </c>
    </row>
    <row r="34" spans="1:12" x14ac:dyDescent="0.3">
      <c r="A34" t="s">
        <v>10</v>
      </c>
      <c r="B34" t="s">
        <v>43</v>
      </c>
      <c r="C34" t="s">
        <v>120</v>
      </c>
      <c r="D34" t="s">
        <v>156</v>
      </c>
      <c r="E34" t="s">
        <v>144</v>
      </c>
      <c r="F34">
        <v>2</v>
      </c>
      <c r="G34">
        <v>10</v>
      </c>
      <c r="H34">
        <v>11</v>
      </c>
      <c r="I34">
        <v>13</v>
      </c>
      <c r="J34">
        <v>14.8</v>
      </c>
      <c r="K34">
        <v>16</v>
      </c>
      <c r="L34">
        <v>11112</v>
      </c>
    </row>
    <row r="35" spans="1:12" x14ac:dyDescent="0.3">
      <c r="A35" t="s">
        <v>10</v>
      </c>
      <c r="B35" t="s">
        <v>43</v>
      </c>
      <c r="C35" t="s">
        <v>120</v>
      </c>
      <c r="D35" t="s">
        <v>157</v>
      </c>
      <c r="E35" t="s">
        <v>144</v>
      </c>
      <c r="F35">
        <v>2</v>
      </c>
      <c r="G35">
        <v>10</v>
      </c>
      <c r="H35">
        <v>11</v>
      </c>
      <c r="I35">
        <v>12</v>
      </c>
      <c r="J35">
        <v>14.53</v>
      </c>
      <c r="K35">
        <v>15</v>
      </c>
      <c r="L35">
        <v>16143</v>
      </c>
    </row>
    <row r="36" spans="1:12" x14ac:dyDescent="0.3">
      <c r="A36" t="s">
        <v>10</v>
      </c>
      <c r="B36" t="s">
        <v>43</v>
      </c>
      <c r="C36" t="s">
        <v>120</v>
      </c>
      <c r="D36" t="s">
        <v>158</v>
      </c>
      <c r="E36" t="s">
        <v>144</v>
      </c>
      <c r="F36">
        <v>2</v>
      </c>
      <c r="G36">
        <v>10</v>
      </c>
      <c r="H36">
        <v>11</v>
      </c>
      <c r="I36">
        <v>13</v>
      </c>
      <c r="J36">
        <v>16.059999999999999</v>
      </c>
      <c r="K36">
        <v>17</v>
      </c>
      <c r="L36">
        <v>50516</v>
      </c>
    </row>
    <row r="37" spans="1:12" x14ac:dyDescent="0.3">
      <c r="A37" t="s">
        <v>15</v>
      </c>
      <c r="B37" t="s">
        <v>43</v>
      </c>
      <c r="C37" t="s">
        <v>120</v>
      </c>
      <c r="D37" t="s">
        <v>161</v>
      </c>
      <c r="E37" t="s">
        <v>144</v>
      </c>
      <c r="F37">
        <v>2</v>
      </c>
      <c r="G37">
        <v>10</v>
      </c>
      <c r="H37">
        <v>13</v>
      </c>
      <c r="I37">
        <v>18</v>
      </c>
      <c r="J37">
        <v>23.42</v>
      </c>
      <c r="K37">
        <v>29</v>
      </c>
      <c r="L37">
        <v>33756</v>
      </c>
    </row>
    <row r="38" spans="1:12" x14ac:dyDescent="0.3">
      <c r="A38" t="s">
        <v>15</v>
      </c>
      <c r="B38" t="s">
        <v>43</v>
      </c>
      <c r="C38" t="s">
        <v>120</v>
      </c>
      <c r="D38" t="s">
        <v>159</v>
      </c>
      <c r="E38" t="s">
        <v>144</v>
      </c>
      <c r="F38">
        <v>2</v>
      </c>
      <c r="G38">
        <v>10</v>
      </c>
      <c r="H38">
        <v>12</v>
      </c>
      <c r="I38">
        <v>17</v>
      </c>
      <c r="J38">
        <v>20.23</v>
      </c>
      <c r="K38">
        <v>24</v>
      </c>
      <c r="L38">
        <v>34495</v>
      </c>
    </row>
    <row r="39" spans="1:12" x14ac:dyDescent="0.3">
      <c r="A39" t="s">
        <v>15</v>
      </c>
      <c r="B39" t="s">
        <v>43</v>
      </c>
      <c r="C39" t="s">
        <v>120</v>
      </c>
      <c r="D39" t="s">
        <v>160</v>
      </c>
      <c r="E39" t="s">
        <v>144</v>
      </c>
      <c r="F39">
        <v>2</v>
      </c>
      <c r="G39">
        <v>10</v>
      </c>
      <c r="H39">
        <v>12</v>
      </c>
      <c r="I39">
        <v>15</v>
      </c>
      <c r="J39">
        <v>17.98</v>
      </c>
      <c r="K39">
        <v>21</v>
      </c>
      <c r="L39">
        <v>11792</v>
      </c>
    </row>
    <row r="40" spans="1:12" x14ac:dyDescent="0.3">
      <c r="A40" t="s">
        <v>25</v>
      </c>
      <c r="B40" t="s">
        <v>9</v>
      </c>
      <c r="C40" t="s">
        <v>146</v>
      </c>
      <c r="D40" t="s">
        <v>135</v>
      </c>
      <c r="E40" t="s">
        <v>88</v>
      </c>
      <c r="F40">
        <v>1</v>
      </c>
      <c r="G40">
        <v>10</v>
      </c>
      <c r="H40" s="4">
        <v>10</v>
      </c>
      <c r="I40" s="4">
        <v>11</v>
      </c>
      <c r="J40" s="4">
        <v>12.77</v>
      </c>
      <c r="K40" s="4">
        <v>13</v>
      </c>
      <c r="L40" s="4">
        <v>16306</v>
      </c>
    </row>
    <row r="41" spans="1:12" x14ac:dyDescent="0.3">
      <c r="A41" t="s">
        <v>25</v>
      </c>
      <c r="B41" t="s">
        <v>9</v>
      </c>
      <c r="C41" t="s">
        <v>146</v>
      </c>
      <c r="D41" t="s">
        <v>136</v>
      </c>
      <c r="E41" t="s">
        <v>88</v>
      </c>
      <c r="F41">
        <v>1</v>
      </c>
      <c r="G41">
        <v>10</v>
      </c>
      <c r="H41" s="4">
        <v>10</v>
      </c>
      <c r="I41" s="4">
        <v>11</v>
      </c>
      <c r="J41" s="4">
        <v>12.72</v>
      </c>
      <c r="K41" s="4">
        <v>13</v>
      </c>
      <c r="L41" s="4">
        <v>14087</v>
      </c>
    </row>
    <row r="42" spans="1:12" x14ac:dyDescent="0.3">
      <c r="A42" t="s">
        <v>34</v>
      </c>
      <c r="B42" t="s">
        <v>9</v>
      </c>
      <c r="C42" t="s">
        <v>146</v>
      </c>
      <c r="D42" t="s">
        <v>137</v>
      </c>
      <c r="E42" t="s">
        <v>88</v>
      </c>
      <c r="F42">
        <v>1</v>
      </c>
      <c r="G42">
        <v>10</v>
      </c>
      <c r="H42" s="4">
        <v>10</v>
      </c>
      <c r="I42" s="4">
        <v>11</v>
      </c>
      <c r="J42" s="4">
        <v>12.79</v>
      </c>
      <c r="K42" s="4">
        <v>13</v>
      </c>
      <c r="L42" s="4">
        <v>12522</v>
      </c>
    </row>
    <row r="43" spans="1:12" x14ac:dyDescent="0.3">
      <c r="A43" t="s">
        <v>34</v>
      </c>
      <c r="B43" t="s">
        <v>9</v>
      </c>
      <c r="C43" t="s">
        <v>146</v>
      </c>
      <c r="D43" t="s">
        <v>138</v>
      </c>
      <c r="E43" t="s">
        <v>88</v>
      </c>
      <c r="F43">
        <v>1</v>
      </c>
      <c r="G43">
        <v>10</v>
      </c>
      <c r="H43" s="4">
        <v>10</v>
      </c>
      <c r="I43" s="4">
        <v>11</v>
      </c>
      <c r="J43" s="4">
        <v>12.65</v>
      </c>
      <c r="K43" s="4">
        <v>13</v>
      </c>
      <c r="L43" s="4">
        <v>10865</v>
      </c>
    </row>
    <row r="44" spans="1:12" x14ac:dyDescent="0.3">
      <c r="A44" t="s">
        <v>20</v>
      </c>
      <c r="B44" t="s">
        <v>9</v>
      </c>
      <c r="C44" t="s">
        <v>120</v>
      </c>
      <c r="D44" t="s">
        <v>121</v>
      </c>
      <c r="E44" t="s">
        <v>88</v>
      </c>
      <c r="F44">
        <v>1</v>
      </c>
      <c r="G44">
        <v>10</v>
      </c>
      <c r="H44">
        <v>11</v>
      </c>
      <c r="I44">
        <v>13</v>
      </c>
      <c r="J44">
        <v>37.520000000000003</v>
      </c>
      <c r="K44">
        <v>18</v>
      </c>
      <c r="L44">
        <v>11830</v>
      </c>
    </row>
    <row r="45" spans="1:12" x14ac:dyDescent="0.3">
      <c r="A45" t="s">
        <v>20</v>
      </c>
      <c r="B45" t="s">
        <v>9</v>
      </c>
      <c r="C45" t="s">
        <v>120</v>
      </c>
      <c r="D45" t="s">
        <v>122</v>
      </c>
      <c r="E45" t="s">
        <v>88</v>
      </c>
      <c r="F45">
        <v>1</v>
      </c>
      <c r="G45">
        <v>10</v>
      </c>
      <c r="H45">
        <v>10</v>
      </c>
      <c r="I45">
        <v>12</v>
      </c>
      <c r="J45">
        <v>40.04</v>
      </c>
      <c r="K45">
        <v>18</v>
      </c>
      <c r="L45">
        <v>8733</v>
      </c>
    </row>
    <row r="46" spans="1:12" x14ac:dyDescent="0.3">
      <c r="A46" t="s">
        <v>20</v>
      </c>
      <c r="B46" t="s">
        <v>9</v>
      </c>
      <c r="C46" t="s">
        <v>120</v>
      </c>
      <c r="D46" t="s">
        <v>154</v>
      </c>
      <c r="E46" t="s">
        <v>88</v>
      </c>
      <c r="F46">
        <v>2</v>
      </c>
      <c r="G46">
        <v>10</v>
      </c>
      <c r="H46">
        <v>12</v>
      </c>
      <c r="I46">
        <v>17</v>
      </c>
      <c r="J46">
        <v>27.36</v>
      </c>
      <c r="K46">
        <v>26</v>
      </c>
      <c r="L46">
        <v>60631</v>
      </c>
    </row>
    <row r="47" spans="1:12" x14ac:dyDescent="0.3">
      <c r="A47" t="s">
        <v>20</v>
      </c>
      <c r="B47" t="s">
        <v>9</v>
      </c>
      <c r="C47" t="s">
        <v>120</v>
      </c>
      <c r="D47" t="s">
        <v>155</v>
      </c>
      <c r="E47" t="s">
        <v>88</v>
      </c>
      <c r="F47">
        <v>2</v>
      </c>
      <c r="G47">
        <v>10</v>
      </c>
      <c r="H47">
        <v>11</v>
      </c>
      <c r="I47">
        <v>13</v>
      </c>
      <c r="J47">
        <v>27.27</v>
      </c>
      <c r="K47">
        <v>18</v>
      </c>
      <c r="L47">
        <v>27380</v>
      </c>
    </row>
    <row r="48" spans="1:12" x14ac:dyDescent="0.3">
      <c r="A48" t="s">
        <v>15</v>
      </c>
      <c r="B48" t="s">
        <v>9</v>
      </c>
      <c r="C48" t="s">
        <v>120</v>
      </c>
      <c r="D48" t="s">
        <v>123</v>
      </c>
      <c r="E48" t="s">
        <v>88</v>
      </c>
      <c r="F48">
        <v>1</v>
      </c>
      <c r="G48">
        <v>10</v>
      </c>
      <c r="H48">
        <v>10</v>
      </c>
      <c r="I48">
        <v>12</v>
      </c>
      <c r="J48">
        <v>47.94</v>
      </c>
      <c r="K48">
        <v>18</v>
      </c>
      <c r="L48">
        <v>14123</v>
      </c>
    </row>
    <row r="49" spans="1:12" x14ac:dyDescent="0.3">
      <c r="A49" t="s">
        <v>15</v>
      </c>
      <c r="B49" t="s">
        <v>9</v>
      </c>
      <c r="C49" t="s">
        <v>120</v>
      </c>
      <c r="D49" t="s">
        <v>124</v>
      </c>
      <c r="E49" t="s">
        <v>88</v>
      </c>
      <c r="F49">
        <v>1</v>
      </c>
      <c r="G49">
        <v>10</v>
      </c>
      <c r="H49">
        <v>11</v>
      </c>
      <c r="I49">
        <v>12</v>
      </c>
      <c r="J49">
        <v>35.520000000000003</v>
      </c>
      <c r="K49">
        <v>17</v>
      </c>
      <c r="L49">
        <v>8865</v>
      </c>
    </row>
    <row r="50" spans="1:12" x14ac:dyDescent="0.3">
      <c r="A50" t="s">
        <v>15</v>
      </c>
      <c r="B50" t="s">
        <v>9</v>
      </c>
      <c r="C50" t="s">
        <v>120</v>
      </c>
      <c r="D50" t="s">
        <v>152</v>
      </c>
      <c r="E50" t="s">
        <v>88</v>
      </c>
      <c r="F50">
        <v>2</v>
      </c>
      <c r="G50">
        <v>10</v>
      </c>
      <c r="H50">
        <v>12</v>
      </c>
      <c r="I50">
        <v>15</v>
      </c>
      <c r="J50">
        <v>24.34</v>
      </c>
      <c r="K50">
        <v>23</v>
      </c>
      <c r="L50">
        <v>26683</v>
      </c>
    </row>
    <row r="51" spans="1:12" x14ac:dyDescent="0.3">
      <c r="A51" t="s">
        <v>15</v>
      </c>
      <c r="B51" t="s">
        <v>9</v>
      </c>
      <c r="C51" t="s">
        <v>120</v>
      </c>
      <c r="D51" t="s">
        <v>153</v>
      </c>
      <c r="E51" t="s">
        <v>88</v>
      </c>
      <c r="F51">
        <v>2</v>
      </c>
      <c r="G51">
        <v>10</v>
      </c>
      <c r="H51">
        <v>11</v>
      </c>
      <c r="I51">
        <v>13</v>
      </c>
      <c r="J51">
        <v>23.01</v>
      </c>
      <c r="K51">
        <v>16</v>
      </c>
      <c r="L51">
        <v>22320</v>
      </c>
    </row>
    <row r="52" spans="1:12" x14ac:dyDescent="0.3">
      <c r="A52" t="s">
        <v>10</v>
      </c>
      <c r="B52" t="s">
        <v>9</v>
      </c>
      <c r="C52" t="s">
        <v>120</v>
      </c>
      <c r="D52" t="s">
        <v>125</v>
      </c>
      <c r="E52" t="s">
        <v>88</v>
      </c>
      <c r="F52">
        <v>1</v>
      </c>
      <c r="G52">
        <v>10</v>
      </c>
      <c r="H52" s="4">
        <v>11</v>
      </c>
      <c r="I52" s="4">
        <v>12</v>
      </c>
      <c r="J52" s="4">
        <v>19.29</v>
      </c>
      <c r="K52" s="4">
        <v>16</v>
      </c>
      <c r="L52" s="4">
        <v>4600</v>
      </c>
    </row>
    <row r="53" spans="1:12" x14ac:dyDescent="0.3">
      <c r="A53" t="s">
        <v>10</v>
      </c>
      <c r="B53" t="s">
        <v>9</v>
      </c>
      <c r="C53" t="s">
        <v>120</v>
      </c>
      <c r="D53" t="s">
        <v>126</v>
      </c>
      <c r="E53" t="s">
        <v>88</v>
      </c>
      <c r="F53">
        <v>1</v>
      </c>
      <c r="G53">
        <v>10</v>
      </c>
      <c r="H53" s="4">
        <v>10</v>
      </c>
      <c r="I53" s="4">
        <v>12</v>
      </c>
      <c r="J53" s="4">
        <v>19.77</v>
      </c>
      <c r="K53" s="4">
        <v>15</v>
      </c>
      <c r="L53" s="4">
        <v>2893</v>
      </c>
    </row>
    <row r="54" spans="1:12" x14ac:dyDescent="0.3">
      <c r="A54" t="s">
        <v>10</v>
      </c>
      <c r="B54" t="s">
        <v>9</v>
      </c>
      <c r="C54" t="s">
        <v>120</v>
      </c>
      <c r="D54" t="s">
        <v>151</v>
      </c>
      <c r="E54" t="s">
        <v>88</v>
      </c>
      <c r="F54">
        <v>2</v>
      </c>
      <c r="G54">
        <v>10</v>
      </c>
      <c r="H54" s="4">
        <v>12</v>
      </c>
      <c r="I54" s="4">
        <v>15</v>
      </c>
      <c r="J54" s="4">
        <v>25.31</v>
      </c>
      <c r="K54" s="4">
        <v>21</v>
      </c>
      <c r="L54" s="4">
        <v>37018</v>
      </c>
    </row>
    <row r="55" spans="1:12" x14ac:dyDescent="0.3">
      <c r="A55" t="s">
        <v>10</v>
      </c>
      <c r="B55" t="s">
        <v>9</v>
      </c>
      <c r="C55" t="s">
        <v>120</v>
      </c>
      <c r="D55" t="s">
        <v>150</v>
      </c>
      <c r="E55" t="s">
        <v>88</v>
      </c>
      <c r="F55">
        <v>2</v>
      </c>
      <c r="G55">
        <v>10</v>
      </c>
      <c r="H55" s="4">
        <v>11</v>
      </c>
      <c r="I55" s="4">
        <v>13</v>
      </c>
      <c r="J55" s="4">
        <v>22.19</v>
      </c>
      <c r="K55" s="4">
        <v>18</v>
      </c>
      <c r="L55" s="4">
        <v>14430</v>
      </c>
    </row>
    <row r="56" spans="1:12" x14ac:dyDescent="0.3">
      <c r="A56" t="s">
        <v>25</v>
      </c>
      <c r="B56" t="s">
        <v>9</v>
      </c>
      <c r="C56" t="s">
        <v>120</v>
      </c>
      <c r="D56" t="s">
        <v>127</v>
      </c>
      <c r="E56" t="s">
        <v>88</v>
      </c>
      <c r="F56">
        <v>1</v>
      </c>
      <c r="G56">
        <v>10</v>
      </c>
      <c r="H56" s="4">
        <v>10</v>
      </c>
      <c r="I56" s="4">
        <v>12</v>
      </c>
      <c r="J56" s="4">
        <v>29.53</v>
      </c>
      <c r="K56" s="4">
        <v>16</v>
      </c>
      <c r="L56" s="4">
        <v>4174</v>
      </c>
    </row>
    <row r="57" spans="1:12" x14ac:dyDescent="0.3">
      <c r="A57" t="s">
        <v>25</v>
      </c>
      <c r="B57" t="s">
        <v>9</v>
      </c>
      <c r="C57" t="s">
        <v>120</v>
      </c>
      <c r="D57" t="s">
        <v>128</v>
      </c>
      <c r="E57" t="s">
        <v>88</v>
      </c>
      <c r="F57">
        <v>1</v>
      </c>
      <c r="G57">
        <v>10</v>
      </c>
      <c r="H57" s="4">
        <v>10</v>
      </c>
      <c r="I57" s="4">
        <v>12</v>
      </c>
      <c r="J57" s="4">
        <v>24.83</v>
      </c>
      <c r="K57" s="4">
        <v>16</v>
      </c>
      <c r="L57" s="4">
        <v>5166</v>
      </c>
    </row>
    <row r="58" spans="1:12" x14ac:dyDescent="0.3">
      <c r="A58" t="s">
        <v>25</v>
      </c>
      <c r="B58" t="s">
        <v>9</v>
      </c>
      <c r="C58" t="s">
        <v>120</v>
      </c>
      <c r="D58" t="s">
        <v>129</v>
      </c>
      <c r="E58" t="s">
        <v>88</v>
      </c>
      <c r="F58">
        <v>1</v>
      </c>
      <c r="G58">
        <v>10</v>
      </c>
      <c r="H58" s="4">
        <v>10</v>
      </c>
      <c r="I58" s="4">
        <v>12</v>
      </c>
      <c r="J58" s="4">
        <v>29.16</v>
      </c>
      <c r="K58" s="4">
        <v>17</v>
      </c>
      <c r="L58" s="4">
        <v>6586</v>
      </c>
    </row>
    <row r="59" spans="1:12" x14ac:dyDescent="0.3">
      <c r="A59" t="s">
        <v>25</v>
      </c>
      <c r="B59" t="s">
        <v>9</v>
      </c>
      <c r="C59" t="s">
        <v>120</v>
      </c>
      <c r="D59" t="s">
        <v>130</v>
      </c>
      <c r="E59" t="s">
        <v>88</v>
      </c>
      <c r="F59">
        <v>1</v>
      </c>
      <c r="G59">
        <v>10</v>
      </c>
      <c r="H59" s="4">
        <v>10</v>
      </c>
      <c r="I59" s="4">
        <v>12</v>
      </c>
      <c r="J59" s="4">
        <v>28.41</v>
      </c>
      <c r="K59" s="4">
        <v>17</v>
      </c>
      <c r="L59" s="4">
        <v>6347</v>
      </c>
    </row>
    <row r="60" spans="1:12" x14ac:dyDescent="0.3">
      <c r="A60" t="s">
        <v>34</v>
      </c>
      <c r="B60" t="s">
        <v>9</v>
      </c>
      <c r="C60" t="s">
        <v>120</v>
      </c>
      <c r="D60" t="s">
        <v>131</v>
      </c>
      <c r="E60" t="s">
        <v>88</v>
      </c>
      <c r="F60">
        <v>1</v>
      </c>
      <c r="G60">
        <v>10</v>
      </c>
      <c r="H60" s="4">
        <v>10</v>
      </c>
      <c r="I60" s="4">
        <v>12</v>
      </c>
      <c r="J60" s="4">
        <v>44.7</v>
      </c>
      <c r="K60" s="4">
        <v>17</v>
      </c>
      <c r="L60" s="4">
        <v>18399</v>
      </c>
    </row>
    <row r="61" spans="1:12" x14ac:dyDescent="0.3">
      <c r="A61" t="s">
        <v>34</v>
      </c>
      <c r="B61" t="s">
        <v>9</v>
      </c>
      <c r="C61" t="s">
        <v>120</v>
      </c>
      <c r="D61" t="s">
        <v>132</v>
      </c>
      <c r="E61" t="s">
        <v>88</v>
      </c>
      <c r="F61">
        <v>1</v>
      </c>
      <c r="G61">
        <v>10</v>
      </c>
      <c r="H61" s="4">
        <v>10</v>
      </c>
      <c r="I61" s="4">
        <v>12</v>
      </c>
      <c r="J61" s="4">
        <v>34.159999999999997</v>
      </c>
      <c r="K61" s="4">
        <v>20</v>
      </c>
      <c r="L61" s="4">
        <v>6786</v>
      </c>
    </row>
    <row r="62" spans="1:12" x14ac:dyDescent="0.3">
      <c r="A62" t="s">
        <v>34</v>
      </c>
      <c r="B62" t="s">
        <v>9</v>
      </c>
      <c r="C62" t="s">
        <v>120</v>
      </c>
      <c r="D62" t="s">
        <v>133</v>
      </c>
      <c r="E62" t="s">
        <v>88</v>
      </c>
      <c r="F62">
        <v>1</v>
      </c>
      <c r="G62">
        <v>10</v>
      </c>
      <c r="H62" s="4">
        <v>11</v>
      </c>
      <c r="I62" s="4">
        <v>12</v>
      </c>
      <c r="J62" s="4">
        <v>26.59</v>
      </c>
      <c r="K62" s="4">
        <v>16</v>
      </c>
      <c r="L62" s="4">
        <v>6034</v>
      </c>
    </row>
    <row r="63" spans="1:12" x14ac:dyDescent="0.3">
      <c r="A63" t="s">
        <v>34</v>
      </c>
      <c r="B63" t="s">
        <v>9</v>
      </c>
      <c r="C63" t="s">
        <v>120</v>
      </c>
      <c r="D63" t="s">
        <v>134</v>
      </c>
      <c r="E63" t="s">
        <v>88</v>
      </c>
      <c r="F63">
        <v>1</v>
      </c>
      <c r="G63">
        <v>10</v>
      </c>
      <c r="H63" s="4">
        <v>10</v>
      </c>
      <c r="I63" s="4">
        <v>12</v>
      </c>
      <c r="J63" s="4">
        <v>26.4</v>
      </c>
      <c r="K63" s="4">
        <v>16</v>
      </c>
      <c r="L63" s="4">
        <v>3880</v>
      </c>
    </row>
    <row r="64" spans="1:12" x14ac:dyDescent="0.3">
      <c r="A64" t="s">
        <v>10</v>
      </c>
      <c r="B64" t="s">
        <v>43</v>
      </c>
      <c r="C64" t="s">
        <v>120</v>
      </c>
      <c r="D64" t="s">
        <v>156</v>
      </c>
      <c r="E64" t="s">
        <v>88</v>
      </c>
      <c r="F64">
        <v>2</v>
      </c>
      <c r="G64">
        <v>10</v>
      </c>
      <c r="H64">
        <v>11</v>
      </c>
      <c r="I64">
        <v>12</v>
      </c>
      <c r="J64">
        <v>17.420000000000002</v>
      </c>
      <c r="K64">
        <v>15</v>
      </c>
      <c r="L64">
        <v>5020</v>
      </c>
    </row>
    <row r="65" spans="1:12" x14ac:dyDescent="0.3">
      <c r="A65" t="s">
        <v>10</v>
      </c>
      <c r="B65" t="s">
        <v>43</v>
      </c>
      <c r="C65" t="s">
        <v>120</v>
      </c>
      <c r="D65" t="s">
        <v>157</v>
      </c>
      <c r="E65" t="s">
        <v>88</v>
      </c>
      <c r="F65">
        <v>2</v>
      </c>
      <c r="G65">
        <v>10</v>
      </c>
      <c r="H65">
        <v>11</v>
      </c>
      <c r="I65">
        <v>12</v>
      </c>
      <c r="J65">
        <v>19.98</v>
      </c>
      <c r="K65">
        <v>15</v>
      </c>
      <c r="L65">
        <v>6217</v>
      </c>
    </row>
    <row r="66" spans="1:12" x14ac:dyDescent="0.3">
      <c r="A66" t="s">
        <v>10</v>
      </c>
      <c r="B66" t="s">
        <v>43</v>
      </c>
      <c r="C66" t="s">
        <v>120</v>
      </c>
      <c r="D66" t="s">
        <v>158</v>
      </c>
      <c r="E66" t="s">
        <v>88</v>
      </c>
      <c r="F66">
        <v>2</v>
      </c>
      <c r="G66">
        <v>10</v>
      </c>
      <c r="H66">
        <v>11</v>
      </c>
      <c r="I66">
        <v>13</v>
      </c>
      <c r="J66">
        <v>23.23</v>
      </c>
      <c r="K66">
        <v>16</v>
      </c>
      <c r="L66">
        <v>17113</v>
      </c>
    </row>
    <row r="67" spans="1:12" x14ac:dyDescent="0.3">
      <c r="A67" t="s">
        <v>15</v>
      </c>
      <c r="B67" t="s">
        <v>43</v>
      </c>
      <c r="C67" t="s">
        <v>120</v>
      </c>
      <c r="D67" t="s">
        <v>161</v>
      </c>
      <c r="E67" t="s">
        <v>88</v>
      </c>
      <c r="F67">
        <v>2</v>
      </c>
      <c r="G67">
        <v>10</v>
      </c>
      <c r="H67">
        <v>12</v>
      </c>
      <c r="I67">
        <v>15</v>
      </c>
      <c r="J67">
        <v>22.26</v>
      </c>
      <c r="K67">
        <v>21</v>
      </c>
      <c r="L67">
        <v>18783</v>
      </c>
    </row>
    <row r="68" spans="1:12" x14ac:dyDescent="0.3">
      <c r="A68" t="s">
        <v>15</v>
      </c>
      <c r="B68" t="s">
        <v>43</v>
      </c>
      <c r="C68" t="s">
        <v>120</v>
      </c>
      <c r="D68" t="s">
        <v>159</v>
      </c>
      <c r="E68" t="s">
        <v>88</v>
      </c>
      <c r="F68">
        <v>2</v>
      </c>
      <c r="G68">
        <v>10</v>
      </c>
      <c r="H68">
        <v>11</v>
      </c>
      <c r="I68">
        <v>14</v>
      </c>
      <c r="J68">
        <v>20.329999999999998</v>
      </c>
      <c r="K68">
        <v>20</v>
      </c>
      <c r="L68">
        <v>14690</v>
      </c>
    </row>
    <row r="69" spans="1:12" x14ac:dyDescent="0.3">
      <c r="A69" t="s">
        <v>15</v>
      </c>
      <c r="B69" t="s">
        <v>43</v>
      </c>
      <c r="C69" t="s">
        <v>120</v>
      </c>
      <c r="D69" t="s">
        <v>160</v>
      </c>
      <c r="E69" t="s">
        <v>88</v>
      </c>
      <c r="F69">
        <v>2</v>
      </c>
      <c r="G69">
        <v>10</v>
      </c>
      <c r="H69">
        <v>11</v>
      </c>
      <c r="I69">
        <v>14</v>
      </c>
      <c r="J69">
        <v>20.37</v>
      </c>
      <c r="K69">
        <v>18</v>
      </c>
      <c r="L69">
        <v>10829</v>
      </c>
    </row>
    <row r="70" spans="1:12" x14ac:dyDescent="0.3">
      <c r="A70" t="s">
        <v>25</v>
      </c>
      <c r="B70" t="s">
        <v>43</v>
      </c>
      <c r="C70" t="s">
        <v>120</v>
      </c>
      <c r="D70" t="s">
        <v>98</v>
      </c>
      <c r="E70" t="s">
        <v>88</v>
      </c>
      <c r="F70">
        <v>1</v>
      </c>
      <c r="G70">
        <v>10</v>
      </c>
      <c r="H70">
        <v>11</v>
      </c>
      <c r="I70">
        <v>12</v>
      </c>
      <c r="J70">
        <v>28.85</v>
      </c>
      <c r="K70">
        <v>17</v>
      </c>
      <c r="L70">
        <v>5876</v>
      </c>
    </row>
    <row r="71" spans="1:12" x14ac:dyDescent="0.3">
      <c r="A71" t="s">
        <v>25</v>
      </c>
      <c r="B71" t="s">
        <v>43</v>
      </c>
      <c r="C71" t="s">
        <v>120</v>
      </c>
      <c r="D71" t="s">
        <v>101</v>
      </c>
      <c r="E71" t="s">
        <v>88</v>
      </c>
      <c r="F71">
        <v>1</v>
      </c>
      <c r="G71">
        <v>10</v>
      </c>
      <c r="H71">
        <v>10</v>
      </c>
      <c r="I71">
        <v>12</v>
      </c>
      <c r="J71">
        <v>30.31</v>
      </c>
      <c r="K71">
        <v>20</v>
      </c>
      <c r="L71">
        <v>3674</v>
      </c>
    </row>
    <row r="72" spans="1:12" x14ac:dyDescent="0.3">
      <c r="A72" t="s">
        <v>25</v>
      </c>
      <c r="B72" t="s">
        <v>43</v>
      </c>
      <c r="C72" t="s">
        <v>120</v>
      </c>
      <c r="D72" t="s">
        <v>102</v>
      </c>
      <c r="E72" t="s">
        <v>88</v>
      </c>
      <c r="F72">
        <v>1</v>
      </c>
      <c r="G72">
        <v>10</v>
      </c>
      <c r="H72">
        <v>10</v>
      </c>
      <c r="I72">
        <v>12</v>
      </c>
      <c r="J72">
        <v>21.67</v>
      </c>
      <c r="K72">
        <v>15</v>
      </c>
      <c r="L72">
        <v>7657</v>
      </c>
    </row>
    <row r="73" spans="1:12" x14ac:dyDescent="0.3">
      <c r="A73" t="s">
        <v>25</v>
      </c>
      <c r="B73" t="s">
        <v>43</v>
      </c>
      <c r="C73" t="s">
        <v>120</v>
      </c>
      <c r="D73" t="s">
        <v>103</v>
      </c>
      <c r="E73" t="s">
        <v>88</v>
      </c>
      <c r="F73">
        <v>1</v>
      </c>
      <c r="G73">
        <v>10</v>
      </c>
      <c r="H73">
        <v>11</v>
      </c>
      <c r="I73">
        <v>12</v>
      </c>
      <c r="J73">
        <v>31.35</v>
      </c>
      <c r="K73">
        <v>18</v>
      </c>
      <c r="L73">
        <v>6676</v>
      </c>
    </row>
    <row r="74" spans="1:12" x14ac:dyDescent="0.3">
      <c r="A74" t="s">
        <v>34</v>
      </c>
      <c r="B74" t="s">
        <v>43</v>
      </c>
      <c r="C74" t="s">
        <v>120</v>
      </c>
      <c r="D74" t="s">
        <v>104</v>
      </c>
      <c r="E74" t="s">
        <v>88</v>
      </c>
      <c r="F74">
        <v>1</v>
      </c>
      <c r="G74">
        <v>10</v>
      </c>
      <c r="H74">
        <v>11</v>
      </c>
      <c r="I74">
        <v>14</v>
      </c>
      <c r="J74">
        <v>58.01</v>
      </c>
      <c r="K74">
        <v>37</v>
      </c>
      <c r="L74">
        <v>12184</v>
      </c>
    </row>
    <row r="75" spans="1:12" x14ac:dyDescent="0.3">
      <c r="A75" t="s">
        <v>34</v>
      </c>
      <c r="B75" t="s">
        <v>43</v>
      </c>
      <c r="C75" t="s">
        <v>120</v>
      </c>
      <c r="D75" t="s">
        <v>105</v>
      </c>
      <c r="E75" t="s">
        <v>88</v>
      </c>
      <c r="F75">
        <v>1</v>
      </c>
      <c r="G75">
        <v>10</v>
      </c>
      <c r="H75">
        <v>10</v>
      </c>
      <c r="I75">
        <v>13</v>
      </c>
      <c r="J75">
        <v>41.88</v>
      </c>
      <c r="K75">
        <v>23</v>
      </c>
      <c r="L75">
        <v>9541</v>
      </c>
    </row>
    <row r="76" spans="1:12" x14ac:dyDescent="0.3">
      <c r="A76" t="s">
        <v>34</v>
      </c>
      <c r="B76" t="s">
        <v>43</v>
      </c>
      <c r="C76" t="s">
        <v>120</v>
      </c>
      <c r="D76" t="s">
        <v>106</v>
      </c>
      <c r="E76" t="s">
        <v>88</v>
      </c>
      <c r="F76">
        <v>1</v>
      </c>
      <c r="G76">
        <v>10</v>
      </c>
      <c r="H76">
        <v>10</v>
      </c>
      <c r="I76">
        <v>12</v>
      </c>
      <c r="J76">
        <v>38.409999999999997</v>
      </c>
      <c r="K76">
        <v>21</v>
      </c>
      <c r="L76">
        <v>7940</v>
      </c>
    </row>
    <row r="77" spans="1:12" x14ac:dyDescent="0.3">
      <c r="A77" t="s">
        <v>34</v>
      </c>
      <c r="B77" t="s">
        <v>43</v>
      </c>
      <c r="C77" t="s">
        <v>120</v>
      </c>
      <c r="D77" t="s">
        <v>107</v>
      </c>
      <c r="E77" t="s">
        <v>88</v>
      </c>
      <c r="F77">
        <v>1</v>
      </c>
      <c r="G77">
        <v>10</v>
      </c>
      <c r="H77">
        <v>11</v>
      </c>
      <c r="I77">
        <v>13</v>
      </c>
      <c r="J77">
        <v>35.880000000000003</v>
      </c>
      <c r="K77">
        <v>20</v>
      </c>
      <c r="L77">
        <v>7216</v>
      </c>
    </row>
    <row r="78" spans="1:12" x14ac:dyDescent="0.3">
      <c r="A78" t="s">
        <v>25</v>
      </c>
      <c r="B78" t="s">
        <v>9</v>
      </c>
      <c r="C78" t="s">
        <v>146</v>
      </c>
      <c r="D78" t="s">
        <v>135</v>
      </c>
      <c r="E78" t="s">
        <v>141</v>
      </c>
      <c r="F78">
        <v>1</v>
      </c>
      <c r="G78">
        <v>10</v>
      </c>
      <c r="H78" s="4">
        <v>10</v>
      </c>
      <c r="I78" s="4">
        <v>11</v>
      </c>
      <c r="J78" s="4">
        <v>13.01</v>
      </c>
      <c r="K78" s="4">
        <v>12</v>
      </c>
      <c r="L78" s="4">
        <v>3665</v>
      </c>
    </row>
    <row r="79" spans="1:12" x14ac:dyDescent="0.3">
      <c r="A79" t="s">
        <v>25</v>
      </c>
      <c r="B79" t="s">
        <v>9</v>
      </c>
      <c r="C79" t="s">
        <v>146</v>
      </c>
      <c r="D79" t="s">
        <v>136</v>
      </c>
      <c r="E79" t="s">
        <v>141</v>
      </c>
      <c r="F79">
        <v>1</v>
      </c>
      <c r="G79">
        <v>10</v>
      </c>
      <c r="H79" s="4">
        <v>10</v>
      </c>
      <c r="I79" s="4">
        <v>11</v>
      </c>
      <c r="J79" s="4">
        <v>12.71</v>
      </c>
      <c r="K79" s="4">
        <v>12</v>
      </c>
      <c r="L79" s="4">
        <v>4433</v>
      </c>
    </row>
    <row r="80" spans="1:12" x14ac:dyDescent="0.3">
      <c r="A80" t="s">
        <v>34</v>
      </c>
      <c r="B80" t="s">
        <v>9</v>
      </c>
      <c r="C80" t="s">
        <v>146</v>
      </c>
      <c r="D80" t="s">
        <v>137</v>
      </c>
      <c r="E80" t="s">
        <v>141</v>
      </c>
      <c r="F80">
        <v>1</v>
      </c>
      <c r="G80">
        <v>10</v>
      </c>
      <c r="H80" s="4">
        <v>10</v>
      </c>
      <c r="I80" s="4">
        <v>11</v>
      </c>
      <c r="J80" s="4">
        <v>12.88</v>
      </c>
      <c r="K80" s="4">
        <v>12</v>
      </c>
      <c r="L80" s="4">
        <v>3073</v>
      </c>
    </row>
    <row r="81" spans="1:12" x14ac:dyDescent="0.3">
      <c r="A81" t="s">
        <v>34</v>
      </c>
      <c r="B81" t="s">
        <v>9</v>
      </c>
      <c r="C81" t="s">
        <v>146</v>
      </c>
      <c r="D81" t="s">
        <v>138</v>
      </c>
      <c r="E81" t="s">
        <v>141</v>
      </c>
      <c r="F81">
        <v>1</v>
      </c>
      <c r="G81">
        <v>10</v>
      </c>
      <c r="H81" s="4">
        <v>10</v>
      </c>
      <c r="I81" s="4">
        <v>11</v>
      </c>
      <c r="J81" s="4">
        <v>12.82</v>
      </c>
      <c r="K81" s="4">
        <v>12</v>
      </c>
      <c r="L81" s="4">
        <v>3014</v>
      </c>
    </row>
    <row r="82" spans="1:12" x14ac:dyDescent="0.3">
      <c r="A82" t="s">
        <v>20</v>
      </c>
      <c r="B82" t="s">
        <v>9</v>
      </c>
      <c r="C82" t="s">
        <v>120</v>
      </c>
      <c r="D82" t="s">
        <v>121</v>
      </c>
      <c r="E82" t="s">
        <v>141</v>
      </c>
      <c r="F82">
        <v>1</v>
      </c>
      <c r="G82">
        <v>10</v>
      </c>
      <c r="H82" s="4">
        <v>11</v>
      </c>
      <c r="I82" s="4">
        <v>12</v>
      </c>
      <c r="J82" s="4">
        <v>14.59</v>
      </c>
      <c r="K82" s="4">
        <v>15</v>
      </c>
      <c r="L82" s="4">
        <v>12568</v>
      </c>
    </row>
    <row r="83" spans="1:12" x14ac:dyDescent="0.3">
      <c r="A83" t="s">
        <v>20</v>
      </c>
      <c r="B83" t="s">
        <v>9</v>
      </c>
      <c r="C83" t="s">
        <v>120</v>
      </c>
      <c r="D83" t="s">
        <v>122</v>
      </c>
      <c r="E83" t="s">
        <v>141</v>
      </c>
      <c r="F83">
        <v>1</v>
      </c>
      <c r="G83">
        <v>10</v>
      </c>
      <c r="H83" s="4">
        <v>10</v>
      </c>
      <c r="I83" s="4">
        <v>12</v>
      </c>
      <c r="J83" s="4">
        <v>14.04</v>
      </c>
      <c r="K83" s="4">
        <v>14</v>
      </c>
      <c r="L83" s="4">
        <v>11098</v>
      </c>
    </row>
    <row r="84" spans="1:12" x14ac:dyDescent="0.3">
      <c r="A84" t="s">
        <v>20</v>
      </c>
      <c r="B84" t="s">
        <v>9</v>
      </c>
      <c r="C84" t="s">
        <v>120</v>
      </c>
      <c r="D84" t="s">
        <v>154</v>
      </c>
      <c r="E84" t="s">
        <v>141</v>
      </c>
      <c r="F84">
        <v>2</v>
      </c>
      <c r="G84">
        <v>10</v>
      </c>
      <c r="H84" s="4">
        <v>14</v>
      </c>
      <c r="I84" s="4">
        <v>21</v>
      </c>
      <c r="J84" s="4">
        <v>27.86</v>
      </c>
      <c r="K84" s="4">
        <v>35</v>
      </c>
      <c r="L84" s="4">
        <v>74275</v>
      </c>
    </row>
    <row r="85" spans="1:12" x14ac:dyDescent="0.3">
      <c r="A85" t="s">
        <v>20</v>
      </c>
      <c r="B85" t="s">
        <v>9</v>
      </c>
      <c r="C85" t="s">
        <v>120</v>
      </c>
      <c r="D85" t="s">
        <v>155</v>
      </c>
      <c r="E85" t="s">
        <v>141</v>
      </c>
      <c r="F85">
        <v>2</v>
      </c>
      <c r="G85">
        <v>10</v>
      </c>
      <c r="H85" s="4">
        <v>12</v>
      </c>
      <c r="I85" s="4">
        <v>14</v>
      </c>
      <c r="J85" s="4">
        <v>17.5</v>
      </c>
      <c r="K85" s="4">
        <v>19</v>
      </c>
      <c r="L85" s="4">
        <v>49093</v>
      </c>
    </row>
    <row r="86" spans="1:12" x14ac:dyDescent="0.3">
      <c r="A86" t="s">
        <v>15</v>
      </c>
      <c r="B86" t="s">
        <v>9</v>
      </c>
      <c r="C86" t="s">
        <v>120</v>
      </c>
      <c r="D86" t="s">
        <v>123</v>
      </c>
      <c r="E86" t="s">
        <v>141</v>
      </c>
      <c r="F86">
        <v>1</v>
      </c>
      <c r="G86">
        <v>10</v>
      </c>
      <c r="H86" s="4">
        <v>10</v>
      </c>
      <c r="I86" s="4">
        <v>11</v>
      </c>
      <c r="J86" s="4">
        <v>14.81</v>
      </c>
      <c r="K86" s="4">
        <v>13</v>
      </c>
      <c r="L86" s="4">
        <v>27619</v>
      </c>
    </row>
    <row r="87" spans="1:12" x14ac:dyDescent="0.3">
      <c r="A87" t="s">
        <v>15</v>
      </c>
      <c r="B87" t="s">
        <v>9</v>
      </c>
      <c r="C87" t="s">
        <v>120</v>
      </c>
      <c r="D87" t="s">
        <v>124</v>
      </c>
      <c r="E87" t="s">
        <v>141</v>
      </c>
      <c r="F87">
        <v>1</v>
      </c>
      <c r="G87">
        <v>10</v>
      </c>
      <c r="H87" s="4">
        <v>11</v>
      </c>
      <c r="I87" s="4">
        <v>12</v>
      </c>
      <c r="J87" s="4">
        <v>14.09</v>
      </c>
      <c r="K87" s="4">
        <v>14</v>
      </c>
      <c r="L87" s="4">
        <v>9204</v>
      </c>
    </row>
    <row r="88" spans="1:12" x14ac:dyDescent="0.3">
      <c r="A88" t="s">
        <v>15</v>
      </c>
      <c r="B88" t="s">
        <v>9</v>
      </c>
      <c r="C88" t="s">
        <v>120</v>
      </c>
      <c r="D88" t="s">
        <v>152</v>
      </c>
      <c r="E88" t="s">
        <v>141</v>
      </c>
      <c r="F88">
        <v>2</v>
      </c>
      <c r="G88">
        <v>10</v>
      </c>
      <c r="H88" s="4">
        <v>13</v>
      </c>
      <c r="I88" s="4">
        <v>18</v>
      </c>
      <c r="J88" s="4">
        <v>23.35</v>
      </c>
      <c r="K88" s="4">
        <v>29</v>
      </c>
      <c r="L88" s="4">
        <v>48206</v>
      </c>
    </row>
    <row r="89" spans="1:12" x14ac:dyDescent="0.3">
      <c r="A89" t="s">
        <v>15</v>
      </c>
      <c r="B89" t="s">
        <v>9</v>
      </c>
      <c r="C89" t="s">
        <v>120</v>
      </c>
      <c r="D89" t="s">
        <v>153</v>
      </c>
      <c r="E89" t="s">
        <v>141</v>
      </c>
      <c r="F89">
        <v>2</v>
      </c>
      <c r="G89">
        <v>10</v>
      </c>
      <c r="H89" s="4">
        <v>11</v>
      </c>
      <c r="I89" s="4">
        <v>13</v>
      </c>
      <c r="J89" s="4">
        <v>15.08</v>
      </c>
      <c r="K89" s="4">
        <v>16</v>
      </c>
      <c r="L89" s="4">
        <v>41588</v>
      </c>
    </row>
    <row r="90" spans="1:12" x14ac:dyDescent="0.3">
      <c r="A90" t="s">
        <v>10</v>
      </c>
      <c r="B90" t="s">
        <v>9</v>
      </c>
      <c r="C90" t="s">
        <v>120</v>
      </c>
      <c r="D90" t="s">
        <v>125</v>
      </c>
      <c r="E90" t="s">
        <v>141</v>
      </c>
      <c r="F90">
        <v>1</v>
      </c>
      <c r="G90">
        <v>10</v>
      </c>
      <c r="H90" s="4">
        <v>11</v>
      </c>
      <c r="I90" s="4">
        <v>13</v>
      </c>
      <c r="J90" s="4">
        <v>14.85</v>
      </c>
      <c r="K90" s="4">
        <v>17</v>
      </c>
      <c r="L90" s="4">
        <v>4711</v>
      </c>
    </row>
    <row r="91" spans="1:12" x14ac:dyDescent="0.3">
      <c r="A91" t="s">
        <v>10</v>
      </c>
      <c r="B91" t="s">
        <v>9</v>
      </c>
      <c r="C91" t="s">
        <v>120</v>
      </c>
      <c r="D91" t="s">
        <v>126</v>
      </c>
      <c r="E91" t="s">
        <v>141</v>
      </c>
      <c r="F91">
        <v>1</v>
      </c>
      <c r="G91">
        <v>10</v>
      </c>
      <c r="H91" s="4">
        <v>11</v>
      </c>
      <c r="I91" s="4">
        <v>12</v>
      </c>
      <c r="J91" s="4">
        <v>13.57</v>
      </c>
      <c r="K91" s="4">
        <v>15</v>
      </c>
      <c r="L91" s="4">
        <v>2363</v>
      </c>
    </row>
    <row r="92" spans="1:12" x14ac:dyDescent="0.3">
      <c r="A92" t="s">
        <v>10</v>
      </c>
      <c r="B92" t="s">
        <v>9</v>
      </c>
      <c r="C92" t="s">
        <v>120</v>
      </c>
      <c r="D92" t="s">
        <v>151</v>
      </c>
      <c r="E92" t="s">
        <v>141</v>
      </c>
      <c r="F92">
        <v>2</v>
      </c>
      <c r="G92">
        <v>10</v>
      </c>
      <c r="H92" s="4">
        <v>13</v>
      </c>
      <c r="I92" s="4">
        <v>17</v>
      </c>
      <c r="J92" s="4">
        <v>21.77</v>
      </c>
      <c r="K92" s="4">
        <v>26</v>
      </c>
      <c r="L92" s="4">
        <v>51903</v>
      </c>
    </row>
    <row r="93" spans="1:12" x14ac:dyDescent="0.3">
      <c r="A93" t="s">
        <v>10</v>
      </c>
      <c r="B93" t="s">
        <v>9</v>
      </c>
      <c r="C93" t="s">
        <v>120</v>
      </c>
      <c r="D93" t="s">
        <v>150</v>
      </c>
      <c r="E93" t="s">
        <v>141</v>
      </c>
      <c r="F93">
        <v>2</v>
      </c>
      <c r="G93">
        <v>10</v>
      </c>
      <c r="H93" s="4">
        <v>12</v>
      </c>
      <c r="I93" s="4">
        <v>15</v>
      </c>
      <c r="J93" s="4">
        <v>17.940000000000001</v>
      </c>
      <c r="K93" s="4">
        <v>21</v>
      </c>
      <c r="L93" s="4">
        <v>13533</v>
      </c>
    </row>
    <row r="94" spans="1:12" x14ac:dyDescent="0.3">
      <c r="A94" t="s">
        <v>25</v>
      </c>
      <c r="B94" t="s">
        <v>9</v>
      </c>
      <c r="C94" t="s">
        <v>120</v>
      </c>
      <c r="D94" t="s">
        <v>127</v>
      </c>
      <c r="E94" t="s">
        <v>141</v>
      </c>
      <c r="F94">
        <v>1</v>
      </c>
      <c r="G94">
        <v>10</v>
      </c>
      <c r="H94" s="4">
        <v>10</v>
      </c>
      <c r="I94" s="4">
        <v>12</v>
      </c>
      <c r="J94" s="4">
        <v>13.34</v>
      </c>
      <c r="K94" s="4">
        <v>14</v>
      </c>
      <c r="L94" s="4">
        <v>7034</v>
      </c>
    </row>
    <row r="95" spans="1:12" x14ac:dyDescent="0.3">
      <c r="A95" t="s">
        <v>25</v>
      </c>
      <c r="B95" t="s">
        <v>9</v>
      </c>
      <c r="C95" t="s">
        <v>120</v>
      </c>
      <c r="D95" t="s">
        <v>128</v>
      </c>
      <c r="E95" t="s">
        <v>141</v>
      </c>
      <c r="F95">
        <v>1</v>
      </c>
      <c r="G95">
        <v>10</v>
      </c>
      <c r="H95" s="4">
        <v>10</v>
      </c>
      <c r="I95" s="4">
        <v>12</v>
      </c>
      <c r="J95" s="4">
        <v>13.44</v>
      </c>
      <c r="K95" s="4">
        <v>14</v>
      </c>
      <c r="L95" s="4">
        <v>5847</v>
      </c>
    </row>
    <row r="96" spans="1:12" x14ac:dyDescent="0.3">
      <c r="A96" t="s">
        <v>25</v>
      </c>
      <c r="B96" t="s">
        <v>9</v>
      </c>
      <c r="C96" t="s">
        <v>120</v>
      </c>
      <c r="D96" t="s">
        <v>129</v>
      </c>
      <c r="E96" t="s">
        <v>141</v>
      </c>
      <c r="F96">
        <v>1</v>
      </c>
      <c r="G96">
        <v>10</v>
      </c>
      <c r="H96" s="4">
        <v>11</v>
      </c>
      <c r="I96" s="4">
        <v>12</v>
      </c>
      <c r="J96" s="4">
        <v>13.52</v>
      </c>
      <c r="K96" s="4">
        <v>14</v>
      </c>
      <c r="L96" s="4">
        <v>9156</v>
      </c>
    </row>
    <row r="97" spans="1:12" x14ac:dyDescent="0.3">
      <c r="A97" t="s">
        <v>25</v>
      </c>
      <c r="B97" t="s">
        <v>9</v>
      </c>
      <c r="C97" t="s">
        <v>120</v>
      </c>
      <c r="D97" t="s">
        <v>130</v>
      </c>
      <c r="E97" t="s">
        <v>141</v>
      </c>
      <c r="F97">
        <v>1</v>
      </c>
      <c r="G97">
        <v>10</v>
      </c>
      <c r="H97" s="4">
        <v>10</v>
      </c>
      <c r="I97" s="4">
        <v>12</v>
      </c>
      <c r="J97" s="4">
        <v>13.47</v>
      </c>
      <c r="K97" s="4">
        <v>14</v>
      </c>
      <c r="L97" s="4">
        <v>9998</v>
      </c>
    </row>
    <row r="98" spans="1:12" x14ac:dyDescent="0.3">
      <c r="A98" t="s">
        <v>34</v>
      </c>
      <c r="B98" t="s">
        <v>9</v>
      </c>
      <c r="C98" t="s">
        <v>120</v>
      </c>
      <c r="D98" t="s">
        <v>131</v>
      </c>
      <c r="E98" t="s">
        <v>141</v>
      </c>
      <c r="F98">
        <v>1</v>
      </c>
      <c r="G98">
        <v>10</v>
      </c>
      <c r="H98" s="4">
        <v>10</v>
      </c>
      <c r="I98" s="4">
        <v>11</v>
      </c>
      <c r="J98" s="4">
        <v>14.47</v>
      </c>
      <c r="K98" s="4">
        <v>13</v>
      </c>
      <c r="L98" s="4">
        <v>15197</v>
      </c>
    </row>
    <row r="99" spans="1:12" x14ac:dyDescent="0.3">
      <c r="A99" t="s">
        <v>34</v>
      </c>
      <c r="B99" t="s">
        <v>9</v>
      </c>
      <c r="C99" t="s">
        <v>120</v>
      </c>
      <c r="D99" t="s">
        <v>132</v>
      </c>
      <c r="E99" t="s">
        <v>141</v>
      </c>
      <c r="F99">
        <v>1</v>
      </c>
      <c r="G99">
        <v>10</v>
      </c>
      <c r="H99" s="4">
        <v>10</v>
      </c>
      <c r="I99" s="4">
        <v>11</v>
      </c>
      <c r="J99" s="4">
        <v>13.93</v>
      </c>
      <c r="K99" s="4">
        <v>12</v>
      </c>
      <c r="L99" s="4">
        <v>6878</v>
      </c>
    </row>
    <row r="100" spans="1:12" x14ac:dyDescent="0.3">
      <c r="A100" t="s">
        <v>34</v>
      </c>
      <c r="B100" t="s">
        <v>9</v>
      </c>
      <c r="C100" t="s">
        <v>120</v>
      </c>
      <c r="D100" t="s">
        <v>133</v>
      </c>
      <c r="E100" t="s">
        <v>141</v>
      </c>
      <c r="F100">
        <v>1</v>
      </c>
      <c r="G100">
        <v>10</v>
      </c>
      <c r="H100" s="4">
        <v>11</v>
      </c>
      <c r="I100" s="4">
        <v>12</v>
      </c>
      <c r="J100" s="4">
        <v>13.91</v>
      </c>
      <c r="K100" s="4">
        <v>15</v>
      </c>
      <c r="L100" s="4">
        <v>9688</v>
      </c>
    </row>
    <row r="101" spans="1:12" x14ac:dyDescent="0.3">
      <c r="A101" t="s">
        <v>34</v>
      </c>
      <c r="B101" t="s">
        <v>9</v>
      </c>
      <c r="C101" t="s">
        <v>120</v>
      </c>
      <c r="D101" t="s">
        <v>134</v>
      </c>
      <c r="E101" t="s">
        <v>141</v>
      </c>
      <c r="F101">
        <v>1</v>
      </c>
      <c r="G101">
        <v>10</v>
      </c>
      <c r="H101" s="4">
        <v>10</v>
      </c>
      <c r="I101" s="4">
        <v>12</v>
      </c>
      <c r="J101" s="4">
        <v>13.23</v>
      </c>
      <c r="K101" s="4">
        <v>13</v>
      </c>
      <c r="L101" s="4">
        <v>5444</v>
      </c>
    </row>
    <row r="102" spans="1:12" x14ac:dyDescent="0.3">
      <c r="A102" t="s">
        <v>10</v>
      </c>
      <c r="B102" t="s">
        <v>43</v>
      </c>
      <c r="C102" t="s">
        <v>120</v>
      </c>
      <c r="D102" t="s">
        <v>156</v>
      </c>
      <c r="E102" t="s">
        <v>141</v>
      </c>
      <c r="F102">
        <v>2</v>
      </c>
      <c r="G102">
        <v>10</v>
      </c>
      <c r="H102" s="4">
        <v>11</v>
      </c>
      <c r="I102" s="4">
        <v>13</v>
      </c>
      <c r="J102" s="4">
        <v>14.44</v>
      </c>
      <c r="K102" s="4">
        <v>16</v>
      </c>
      <c r="L102" s="4">
        <v>11119</v>
      </c>
    </row>
    <row r="103" spans="1:12" x14ac:dyDescent="0.3">
      <c r="A103" t="s">
        <v>10</v>
      </c>
      <c r="B103" t="s">
        <v>43</v>
      </c>
      <c r="C103" t="s">
        <v>120</v>
      </c>
      <c r="D103" t="s">
        <v>157</v>
      </c>
      <c r="E103" t="s">
        <v>141</v>
      </c>
      <c r="F103">
        <v>2</v>
      </c>
      <c r="G103">
        <v>10</v>
      </c>
      <c r="H103" s="4">
        <v>11</v>
      </c>
      <c r="I103" s="4">
        <v>12</v>
      </c>
      <c r="J103" s="4">
        <v>14.07</v>
      </c>
      <c r="K103" s="4">
        <v>15</v>
      </c>
      <c r="L103" s="4">
        <v>16102</v>
      </c>
    </row>
    <row r="104" spans="1:12" x14ac:dyDescent="0.3">
      <c r="A104" t="s">
        <v>10</v>
      </c>
      <c r="B104" t="s">
        <v>43</v>
      </c>
      <c r="C104" t="s">
        <v>120</v>
      </c>
      <c r="D104" t="s">
        <v>158</v>
      </c>
      <c r="E104" t="s">
        <v>141</v>
      </c>
      <c r="F104">
        <v>2</v>
      </c>
      <c r="G104">
        <v>10</v>
      </c>
      <c r="H104" s="4">
        <v>11</v>
      </c>
      <c r="I104" s="4">
        <v>13</v>
      </c>
      <c r="J104" s="4">
        <v>15.35</v>
      </c>
      <c r="K104" s="4">
        <v>16</v>
      </c>
      <c r="L104" s="4">
        <v>50463</v>
      </c>
    </row>
    <row r="105" spans="1:12" x14ac:dyDescent="0.3">
      <c r="A105" t="s">
        <v>15</v>
      </c>
      <c r="B105" t="s">
        <v>43</v>
      </c>
      <c r="C105" t="s">
        <v>120</v>
      </c>
      <c r="D105" t="s">
        <v>161</v>
      </c>
      <c r="E105" t="s">
        <v>141</v>
      </c>
      <c r="F105">
        <v>2</v>
      </c>
      <c r="G105">
        <v>10</v>
      </c>
      <c r="H105" s="4">
        <v>13</v>
      </c>
      <c r="I105" s="4">
        <v>18</v>
      </c>
      <c r="J105" s="4">
        <v>23.09</v>
      </c>
      <c r="K105" s="4">
        <v>29</v>
      </c>
      <c r="L105" s="4">
        <v>33677</v>
      </c>
    </row>
    <row r="106" spans="1:12" x14ac:dyDescent="0.3">
      <c r="A106" t="s">
        <v>15</v>
      </c>
      <c r="B106" t="s">
        <v>43</v>
      </c>
      <c r="C106" t="s">
        <v>120</v>
      </c>
      <c r="D106" t="s">
        <v>159</v>
      </c>
      <c r="E106" t="s">
        <v>141</v>
      </c>
      <c r="F106">
        <v>2</v>
      </c>
      <c r="G106">
        <v>10</v>
      </c>
      <c r="H106" s="4">
        <v>12</v>
      </c>
      <c r="I106" s="4">
        <v>17</v>
      </c>
      <c r="J106" s="4">
        <v>19.920000000000002</v>
      </c>
      <c r="K106" s="4">
        <v>24</v>
      </c>
      <c r="L106" s="4">
        <v>34412</v>
      </c>
    </row>
    <row r="107" spans="1:12" x14ac:dyDescent="0.3">
      <c r="A107" t="s">
        <v>15</v>
      </c>
      <c r="B107" t="s">
        <v>43</v>
      </c>
      <c r="C107" t="s">
        <v>120</v>
      </c>
      <c r="D107" t="s">
        <v>160</v>
      </c>
      <c r="E107" t="s">
        <v>141</v>
      </c>
      <c r="F107">
        <v>2</v>
      </c>
      <c r="G107">
        <v>10</v>
      </c>
      <c r="H107" s="4">
        <v>12</v>
      </c>
      <c r="I107" s="4">
        <v>15</v>
      </c>
      <c r="J107" s="4">
        <v>17.59</v>
      </c>
      <c r="K107" s="4">
        <v>21</v>
      </c>
      <c r="L107" s="4">
        <v>11740</v>
      </c>
    </row>
    <row r="108" spans="1:12" x14ac:dyDescent="0.3">
      <c r="A108" t="s">
        <v>25</v>
      </c>
      <c r="B108" t="s">
        <v>43</v>
      </c>
      <c r="C108" t="s">
        <v>120</v>
      </c>
      <c r="D108" t="s">
        <v>98</v>
      </c>
      <c r="E108" t="s">
        <v>141</v>
      </c>
      <c r="F108">
        <v>1</v>
      </c>
      <c r="G108">
        <v>10</v>
      </c>
      <c r="H108" s="4">
        <v>11</v>
      </c>
      <c r="I108" s="4">
        <v>12</v>
      </c>
      <c r="J108" s="4">
        <v>13.53</v>
      </c>
      <c r="K108" s="4">
        <v>14</v>
      </c>
      <c r="L108" s="4">
        <v>7941</v>
      </c>
    </row>
    <row r="109" spans="1:12" x14ac:dyDescent="0.3">
      <c r="A109" t="s">
        <v>25</v>
      </c>
      <c r="B109" t="s">
        <v>43</v>
      </c>
      <c r="C109" t="s">
        <v>120</v>
      </c>
      <c r="D109" t="s">
        <v>101</v>
      </c>
      <c r="E109" t="s">
        <v>141</v>
      </c>
      <c r="F109">
        <v>1</v>
      </c>
      <c r="G109">
        <v>10</v>
      </c>
      <c r="H109" s="4">
        <v>10</v>
      </c>
      <c r="I109" s="4">
        <v>11</v>
      </c>
      <c r="J109" s="4">
        <v>13.09</v>
      </c>
      <c r="K109" s="4">
        <v>13</v>
      </c>
      <c r="L109" s="4">
        <v>6740</v>
      </c>
    </row>
    <row r="110" spans="1:12" x14ac:dyDescent="0.3">
      <c r="A110" t="s">
        <v>25</v>
      </c>
      <c r="B110" t="s">
        <v>43</v>
      </c>
      <c r="C110" t="s">
        <v>120</v>
      </c>
      <c r="D110" t="s">
        <v>102</v>
      </c>
      <c r="E110" t="s">
        <v>141</v>
      </c>
      <c r="F110">
        <v>1</v>
      </c>
      <c r="G110">
        <v>10</v>
      </c>
      <c r="H110" s="4">
        <v>11</v>
      </c>
      <c r="I110" s="4">
        <v>12</v>
      </c>
      <c r="J110" s="4">
        <v>13.53</v>
      </c>
      <c r="K110" s="4">
        <v>14</v>
      </c>
      <c r="L110" s="4">
        <v>8597</v>
      </c>
    </row>
    <row r="111" spans="1:12" x14ac:dyDescent="0.3">
      <c r="A111" t="s">
        <v>25</v>
      </c>
      <c r="B111" t="s">
        <v>43</v>
      </c>
      <c r="C111" t="s">
        <v>120</v>
      </c>
      <c r="D111" t="s">
        <v>103</v>
      </c>
      <c r="E111" t="s">
        <v>141</v>
      </c>
      <c r="F111">
        <v>1</v>
      </c>
      <c r="G111">
        <v>10</v>
      </c>
      <c r="H111" s="4">
        <v>11</v>
      </c>
      <c r="I111" s="4">
        <v>12</v>
      </c>
      <c r="J111" s="4">
        <v>13.98</v>
      </c>
      <c r="K111" s="4">
        <v>15</v>
      </c>
      <c r="L111" s="4">
        <v>10606</v>
      </c>
    </row>
    <row r="112" spans="1:12" x14ac:dyDescent="0.3">
      <c r="A112" t="s">
        <v>34</v>
      </c>
      <c r="B112" t="s">
        <v>43</v>
      </c>
      <c r="C112" t="s">
        <v>120</v>
      </c>
      <c r="D112" t="s">
        <v>104</v>
      </c>
      <c r="E112" t="s">
        <v>141</v>
      </c>
      <c r="F112">
        <v>1</v>
      </c>
      <c r="G112">
        <v>10</v>
      </c>
      <c r="H112" s="4">
        <v>10</v>
      </c>
      <c r="I112" s="4">
        <v>11</v>
      </c>
      <c r="J112" s="4">
        <v>16.52</v>
      </c>
      <c r="K112" s="4">
        <v>12</v>
      </c>
      <c r="L112" s="4">
        <v>7433</v>
      </c>
    </row>
    <row r="113" spans="1:12" x14ac:dyDescent="0.3">
      <c r="A113" t="s">
        <v>34</v>
      </c>
      <c r="B113" t="s">
        <v>43</v>
      </c>
      <c r="C113" t="s">
        <v>120</v>
      </c>
      <c r="D113" t="s">
        <v>105</v>
      </c>
      <c r="E113" t="s">
        <v>141</v>
      </c>
      <c r="F113">
        <v>1</v>
      </c>
      <c r="G113">
        <v>10</v>
      </c>
      <c r="H113" s="4">
        <v>10</v>
      </c>
      <c r="I113" s="4">
        <v>11</v>
      </c>
      <c r="J113" s="4">
        <v>15.89</v>
      </c>
      <c r="K113" s="4">
        <v>12</v>
      </c>
      <c r="L113" s="4">
        <v>7961</v>
      </c>
    </row>
    <row r="114" spans="1:12" x14ac:dyDescent="0.3">
      <c r="A114" t="s">
        <v>34</v>
      </c>
      <c r="B114" t="s">
        <v>43</v>
      </c>
      <c r="C114" t="s">
        <v>120</v>
      </c>
      <c r="D114" t="s">
        <v>106</v>
      </c>
      <c r="E114" t="s">
        <v>141</v>
      </c>
      <c r="F114">
        <v>1</v>
      </c>
      <c r="G114">
        <v>10</v>
      </c>
      <c r="H114" s="4">
        <v>10</v>
      </c>
      <c r="I114" s="4">
        <v>11</v>
      </c>
      <c r="J114" s="4">
        <v>13.95</v>
      </c>
      <c r="K114" s="4">
        <v>13</v>
      </c>
      <c r="L114" s="4">
        <v>10858</v>
      </c>
    </row>
    <row r="115" spans="1:12" x14ac:dyDescent="0.3">
      <c r="A115" t="s">
        <v>34</v>
      </c>
      <c r="B115" t="s">
        <v>43</v>
      </c>
      <c r="C115" t="s">
        <v>120</v>
      </c>
      <c r="D115" t="s">
        <v>107</v>
      </c>
      <c r="E115" t="s">
        <v>141</v>
      </c>
      <c r="F115">
        <v>1</v>
      </c>
      <c r="G115">
        <v>10</v>
      </c>
      <c r="H115" s="4">
        <v>10</v>
      </c>
      <c r="I115" s="4">
        <v>12</v>
      </c>
      <c r="J115" s="4">
        <v>13.63</v>
      </c>
      <c r="K115" s="4">
        <v>14</v>
      </c>
      <c r="L115" s="4">
        <v>7367</v>
      </c>
    </row>
  </sheetData>
  <sortState xmlns:xlrd2="http://schemas.microsoft.com/office/spreadsheetml/2017/richdata2" ref="A2:L61">
    <sortCondition ref="E2:E61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47C7-8025-4BD5-BFAE-F9E61392595C}">
  <dimension ref="A1:Q115"/>
  <sheetViews>
    <sheetView topLeftCell="A97" workbookViewId="0">
      <pane xSplit="5" topLeftCell="F1" activePane="topRight" state="frozen"/>
      <selection pane="topRight" activeCell="Q2" sqref="Q2"/>
    </sheetView>
  </sheetViews>
  <sheetFormatPr defaultRowHeight="14.4" x14ac:dyDescent="0.3"/>
  <cols>
    <col min="1" max="1" width="10.21875" bestFit="1" customWidth="1"/>
    <col min="2" max="2" width="14.44140625" bestFit="1" customWidth="1"/>
    <col min="3" max="3" width="17.33203125" bestFit="1" customWidth="1"/>
    <col min="4" max="4" width="17.77734375" bestFit="1" customWidth="1"/>
    <col min="5" max="5" width="16.5546875" bestFit="1" customWidth="1"/>
    <col min="13" max="13" width="13.21875" bestFit="1" customWidth="1"/>
    <col min="14" max="14" width="22" bestFit="1" customWidth="1"/>
    <col min="15" max="15" width="10.77734375" bestFit="1" customWidth="1"/>
    <col min="16" max="16" width="9.6640625" bestFit="1" customWidth="1"/>
  </cols>
  <sheetData>
    <row r="1" spans="1:17" x14ac:dyDescent="0.3">
      <c r="A1" s="2" t="s">
        <v>1</v>
      </c>
      <c r="B1" s="2" t="s">
        <v>112</v>
      </c>
      <c r="C1" s="2" t="s">
        <v>145</v>
      </c>
      <c r="D1" s="2" t="s">
        <v>113</v>
      </c>
      <c r="E1" s="2" t="s">
        <v>87</v>
      </c>
      <c r="F1" s="2" t="s">
        <v>162</v>
      </c>
      <c r="G1" s="2" t="s">
        <v>114</v>
      </c>
      <c r="H1" s="2" t="s">
        <v>115</v>
      </c>
      <c r="I1" s="2" t="s">
        <v>116</v>
      </c>
      <c r="J1" s="2" t="s">
        <v>117</v>
      </c>
      <c r="K1" s="2" t="s">
        <v>118</v>
      </c>
      <c r="L1" s="2" t="s">
        <v>119</v>
      </c>
      <c r="M1" s="2" t="s">
        <v>245</v>
      </c>
      <c r="N1" s="2" t="s">
        <v>246</v>
      </c>
      <c r="O1" s="2" t="s">
        <v>247</v>
      </c>
    </row>
    <row r="2" spans="1:17" x14ac:dyDescent="0.3">
      <c r="A2" t="s">
        <v>25</v>
      </c>
      <c r="B2" t="s">
        <v>139</v>
      </c>
      <c r="C2" t="s">
        <v>135</v>
      </c>
      <c r="D2" t="s">
        <v>146</v>
      </c>
      <c r="E2" t="s">
        <v>97</v>
      </c>
      <c r="F2">
        <v>1</v>
      </c>
      <c r="G2">
        <v>0</v>
      </c>
      <c r="H2" s="4">
        <v>27.27</v>
      </c>
      <c r="I2" s="4">
        <v>70</v>
      </c>
      <c r="J2" s="4">
        <v>58.55</v>
      </c>
      <c r="K2" s="4">
        <v>90</v>
      </c>
      <c r="L2" s="4">
        <v>100</v>
      </c>
      <c r="M2">
        <f>14.2+5</f>
        <v>19.2</v>
      </c>
      <c r="N2">
        <f>100-(M2+O2)</f>
        <v>59.2</v>
      </c>
      <c r="O2">
        <f>8.7+12.9</f>
        <v>21.6</v>
      </c>
      <c r="Q2" t="s">
        <v>201</v>
      </c>
    </row>
    <row r="3" spans="1:17" x14ac:dyDescent="0.3">
      <c r="A3" t="s">
        <v>25</v>
      </c>
      <c r="B3" t="s">
        <v>139</v>
      </c>
      <c r="C3" t="s">
        <v>136</v>
      </c>
      <c r="D3" t="s">
        <v>146</v>
      </c>
      <c r="E3" t="s">
        <v>97</v>
      </c>
      <c r="F3">
        <v>1</v>
      </c>
      <c r="G3" s="4">
        <v>0</v>
      </c>
      <c r="H3" s="4">
        <v>35.71</v>
      </c>
      <c r="I3" s="4">
        <v>76.739999999999995</v>
      </c>
      <c r="J3" s="4">
        <v>62.9</v>
      </c>
      <c r="K3" s="4">
        <v>91.67</v>
      </c>
      <c r="L3" s="4">
        <v>100</v>
      </c>
      <c r="M3">
        <f>13.2+4.4</f>
        <v>17.600000000000001</v>
      </c>
      <c r="N3">
        <f t="shared" ref="N3:N66" si="0">100-(M3+O3)</f>
        <v>53.5</v>
      </c>
      <c r="O3">
        <f>10.5+18.4</f>
        <v>28.9</v>
      </c>
    </row>
    <row r="4" spans="1:17" x14ac:dyDescent="0.3">
      <c r="A4" t="s">
        <v>34</v>
      </c>
      <c r="B4" t="s">
        <v>139</v>
      </c>
      <c r="C4" t="s">
        <v>137</v>
      </c>
      <c r="D4" t="s">
        <v>146</v>
      </c>
      <c r="E4" t="s">
        <v>97</v>
      </c>
      <c r="F4">
        <v>1</v>
      </c>
      <c r="G4">
        <v>0</v>
      </c>
      <c r="H4" s="4">
        <v>30.77</v>
      </c>
      <c r="I4" s="4">
        <v>72.73</v>
      </c>
      <c r="J4" s="4">
        <v>61.39</v>
      </c>
      <c r="K4" s="4">
        <v>90.91</v>
      </c>
      <c r="L4" s="4">
        <v>100</v>
      </c>
      <c r="M4">
        <f>13.8+4.6</f>
        <v>18.399999999999999</v>
      </c>
      <c r="N4">
        <f t="shared" si="0"/>
        <v>55.300000000000004</v>
      </c>
      <c r="O4">
        <f>9.9+16.4</f>
        <v>26.299999999999997</v>
      </c>
    </row>
    <row r="5" spans="1:17" x14ac:dyDescent="0.3">
      <c r="A5" t="s">
        <v>34</v>
      </c>
      <c r="B5" t="s">
        <v>139</v>
      </c>
      <c r="C5" t="s">
        <v>138</v>
      </c>
      <c r="D5" t="s">
        <v>146</v>
      </c>
      <c r="E5" t="s">
        <v>97</v>
      </c>
      <c r="F5">
        <v>1</v>
      </c>
      <c r="G5">
        <v>0</v>
      </c>
      <c r="H5" s="4">
        <v>30</v>
      </c>
      <c r="I5" s="4">
        <v>72.73</v>
      </c>
      <c r="J5" s="4">
        <v>61.09</v>
      </c>
      <c r="K5" s="4">
        <v>90.91</v>
      </c>
      <c r="L5" s="4">
        <v>100</v>
      </c>
      <c r="M5">
        <f>14+4.9</f>
        <v>18.899999999999999</v>
      </c>
      <c r="N5">
        <f t="shared" si="0"/>
        <v>54.5</v>
      </c>
      <c r="O5">
        <f>9.6+17</f>
        <v>26.6</v>
      </c>
      <c r="P5" t="s">
        <v>120</v>
      </c>
      <c r="Q5">
        <f>AVERAGE(N6:N39)</f>
        <v>28.558823529411761</v>
      </c>
    </row>
    <row r="6" spans="1:17" x14ac:dyDescent="0.3">
      <c r="A6" t="s">
        <v>20</v>
      </c>
      <c r="B6" t="s">
        <v>139</v>
      </c>
      <c r="C6" t="s">
        <v>121</v>
      </c>
      <c r="D6" t="s">
        <v>120</v>
      </c>
      <c r="E6" t="s">
        <v>97</v>
      </c>
      <c r="F6">
        <v>1</v>
      </c>
      <c r="G6">
        <v>0</v>
      </c>
      <c r="H6" s="4">
        <v>0</v>
      </c>
      <c r="I6" s="4">
        <v>0</v>
      </c>
      <c r="J6" s="4">
        <v>21.64</v>
      </c>
      <c r="K6" s="4">
        <v>26.67</v>
      </c>
      <c r="L6" s="4">
        <v>100</v>
      </c>
      <c r="M6">
        <f>60.1+9.5</f>
        <v>69.599999999999994</v>
      </c>
      <c r="N6">
        <f t="shared" si="0"/>
        <v>19.400000000000006</v>
      </c>
      <c r="O6">
        <f>8+3</f>
        <v>11</v>
      </c>
      <c r="P6" t="s">
        <v>120</v>
      </c>
      <c r="Q6">
        <f>_xlfn.STDEV.S(N6:N39)</f>
        <v>8.3725061469094157</v>
      </c>
    </row>
    <row r="7" spans="1:17" x14ac:dyDescent="0.3">
      <c r="A7" t="s">
        <v>20</v>
      </c>
      <c r="B7" t="s">
        <v>139</v>
      </c>
      <c r="C7" t="s">
        <v>122</v>
      </c>
      <c r="D7" t="s">
        <v>120</v>
      </c>
      <c r="E7" t="s">
        <v>97</v>
      </c>
      <c r="F7">
        <v>1</v>
      </c>
      <c r="G7">
        <v>0</v>
      </c>
      <c r="H7" s="4">
        <v>0</v>
      </c>
      <c r="I7" s="4">
        <v>0</v>
      </c>
      <c r="J7" s="4">
        <v>23.85</v>
      </c>
      <c r="K7" s="4">
        <v>40</v>
      </c>
      <c r="L7" s="4">
        <v>100</v>
      </c>
      <c r="M7">
        <f>59.1+9.3</f>
        <v>68.400000000000006</v>
      </c>
      <c r="N7">
        <f t="shared" si="0"/>
        <v>17.799999999999997</v>
      </c>
      <c r="O7">
        <f>3.3+10.5</f>
        <v>13.8</v>
      </c>
      <c r="P7" t="s">
        <v>146</v>
      </c>
      <c r="Q7">
        <f>AVERAGE(N2:N5)</f>
        <v>55.625</v>
      </c>
    </row>
    <row r="8" spans="1:17" x14ac:dyDescent="0.3">
      <c r="A8" t="s">
        <v>20</v>
      </c>
      <c r="B8" t="s">
        <v>139</v>
      </c>
      <c r="C8" t="s">
        <v>154</v>
      </c>
      <c r="D8" t="s">
        <v>120</v>
      </c>
      <c r="E8" t="s">
        <v>97</v>
      </c>
      <c r="F8">
        <v>2</v>
      </c>
      <c r="G8">
        <v>0</v>
      </c>
      <c r="H8" s="4">
        <v>8</v>
      </c>
      <c r="I8" s="4">
        <v>72.22</v>
      </c>
      <c r="J8" s="4">
        <v>56.4</v>
      </c>
      <c r="K8" s="4">
        <v>90.62</v>
      </c>
      <c r="L8" s="4">
        <v>100</v>
      </c>
      <c r="M8">
        <f>22.2+4.4</f>
        <v>26.6</v>
      </c>
      <c r="N8">
        <f t="shared" si="0"/>
        <v>47.8</v>
      </c>
      <c r="O8">
        <f>10.9+14.7</f>
        <v>25.6</v>
      </c>
      <c r="P8" t="s">
        <v>146</v>
      </c>
      <c r="Q8">
        <f>_xlfn.STDEV.S(N2:N5)</f>
        <v>2.4944939366532854</v>
      </c>
    </row>
    <row r="9" spans="1:17" x14ac:dyDescent="0.3">
      <c r="A9" t="s">
        <v>20</v>
      </c>
      <c r="B9" t="s">
        <v>139</v>
      </c>
      <c r="C9" t="s">
        <v>155</v>
      </c>
      <c r="D9" t="s">
        <v>120</v>
      </c>
      <c r="E9" t="s">
        <v>97</v>
      </c>
      <c r="F9">
        <v>2</v>
      </c>
      <c r="G9">
        <v>0</v>
      </c>
      <c r="H9" s="4">
        <v>0</v>
      </c>
      <c r="I9" s="4">
        <v>60</v>
      </c>
      <c r="J9" s="4">
        <v>49</v>
      </c>
      <c r="K9" s="4">
        <v>90.91</v>
      </c>
      <c r="L9" s="4">
        <v>100</v>
      </c>
      <c r="M9">
        <f>31.8+6.2</f>
        <v>38</v>
      </c>
      <c r="N9">
        <f t="shared" si="0"/>
        <v>36.200000000000003</v>
      </c>
      <c r="O9">
        <f>10.1+15.7</f>
        <v>25.799999999999997</v>
      </c>
    </row>
    <row r="10" spans="1:17" x14ac:dyDescent="0.3">
      <c r="A10" t="s">
        <v>15</v>
      </c>
      <c r="B10" t="s">
        <v>139</v>
      </c>
      <c r="C10" t="s">
        <v>123</v>
      </c>
      <c r="D10" t="s">
        <v>120</v>
      </c>
      <c r="E10" t="s">
        <v>97</v>
      </c>
      <c r="F10">
        <v>1</v>
      </c>
      <c r="G10">
        <v>0</v>
      </c>
      <c r="H10" s="4">
        <v>0</v>
      </c>
      <c r="I10" s="4">
        <v>8.3330000000000002</v>
      </c>
      <c r="J10" s="4">
        <v>35.578000000000003</v>
      </c>
      <c r="K10" s="4">
        <v>86.667000000000002</v>
      </c>
      <c r="L10" s="4">
        <v>100</v>
      </c>
      <c r="M10">
        <f>45+10.3</f>
        <v>55.3</v>
      </c>
      <c r="N10">
        <f t="shared" si="0"/>
        <v>22.599999999999994</v>
      </c>
      <c r="O10">
        <f>4.8+17.3</f>
        <v>22.1</v>
      </c>
    </row>
    <row r="11" spans="1:17" x14ac:dyDescent="0.3">
      <c r="A11" t="s">
        <v>15</v>
      </c>
      <c r="B11" t="s">
        <v>139</v>
      </c>
      <c r="C11" t="s">
        <v>124</v>
      </c>
      <c r="D11" t="s">
        <v>120</v>
      </c>
      <c r="E11" t="s">
        <v>97</v>
      </c>
      <c r="F11">
        <v>1</v>
      </c>
      <c r="G11">
        <v>0</v>
      </c>
      <c r="H11" s="4">
        <v>0</v>
      </c>
      <c r="I11" s="4">
        <v>6.6669999999999998</v>
      </c>
      <c r="J11" s="4">
        <v>34.811999999999998</v>
      </c>
      <c r="K11" s="4">
        <v>88.888999999999996</v>
      </c>
      <c r="L11" s="4">
        <v>100</v>
      </c>
      <c r="M11">
        <f>47.8+9.2</f>
        <v>57</v>
      </c>
      <c r="N11">
        <f t="shared" si="0"/>
        <v>20.599999999999994</v>
      </c>
      <c r="O11">
        <f>5.4+17</f>
        <v>22.4</v>
      </c>
    </row>
    <row r="12" spans="1:17" x14ac:dyDescent="0.3">
      <c r="A12" t="s">
        <v>15</v>
      </c>
      <c r="B12" t="s">
        <v>139</v>
      </c>
      <c r="C12" t="s">
        <v>152</v>
      </c>
      <c r="D12" t="s">
        <v>120</v>
      </c>
      <c r="E12" t="s">
        <v>97</v>
      </c>
      <c r="F12">
        <v>2</v>
      </c>
      <c r="G12">
        <v>0</v>
      </c>
      <c r="H12" s="4">
        <v>2.0760000000000001</v>
      </c>
      <c r="I12" s="4">
        <v>64.286000000000001</v>
      </c>
      <c r="J12" s="4">
        <v>50.545999999999999</v>
      </c>
      <c r="K12" s="4">
        <v>91.176000000000002</v>
      </c>
      <c r="L12" s="4">
        <v>100</v>
      </c>
      <c r="M12" s="8">
        <f>30.3+5.6</f>
        <v>35.9</v>
      </c>
      <c r="N12">
        <f t="shared" si="0"/>
        <v>37</v>
      </c>
      <c r="O12">
        <f>10.5+16.6</f>
        <v>27.1</v>
      </c>
    </row>
    <row r="13" spans="1:17" x14ac:dyDescent="0.3">
      <c r="A13" t="s">
        <v>15</v>
      </c>
      <c r="B13" t="s">
        <v>139</v>
      </c>
      <c r="C13" t="s">
        <v>153</v>
      </c>
      <c r="D13" t="s">
        <v>120</v>
      </c>
      <c r="E13" t="s">
        <v>97</v>
      </c>
      <c r="F13">
        <v>2</v>
      </c>
      <c r="G13">
        <v>0</v>
      </c>
      <c r="H13" s="4">
        <v>8.3330000000000002</v>
      </c>
      <c r="I13" s="4">
        <v>81.817999999999998</v>
      </c>
      <c r="J13" s="4">
        <v>60.88</v>
      </c>
      <c r="K13" s="4">
        <v>94.117999999999995</v>
      </c>
      <c r="L13" s="4">
        <v>100</v>
      </c>
      <c r="M13">
        <f>21.8+5</f>
        <v>26.8</v>
      </c>
      <c r="N13">
        <f t="shared" si="0"/>
        <v>36.400000000000006</v>
      </c>
      <c r="O13">
        <f>13.7+23.1</f>
        <v>36.799999999999997</v>
      </c>
      <c r="P13" t="s">
        <v>232</v>
      </c>
      <c r="Q13">
        <f>AVERAGE(M6:M39)</f>
        <v>51.611764705882351</v>
      </c>
    </row>
    <row r="14" spans="1:17" x14ac:dyDescent="0.3">
      <c r="A14" t="s">
        <v>10</v>
      </c>
      <c r="B14" t="s">
        <v>139</v>
      </c>
      <c r="C14" t="s">
        <v>125</v>
      </c>
      <c r="D14" t="s">
        <v>120</v>
      </c>
      <c r="E14" t="s">
        <v>97</v>
      </c>
      <c r="F14">
        <v>1</v>
      </c>
      <c r="G14">
        <v>0</v>
      </c>
      <c r="H14" s="4">
        <v>0</v>
      </c>
      <c r="I14" s="4">
        <v>9.0909999999999993</v>
      </c>
      <c r="J14" s="4">
        <v>38.011000000000003</v>
      </c>
      <c r="K14" s="4">
        <v>90</v>
      </c>
      <c r="L14" s="4">
        <v>100</v>
      </c>
      <c r="M14">
        <f>43.3+9</f>
        <v>52.3</v>
      </c>
      <c r="N14">
        <f t="shared" si="0"/>
        <v>23.300000000000011</v>
      </c>
      <c r="O14">
        <f>6.4+18</f>
        <v>24.4</v>
      </c>
      <c r="P14" t="s">
        <v>232</v>
      </c>
      <c r="Q14">
        <f>_xlfn.STDEV.S(M6:M39)</f>
        <v>14.825076313480972</v>
      </c>
    </row>
    <row r="15" spans="1:17" x14ac:dyDescent="0.3">
      <c r="A15" t="s">
        <v>10</v>
      </c>
      <c r="B15" t="s">
        <v>139</v>
      </c>
      <c r="C15" t="s">
        <v>126</v>
      </c>
      <c r="D15" t="s">
        <v>120</v>
      </c>
      <c r="E15" t="s">
        <v>97</v>
      </c>
      <c r="F15">
        <v>1</v>
      </c>
      <c r="G15">
        <v>0</v>
      </c>
      <c r="H15" s="4">
        <v>0</v>
      </c>
      <c r="I15" s="4">
        <v>0</v>
      </c>
      <c r="J15" s="4">
        <v>28.61</v>
      </c>
      <c r="K15" s="4">
        <v>71.430000000000007</v>
      </c>
      <c r="L15" s="4">
        <v>100</v>
      </c>
      <c r="M15">
        <f>53+9.4</f>
        <v>62.4</v>
      </c>
      <c r="N15">
        <f t="shared" si="0"/>
        <v>20.799999999999997</v>
      </c>
      <c r="O15">
        <f>4.3+12.5</f>
        <v>16.8</v>
      </c>
      <c r="P15" t="s">
        <v>141</v>
      </c>
      <c r="Q15">
        <f>AVERAGE(M82:M115)</f>
        <v>43.720588235294116</v>
      </c>
    </row>
    <row r="16" spans="1:17" x14ac:dyDescent="0.3">
      <c r="A16" t="s">
        <v>10</v>
      </c>
      <c r="B16" t="s">
        <v>139</v>
      </c>
      <c r="C16" t="s">
        <v>151</v>
      </c>
      <c r="D16" t="s">
        <v>120</v>
      </c>
      <c r="E16" t="s">
        <v>97</v>
      </c>
      <c r="F16">
        <v>2</v>
      </c>
      <c r="G16">
        <v>0</v>
      </c>
      <c r="H16" s="4">
        <v>0</v>
      </c>
      <c r="I16" s="4">
        <v>60</v>
      </c>
      <c r="J16" s="4">
        <v>49.19</v>
      </c>
      <c r="K16" s="4">
        <v>90.91</v>
      </c>
      <c r="L16" s="4">
        <v>100</v>
      </c>
      <c r="M16" s="8">
        <f>32.2+5.6</f>
        <v>37.800000000000004</v>
      </c>
      <c r="N16">
        <f t="shared" si="0"/>
        <v>35.699999999999989</v>
      </c>
      <c r="O16">
        <f>10+16.5</f>
        <v>26.5</v>
      </c>
      <c r="P16" t="s">
        <v>141</v>
      </c>
      <c r="Q16">
        <f>_xlfn.STDEV.S(M82:M115)</f>
        <v>13.868970803871697</v>
      </c>
    </row>
    <row r="17" spans="1:15" x14ac:dyDescent="0.3">
      <c r="A17" t="s">
        <v>10</v>
      </c>
      <c r="B17" t="s">
        <v>139</v>
      </c>
      <c r="C17" t="s">
        <v>150</v>
      </c>
      <c r="D17" t="s">
        <v>120</v>
      </c>
      <c r="E17" t="s">
        <v>97</v>
      </c>
      <c r="F17">
        <v>2</v>
      </c>
      <c r="G17">
        <v>0</v>
      </c>
      <c r="H17" s="4">
        <v>0</v>
      </c>
      <c r="I17" s="4">
        <v>9.0909999999999993</v>
      </c>
      <c r="J17" s="4">
        <v>38.576999999999998</v>
      </c>
      <c r="K17" s="4">
        <v>88.234999999999999</v>
      </c>
      <c r="L17" s="4">
        <v>100</v>
      </c>
      <c r="M17">
        <f>43.4+8</f>
        <v>51.4</v>
      </c>
      <c r="N17">
        <f t="shared" si="0"/>
        <v>26.200000000000003</v>
      </c>
      <c r="O17">
        <f>7.8+14.6</f>
        <v>22.4</v>
      </c>
    </row>
    <row r="18" spans="1:15" x14ac:dyDescent="0.3">
      <c r="A18" t="s">
        <v>25</v>
      </c>
      <c r="B18" t="s">
        <v>139</v>
      </c>
      <c r="C18" t="s">
        <v>127</v>
      </c>
      <c r="D18" t="s">
        <v>120</v>
      </c>
      <c r="E18" t="s">
        <v>97</v>
      </c>
      <c r="F18">
        <v>1</v>
      </c>
      <c r="G18">
        <v>0</v>
      </c>
      <c r="H18" s="4">
        <v>0</v>
      </c>
      <c r="I18" s="4">
        <v>0</v>
      </c>
      <c r="J18" s="4">
        <v>23.24</v>
      </c>
      <c r="K18" s="4">
        <v>40</v>
      </c>
      <c r="L18" s="4">
        <v>100</v>
      </c>
      <c r="M18">
        <f>58.2+9</f>
        <v>67.2</v>
      </c>
      <c r="N18">
        <f t="shared" si="0"/>
        <v>21.599999999999994</v>
      </c>
      <c r="O18">
        <f>3+8.2</f>
        <v>11.2</v>
      </c>
    </row>
    <row r="19" spans="1:15" x14ac:dyDescent="0.3">
      <c r="A19" t="s">
        <v>25</v>
      </c>
      <c r="B19" t="s">
        <v>139</v>
      </c>
      <c r="C19" t="s">
        <v>128</v>
      </c>
      <c r="D19" t="s">
        <v>120</v>
      </c>
      <c r="E19" t="s">
        <v>97</v>
      </c>
      <c r="F19">
        <v>1</v>
      </c>
      <c r="G19">
        <v>0</v>
      </c>
      <c r="H19" s="4">
        <v>0</v>
      </c>
      <c r="I19" s="4">
        <v>0</v>
      </c>
      <c r="J19" s="4">
        <v>26.11</v>
      </c>
      <c r="K19" s="4">
        <v>58.33</v>
      </c>
      <c r="L19" s="4">
        <v>100</v>
      </c>
      <c r="M19">
        <f>54.7+8.7</f>
        <v>63.400000000000006</v>
      </c>
      <c r="N19">
        <f t="shared" si="0"/>
        <v>24.899999999999991</v>
      </c>
      <c r="O19">
        <f>3.5+8.2</f>
        <v>11.7</v>
      </c>
    </row>
    <row r="20" spans="1:15" x14ac:dyDescent="0.3">
      <c r="A20" t="s">
        <v>25</v>
      </c>
      <c r="B20" t="s">
        <v>139</v>
      </c>
      <c r="C20" t="s">
        <v>129</v>
      </c>
      <c r="D20" t="s">
        <v>120</v>
      </c>
      <c r="E20" t="s">
        <v>97</v>
      </c>
      <c r="F20">
        <v>1</v>
      </c>
      <c r="G20">
        <v>0</v>
      </c>
      <c r="H20" s="4">
        <v>0</v>
      </c>
      <c r="I20" s="4">
        <v>0</v>
      </c>
      <c r="J20" s="4">
        <v>20.309999999999999</v>
      </c>
      <c r="K20" s="4">
        <v>20</v>
      </c>
      <c r="L20" s="4">
        <v>100</v>
      </c>
      <c r="M20">
        <f>61.2+9.9</f>
        <v>71.100000000000009</v>
      </c>
      <c r="N20">
        <f t="shared" si="0"/>
        <v>18.499999999999986</v>
      </c>
      <c r="O20">
        <f>2.6+7.8</f>
        <v>10.4</v>
      </c>
    </row>
    <row r="21" spans="1:15" x14ac:dyDescent="0.3">
      <c r="A21" t="s">
        <v>25</v>
      </c>
      <c r="B21" t="s">
        <v>139</v>
      </c>
      <c r="C21" t="s">
        <v>130</v>
      </c>
      <c r="D21" t="s">
        <v>120</v>
      </c>
      <c r="E21" t="s">
        <v>97</v>
      </c>
      <c r="F21">
        <v>1</v>
      </c>
      <c r="G21">
        <v>0</v>
      </c>
      <c r="H21" s="4">
        <v>0</v>
      </c>
      <c r="I21" s="4">
        <v>0</v>
      </c>
      <c r="J21" s="4">
        <v>26.02</v>
      </c>
      <c r="K21" s="4">
        <v>60</v>
      </c>
      <c r="L21" s="4">
        <v>100</v>
      </c>
      <c r="M21">
        <f>56.8+8</f>
        <v>64.8</v>
      </c>
      <c r="N21">
        <f t="shared" si="0"/>
        <v>22.100000000000009</v>
      </c>
      <c r="O21">
        <f>3.6+9.5</f>
        <v>13.1</v>
      </c>
    </row>
    <row r="22" spans="1:15" x14ac:dyDescent="0.3">
      <c r="A22" t="s">
        <v>34</v>
      </c>
      <c r="B22" t="s">
        <v>139</v>
      </c>
      <c r="C22" t="s">
        <v>131</v>
      </c>
      <c r="D22" t="s">
        <v>120</v>
      </c>
      <c r="E22" t="s">
        <v>97</v>
      </c>
      <c r="F22">
        <v>1</v>
      </c>
      <c r="G22">
        <v>0</v>
      </c>
      <c r="H22" s="4">
        <v>0</v>
      </c>
      <c r="I22" s="4">
        <v>0</v>
      </c>
      <c r="J22" s="4">
        <v>31.66</v>
      </c>
      <c r="K22" s="4">
        <v>78.569999999999993</v>
      </c>
      <c r="L22" s="4">
        <v>100</v>
      </c>
      <c r="M22">
        <f>50.8+7.6</f>
        <v>58.4</v>
      </c>
      <c r="N22">
        <f t="shared" si="0"/>
        <v>23.599999999999994</v>
      </c>
      <c r="O22">
        <f>4.1+13.9</f>
        <v>18</v>
      </c>
    </row>
    <row r="23" spans="1:15" x14ac:dyDescent="0.3">
      <c r="A23" t="s">
        <v>34</v>
      </c>
      <c r="B23" t="s">
        <v>139</v>
      </c>
      <c r="C23" t="s">
        <v>132</v>
      </c>
      <c r="D23" t="s">
        <v>120</v>
      </c>
      <c r="E23" t="s">
        <v>97</v>
      </c>
      <c r="F23">
        <v>1</v>
      </c>
      <c r="G23">
        <v>0</v>
      </c>
      <c r="H23" s="4">
        <v>0</v>
      </c>
      <c r="I23" s="4">
        <v>12.5</v>
      </c>
      <c r="J23" s="4">
        <v>39.22</v>
      </c>
      <c r="K23" s="4">
        <v>90</v>
      </c>
      <c r="L23" s="4">
        <v>100</v>
      </c>
      <c r="M23">
        <f>42.7+7.2</f>
        <v>49.900000000000006</v>
      </c>
      <c r="N23">
        <f t="shared" si="0"/>
        <v>27.799999999999997</v>
      </c>
      <c r="O23">
        <f>5.1+17.2</f>
        <v>22.299999999999997</v>
      </c>
    </row>
    <row r="24" spans="1:15" x14ac:dyDescent="0.3">
      <c r="A24" t="s">
        <v>34</v>
      </c>
      <c r="B24" t="s">
        <v>139</v>
      </c>
      <c r="C24" t="s">
        <v>133</v>
      </c>
      <c r="D24" t="s">
        <v>120</v>
      </c>
      <c r="E24" t="s">
        <v>97</v>
      </c>
      <c r="F24">
        <v>1</v>
      </c>
      <c r="G24">
        <v>0</v>
      </c>
      <c r="H24" s="4">
        <v>0</v>
      </c>
      <c r="I24" s="4">
        <v>0</v>
      </c>
      <c r="J24" s="4">
        <v>27.2</v>
      </c>
      <c r="K24" s="4">
        <v>63.16</v>
      </c>
      <c r="L24" s="4">
        <v>100</v>
      </c>
      <c r="M24">
        <f>54+8.5</f>
        <v>62.5</v>
      </c>
      <c r="N24">
        <f t="shared" si="0"/>
        <v>24.200000000000003</v>
      </c>
      <c r="O24">
        <f>3.9+9.4</f>
        <v>13.3</v>
      </c>
    </row>
    <row r="25" spans="1:15" x14ac:dyDescent="0.3">
      <c r="A25" t="s">
        <v>34</v>
      </c>
      <c r="B25" t="s">
        <v>139</v>
      </c>
      <c r="C25" t="s">
        <v>134</v>
      </c>
      <c r="D25" t="s">
        <v>120</v>
      </c>
      <c r="E25" t="s">
        <v>97</v>
      </c>
      <c r="F25">
        <v>1</v>
      </c>
      <c r="G25">
        <v>0</v>
      </c>
      <c r="H25" s="4">
        <v>0</v>
      </c>
      <c r="I25" s="4">
        <v>0</v>
      </c>
      <c r="J25" s="4">
        <v>24.95</v>
      </c>
      <c r="K25" s="4">
        <v>50</v>
      </c>
      <c r="L25" s="4">
        <v>100</v>
      </c>
      <c r="M25">
        <f>57.3+8.1</f>
        <v>65.399999999999991</v>
      </c>
      <c r="N25">
        <f t="shared" si="0"/>
        <v>22.000000000000014</v>
      </c>
      <c r="O25">
        <f>3.1+9.5</f>
        <v>12.6</v>
      </c>
    </row>
    <row r="26" spans="1:15" x14ac:dyDescent="0.3">
      <c r="A26" t="s">
        <v>10</v>
      </c>
      <c r="B26" t="s">
        <v>43</v>
      </c>
      <c r="C26" t="s">
        <v>156</v>
      </c>
      <c r="D26" t="s">
        <v>120</v>
      </c>
      <c r="E26" t="s">
        <v>97</v>
      </c>
      <c r="F26">
        <v>2</v>
      </c>
      <c r="G26">
        <v>0</v>
      </c>
      <c r="H26" s="4">
        <v>9.0909999999999993</v>
      </c>
      <c r="I26" s="4">
        <v>81.817999999999998</v>
      </c>
      <c r="J26" s="4">
        <v>61.381</v>
      </c>
      <c r="K26" s="4">
        <v>93.75</v>
      </c>
      <c r="L26" s="4">
        <v>100</v>
      </c>
      <c r="M26">
        <f>21.2+5.2</f>
        <v>26.4</v>
      </c>
      <c r="N26">
        <f t="shared" si="0"/>
        <v>37.200000000000003</v>
      </c>
      <c r="O26">
        <f>13.7+22.7</f>
        <v>36.4</v>
      </c>
    </row>
    <row r="27" spans="1:15" x14ac:dyDescent="0.3">
      <c r="A27" t="s">
        <v>10</v>
      </c>
      <c r="B27" t="s">
        <v>43</v>
      </c>
      <c r="C27" t="s">
        <v>157</v>
      </c>
      <c r="D27" t="s">
        <v>120</v>
      </c>
      <c r="E27" t="s">
        <v>97</v>
      </c>
      <c r="F27">
        <v>2</v>
      </c>
      <c r="G27">
        <v>0</v>
      </c>
      <c r="H27" s="4">
        <v>0</v>
      </c>
      <c r="I27" s="4">
        <v>69.23</v>
      </c>
      <c r="J27" s="4">
        <v>51.81</v>
      </c>
      <c r="K27" s="4">
        <v>90.91</v>
      </c>
      <c r="L27" s="4">
        <v>100</v>
      </c>
      <c r="M27">
        <f>28.9+6.5</f>
        <v>35.4</v>
      </c>
      <c r="N27">
        <f t="shared" si="0"/>
        <v>37.300000000000004</v>
      </c>
      <c r="O27">
        <f>10.6+16.7</f>
        <v>27.299999999999997</v>
      </c>
    </row>
    <row r="28" spans="1:15" x14ac:dyDescent="0.3">
      <c r="A28" t="s">
        <v>10</v>
      </c>
      <c r="B28" t="s">
        <v>43</v>
      </c>
      <c r="C28" t="s">
        <v>158</v>
      </c>
      <c r="D28" t="s">
        <v>120</v>
      </c>
      <c r="E28" t="s">
        <v>97</v>
      </c>
      <c r="F28">
        <v>2</v>
      </c>
      <c r="G28">
        <v>0</v>
      </c>
      <c r="H28" s="4">
        <v>0</v>
      </c>
      <c r="I28" s="4">
        <v>63.64</v>
      </c>
      <c r="J28" s="4">
        <v>49.71</v>
      </c>
      <c r="K28" s="4">
        <v>91.38</v>
      </c>
      <c r="L28" s="4">
        <v>100</v>
      </c>
      <c r="M28">
        <f>31.9+6.4</f>
        <v>38.299999999999997</v>
      </c>
      <c r="N28">
        <f t="shared" si="0"/>
        <v>34</v>
      </c>
      <c r="O28">
        <f>10.4+17.3</f>
        <v>27.700000000000003</v>
      </c>
    </row>
    <row r="29" spans="1:15" x14ac:dyDescent="0.3">
      <c r="A29" t="s">
        <v>15</v>
      </c>
      <c r="B29" t="s">
        <v>43</v>
      </c>
      <c r="C29" t="s">
        <v>161</v>
      </c>
      <c r="D29" t="s">
        <v>120</v>
      </c>
      <c r="E29" t="s">
        <v>97</v>
      </c>
      <c r="F29">
        <v>2</v>
      </c>
      <c r="G29">
        <v>0</v>
      </c>
      <c r="H29" s="4">
        <v>2.778</v>
      </c>
      <c r="I29" s="4">
        <v>63.636000000000003</v>
      </c>
      <c r="J29" s="4">
        <v>50.454000000000001</v>
      </c>
      <c r="K29" s="4">
        <v>86.956999999999994</v>
      </c>
      <c r="L29" s="4">
        <v>100</v>
      </c>
      <c r="M29">
        <f>28.4+4.5</f>
        <v>32.9</v>
      </c>
      <c r="N29">
        <f t="shared" si="0"/>
        <v>47.1</v>
      </c>
      <c r="O29">
        <f>9.1+10.9</f>
        <v>20</v>
      </c>
    </row>
    <row r="30" spans="1:15" x14ac:dyDescent="0.3">
      <c r="A30" t="s">
        <v>15</v>
      </c>
      <c r="B30" t="s">
        <v>43</v>
      </c>
      <c r="C30" t="s">
        <v>159</v>
      </c>
      <c r="D30" t="s">
        <v>120</v>
      </c>
      <c r="E30" t="s">
        <v>97</v>
      </c>
      <c r="F30">
        <v>2</v>
      </c>
      <c r="G30">
        <v>0</v>
      </c>
      <c r="H30" s="4">
        <v>2.5</v>
      </c>
      <c r="I30" s="4">
        <v>70</v>
      </c>
      <c r="J30" s="4">
        <v>52.64</v>
      </c>
      <c r="K30" s="4">
        <v>91.67</v>
      </c>
      <c r="L30" s="4">
        <v>100</v>
      </c>
      <c r="M30">
        <f>28.9+5.3</f>
        <v>34.199999999999996</v>
      </c>
      <c r="N30">
        <f t="shared" si="0"/>
        <v>36.800000000000004</v>
      </c>
      <c r="O30">
        <f>11.2+17.8</f>
        <v>29</v>
      </c>
    </row>
    <row r="31" spans="1:15" x14ac:dyDescent="0.3">
      <c r="A31" t="s">
        <v>15</v>
      </c>
      <c r="B31" t="s">
        <v>43</v>
      </c>
      <c r="C31" t="s">
        <v>160</v>
      </c>
      <c r="D31" t="s">
        <v>120</v>
      </c>
      <c r="E31" t="s">
        <v>97</v>
      </c>
      <c r="F31">
        <v>2</v>
      </c>
      <c r="G31">
        <v>0</v>
      </c>
      <c r="H31" s="4">
        <v>0</v>
      </c>
      <c r="I31" s="4">
        <v>64.709999999999994</v>
      </c>
      <c r="J31" s="4">
        <v>50.35</v>
      </c>
      <c r="K31" s="4">
        <v>90</v>
      </c>
      <c r="L31" s="4">
        <v>100</v>
      </c>
      <c r="M31">
        <f>29.7+5.3</f>
        <v>35</v>
      </c>
      <c r="N31">
        <f t="shared" si="0"/>
        <v>42.3</v>
      </c>
      <c r="O31">
        <f>9.9+12.8</f>
        <v>22.700000000000003</v>
      </c>
    </row>
    <row r="32" spans="1:15" x14ac:dyDescent="0.3">
      <c r="A32" t="s">
        <v>25</v>
      </c>
      <c r="B32" t="s">
        <v>43</v>
      </c>
      <c r="C32" t="s">
        <v>98</v>
      </c>
      <c r="D32" t="s">
        <v>120</v>
      </c>
      <c r="E32" t="s">
        <v>97</v>
      </c>
      <c r="F32">
        <v>1</v>
      </c>
      <c r="G32">
        <v>0</v>
      </c>
      <c r="H32" s="4">
        <v>0</v>
      </c>
      <c r="I32" s="4">
        <v>0</v>
      </c>
      <c r="J32" s="4">
        <v>21.36</v>
      </c>
      <c r="K32" s="4">
        <v>28.57</v>
      </c>
      <c r="L32" s="4">
        <v>100</v>
      </c>
      <c r="M32">
        <f>59.4+9.6</f>
        <v>69</v>
      </c>
      <c r="N32">
        <f t="shared" si="0"/>
        <v>21.5</v>
      </c>
      <c r="O32">
        <f>2.7+6.8</f>
        <v>9.5</v>
      </c>
    </row>
    <row r="33" spans="1:15" x14ac:dyDescent="0.3">
      <c r="A33" t="s">
        <v>25</v>
      </c>
      <c r="B33" t="s">
        <v>43</v>
      </c>
      <c r="C33" t="s">
        <v>101</v>
      </c>
      <c r="D33" t="s">
        <v>120</v>
      </c>
      <c r="E33" t="s">
        <v>97</v>
      </c>
      <c r="F33">
        <v>1</v>
      </c>
      <c r="G33">
        <v>0</v>
      </c>
      <c r="H33" s="4">
        <v>0</v>
      </c>
      <c r="I33" s="4">
        <v>6.6669999999999998</v>
      </c>
      <c r="J33" s="4">
        <v>31.251999999999999</v>
      </c>
      <c r="K33" s="4">
        <v>71.429000000000002</v>
      </c>
      <c r="L33" s="4">
        <v>100</v>
      </c>
      <c r="M33">
        <f>49.5+7.6</f>
        <v>57.1</v>
      </c>
      <c r="N33">
        <f t="shared" si="0"/>
        <v>28.299999999999997</v>
      </c>
      <c r="O33">
        <f>3.9+10.7</f>
        <v>14.6</v>
      </c>
    </row>
    <row r="34" spans="1:15" x14ac:dyDescent="0.3">
      <c r="A34" t="s">
        <v>25</v>
      </c>
      <c r="B34" t="s">
        <v>43</v>
      </c>
      <c r="C34" t="s">
        <v>102</v>
      </c>
      <c r="D34" t="s">
        <v>120</v>
      </c>
      <c r="E34" t="s">
        <v>97</v>
      </c>
      <c r="F34">
        <v>1</v>
      </c>
      <c r="G34">
        <v>0</v>
      </c>
      <c r="H34" s="4">
        <v>0</v>
      </c>
      <c r="I34" s="4">
        <v>0</v>
      </c>
      <c r="J34" s="4">
        <v>29.21</v>
      </c>
      <c r="K34" s="4">
        <v>69.23</v>
      </c>
      <c r="L34" s="4">
        <v>100</v>
      </c>
      <c r="M34">
        <f>51+8.6</f>
        <v>59.6</v>
      </c>
      <c r="N34">
        <f t="shared" si="0"/>
        <v>27.400000000000006</v>
      </c>
      <c r="O34">
        <f>4.2+8.8</f>
        <v>13</v>
      </c>
    </row>
    <row r="35" spans="1:15" x14ac:dyDescent="0.3">
      <c r="A35" t="s">
        <v>25</v>
      </c>
      <c r="B35" t="s">
        <v>43</v>
      </c>
      <c r="C35" t="s">
        <v>103</v>
      </c>
      <c r="D35" t="s">
        <v>120</v>
      </c>
      <c r="E35" t="s">
        <v>97</v>
      </c>
      <c r="F35">
        <v>1</v>
      </c>
      <c r="G35">
        <v>0</v>
      </c>
      <c r="H35" s="4">
        <v>0</v>
      </c>
      <c r="I35" s="4">
        <v>0</v>
      </c>
      <c r="J35" s="4">
        <v>19.82</v>
      </c>
      <c r="K35" s="4">
        <v>20</v>
      </c>
      <c r="L35" s="4">
        <v>100</v>
      </c>
      <c r="M35">
        <f>62.1+9.4</f>
        <v>71.5</v>
      </c>
      <c r="N35">
        <f t="shared" si="0"/>
        <v>19.599999999999994</v>
      </c>
      <c r="O35">
        <f>2.7+6.2</f>
        <v>8.9</v>
      </c>
    </row>
    <row r="36" spans="1:15" x14ac:dyDescent="0.3">
      <c r="A36" t="s">
        <v>34</v>
      </c>
      <c r="B36" t="s">
        <v>43</v>
      </c>
      <c r="C36" t="s">
        <v>104</v>
      </c>
      <c r="D36" t="s">
        <v>120</v>
      </c>
      <c r="E36" t="s">
        <v>97</v>
      </c>
      <c r="F36">
        <v>1</v>
      </c>
      <c r="G36">
        <v>0</v>
      </c>
      <c r="H36" s="4">
        <v>0</v>
      </c>
      <c r="I36" s="4">
        <v>14.29</v>
      </c>
      <c r="J36" s="4">
        <v>39.11</v>
      </c>
      <c r="K36" s="4">
        <v>86.21</v>
      </c>
      <c r="L36" s="4">
        <v>100</v>
      </c>
      <c r="M36">
        <f>43.3+6.4</f>
        <v>49.699999999999996</v>
      </c>
      <c r="N36">
        <f t="shared" si="0"/>
        <v>29.400000000000006</v>
      </c>
      <c r="O36">
        <f>4.7+16.2</f>
        <v>20.9</v>
      </c>
    </row>
    <row r="37" spans="1:15" x14ac:dyDescent="0.3">
      <c r="A37" t="s">
        <v>34</v>
      </c>
      <c r="B37" t="s">
        <v>43</v>
      </c>
      <c r="C37" t="s">
        <v>105</v>
      </c>
      <c r="D37" t="s">
        <v>120</v>
      </c>
      <c r="E37" t="s">
        <v>97</v>
      </c>
      <c r="F37">
        <v>1</v>
      </c>
      <c r="G37">
        <v>0</v>
      </c>
      <c r="H37" s="4">
        <v>0</v>
      </c>
      <c r="I37" s="4">
        <v>62.5</v>
      </c>
      <c r="J37" s="4">
        <v>50.97</v>
      </c>
      <c r="K37" s="4">
        <v>91.67</v>
      </c>
      <c r="L37" s="4">
        <v>100</v>
      </c>
      <c r="M37">
        <f>31.6+4.7</f>
        <v>36.300000000000004</v>
      </c>
      <c r="N37">
        <f t="shared" si="0"/>
        <v>34.900000000000006</v>
      </c>
      <c r="O37">
        <f>6.1+22.7</f>
        <v>28.799999999999997</v>
      </c>
    </row>
    <row r="38" spans="1:15" x14ac:dyDescent="0.3">
      <c r="A38" t="s">
        <v>34</v>
      </c>
      <c r="B38" t="s">
        <v>43</v>
      </c>
      <c r="C38" t="s">
        <v>106</v>
      </c>
      <c r="D38" t="s">
        <v>120</v>
      </c>
      <c r="E38" t="s">
        <v>97</v>
      </c>
      <c r="F38">
        <v>1</v>
      </c>
      <c r="G38">
        <v>0</v>
      </c>
      <c r="H38" s="4">
        <v>0</v>
      </c>
      <c r="I38" s="4">
        <v>5.8819999999999997</v>
      </c>
      <c r="J38" s="4">
        <v>32.042000000000002</v>
      </c>
      <c r="K38" s="4">
        <v>76.923000000000002</v>
      </c>
      <c r="L38" s="4">
        <v>100</v>
      </c>
      <c r="M38">
        <f>49.8+7.6</f>
        <v>57.4</v>
      </c>
      <c r="N38">
        <f t="shared" si="0"/>
        <v>25.5</v>
      </c>
      <c r="O38">
        <f>3.9+13.2</f>
        <v>17.099999999999998</v>
      </c>
    </row>
    <row r="39" spans="1:15" x14ac:dyDescent="0.3">
      <c r="A39" t="s">
        <v>34</v>
      </c>
      <c r="B39" t="s">
        <v>43</v>
      </c>
      <c r="C39" t="s">
        <v>107</v>
      </c>
      <c r="D39" t="s">
        <v>120</v>
      </c>
      <c r="E39" t="s">
        <v>97</v>
      </c>
      <c r="F39">
        <v>1</v>
      </c>
      <c r="G39">
        <v>0</v>
      </c>
      <c r="H39" s="4">
        <v>0</v>
      </c>
      <c r="I39" s="4">
        <v>0</v>
      </c>
      <c r="J39" s="4">
        <v>22.91</v>
      </c>
      <c r="K39" s="4">
        <v>38.46</v>
      </c>
      <c r="L39" s="4">
        <v>100</v>
      </c>
      <c r="M39">
        <f>58.2+9.6</f>
        <v>67.8</v>
      </c>
      <c r="N39">
        <f t="shared" si="0"/>
        <v>21.200000000000003</v>
      </c>
      <c r="O39">
        <f>2.9+8.1</f>
        <v>11</v>
      </c>
    </row>
    <row r="40" spans="1:15" x14ac:dyDescent="0.3">
      <c r="A40" t="s">
        <v>25</v>
      </c>
      <c r="B40" t="s">
        <v>139</v>
      </c>
      <c r="C40" t="s">
        <v>135</v>
      </c>
      <c r="D40" t="s">
        <v>146</v>
      </c>
      <c r="E40" t="s">
        <v>88</v>
      </c>
      <c r="F40">
        <v>1</v>
      </c>
      <c r="G40">
        <v>0</v>
      </c>
      <c r="H40" s="4">
        <v>70</v>
      </c>
      <c r="I40" s="4">
        <v>90</v>
      </c>
      <c r="J40" s="4">
        <v>78.599999999999994</v>
      </c>
      <c r="K40" s="4">
        <v>100</v>
      </c>
      <c r="L40" s="4">
        <v>100</v>
      </c>
      <c r="M40">
        <f>3.3+1.1</f>
        <v>4.4000000000000004</v>
      </c>
      <c r="N40">
        <f t="shared" si="0"/>
        <v>51.1</v>
      </c>
      <c r="O40">
        <f>11.5+33</f>
        <v>44.5</v>
      </c>
    </row>
    <row r="41" spans="1:15" x14ac:dyDescent="0.3">
      <c r="A41" t="s">
        <v>25</v>
      </c>
      <c r="B41" t="s">
        <v>139</v>
      </c>
      <c r="C41" t="s">
        <v>136</v>
      </c>
      <c r="D41" t="s">
        <v>146</v>
      </c>
      <c r="E41" t="s">
        <v>88</v>
      </c>
      <c r="F41">
        <v>1</v>
      </c>
      <c r="G41">
        <v>0</v>
      </c>
      <c r="H41" s="4">
        <v>75</v>
      </c>
      <c r="I41" s="4">
        <v>90.91</v>
      </c>
      <c r="J41" s="4">
        <v>82.32</v>
      </c>
      <c r="K41" s="4">
        <v>100</v>
      </c>
      <c r="L41" s="4">
        <v>100</v>
      </c>
      <c r="M41">
        <f>3+0.8</f>
        <v>3.8</v>
      </c>
      <c r="N41">
        <f t="shared" si="0"/>
        <v>42.900000000000006</v>
      </c>
      <c r="O41">
        <f>12.3+41</f>
        <v>53.3</v>
      </c>
    </row>
    <row r="42" spans="1:15" x14ac:dyDescent="0.3">
      <c r="A42" t="s">
        <v>34</v>
      </c>
      <c r="B42" t="s">
        <v>139</v>
      </c>
      <c r="C42" t="s">
        <v>137</v>
      </c>
      <c r="D42" t="s">
        <v>146</v>
      </c>
      <c r="E42" t="s">
        <v>88</v>
      </c>
      <c r="F42">
        <v>1</v>
      </c>
      <c r="G42">
        <v>0</v>
      </c>
      <c r="H42" s="4">
        <v>72.73</v>
      </c>
      <c r="I42" s="4">
        <v>90.91</v>
      </c>
      <c r="J42" s="4">
        <v>81.06</v>
      </c>
      <c r="K42" s="4">
        <v>100</v>
      </c>
      <c r="L42" s="4">
        <v>100</v>
      </c>
      <c r="M42">
        <f>3.3+1</f>
        <v>4.3</v>
      </c>
      <c r="N42">
        <f t="shared" si="0"/>
        <v>45.1</v>
      </c>
      <c r="O42">
        <f>12+38.6</f>
        <v>50.6</v>
      </c>
    </row>
    <row r="43" spans="1:15" x14ac:dyDescent="0.3">
      <c r="A43" t="s">
        <v>34</v>
      </c>
      <c r="B43" t="s">
        <v>139</v>
      </c>
      <c r="C43" t="s">
        <v>138</v>
      </c>
      <c r="D43" t="s">
        <v>146</v>
      </c>
      <c r="E43" t="s">
        <v>88</v>
      </c>
      <c r="F43">
        <v>1</v>
      </c>
      <c r="G43">
        <v>0</v>
      </c>
      <c r="H43" s="4">
        <v>72.73</v>
      </c>
      <c r="I43" s="4">
        <v>90.91</v>
      </c>
      <c r="J43" s="4">
        <v>81.010000000000005</v>
      </c>
      <c r="K43" s="4">
        <v>100</v>
      </c>
      <c r="L43" s="4">
        <v>100</v>
      </c>
      <c r="M43">
        <f>3.4+1</f>
        <v>4.4000000000000004</v>
      </c>
      <c r="N43">
        <f t="shared" si="0"/>
        <v>44.6</v>
      </c>
      <c r="O43">
        <f>11.5+39.5</f>
        <v>51</v>
      </c>
    </row>
    <row r="44" spans="1:15" x14ac:dyDescent="0.3">
      <c r="A44" t="s">
        <v>20</v>
      </c>
      <c r="B44" t="s">
        <v>139</v>
      </c>
      <c r="C44" t="s">
        <v>121</v>
      </c>
      <c r="D44" t="s">
        <v>120</v>
      </c>
      <c r="E44" t="s">
        <v>88</v>
      </c>
      <c r="F44">
        <v>1</v>
      </c>
      <c r="G44">
        <v>0</v>
      </c>
      <c r="H44" s="4">
        <v>100</v>
      </c>
      <c r="I44" s="4">
        <v>100</v>
      </c>
      <c r="J44" s="4">
        <v>93.2</v>
      </c>
      <c r="K44" s="4">
        <v>100</v>
      </c>
      <c r="L44" s="4">
        <v>100</v>
      </c>
      <c r="M44" s="4">
        <v>3.7</v>
      </c>
      <c r="N44">
        <f t="shared" si="0"/>
        <v>9.2000000000000028</v>
      </c>
      <c r="O44" s="4">
        <v>87.1</v>
      </c>
    </row>
    <row r="45" spans="1:15" x14ac:dyDescent="0.3">
      <c r="A45" t="s">
        <v>20</v>
      </c>
      <c r="B45" t="s">
        <v>139</v>
      </c>
      <c r="C45" t="s">
        <v>122</v>
      </c>
      <c r="D45" t="s">
        <v>120</v>
      </c>
      <c r="E45" t="s">
        <v>88</v>
      </c>
      <c r="F45">
        <v>1</v>
      </c>
      <c r="G45">
        <v>0</v>
      </c>
      <c r="H45" s="4">
        <v>100</v>
      </c>
      <c r="I45" s="4">
        <v>100</v>
      </c>
      <c r="J45" s="4">
        <v>93.58</v>
      </c>
      <c r="K45" s="4">
        <v>100</v>
      </c>
      <c r="L45" s="4">
        <v>100</v>
      </c>
      <c r="M45">
        <f>2.7+0.9</f>
        <v>3.6</v>
      </c>
      <c r="N45">
        <f t="shared" si="0"/>
        <v>8.8000000000000114</v>
      </c>
      <c r="O45">
        <f>3.6+84</f>
        <v>87.6</v>
      </c>
    </row>
    <row r="46" spans="1:15" x14ac:dyDescent="0.3">
      <c r="A46" t="s">
        <v>20</v>
      </c>
      <c r="B46" t="s">
        <v>139</v>
      </c>
      <c r="C46" t="s">
        <v>154</v>
      </c>
      <c r="D46" t="s">
        <v>120</v>
      </c>
      <c r="E46" t="s">
        <v>88</v>
      </c>
      <c r="F46">
        <v>2</v>
      </c>
      <c r="G46">
        <v>0</v>
      </c>
      <c r="H46" s="4">
        <v>100</v>
      </c>
      <c r="I46" s="4">
        <v>100</v>
      </c>
      <c r="J46" s="4">
        <v>95.15</v>
      </c>
      <c r="K46" s="4">
        <v>100</v>
      </c>
      <c r="L46" s="4">
        <v>100</v>
      </c>
      <c r="M46">
        <f>0.5+0.2</f>
        <v>0.7</v>
      </c>
      <c r="N46">
        <f t="shared" si="0"/>
        <v>13.199999999999989</v>
      </c>
      <c r="O46">
        <f>5.7+80.4</f>
        <v>86.100000000000009</v>
      </c>
    </row>
    <row r="47" spans="1:15" x14ac:dyDescent="0.3">
      <c r="A47" t="s">
        <v>20</v>
      </c>
      <c r="B47" t="s">
        <v>139</v>
      </c>
      <c r="C47" t="s">
        <v>155</v>
      </c>
      <c r="D47" t="s">
        <v>120</v>
      </c>
      <c r="E47" t="s">
        <v>88</v>
      </c>
      <c r="F47">
        <v>2</v>
      </c>
      <c r="G47">
        <v>0</v>
      </c>
      <c r="H47" s="4">
        <v>100</v>
      </c>
      <c r="I47" s="4">
        <v>100</v>
      </c>
      <c r="J47" s="4">
        <v>95.28</v>
      </c>
      <c r="K47" s="4">
        <v>100</v>
      </c>
      <c r="L47" s="4">
        <v>100</v>
      </c>
      <c r="M47">
        <f>0.9+0.4</f>
        <v>1.3</v>
      </c>
      <c r="N47">
        <f t="shared" si="0"/>
        <v>11</v>
      </c>
      <c r="O47">
        <f>5.2+82.5</f>
        <v>87.7</v>
      </c>
    </row>
    <row r="48" spans="1:15" x14ac:dyDescent="0.3">
      <c r="A48" t="s">
        <v>15</v>
      </c>
      <c r="B48" t="s">
        <v>139</v>
      </c>
      <c r="C48" t="s">
        <v>123</v>
      </c>
      <c r="D48" t="s">
        <v>120</v>
      </c>
      <c r="E48" t="s">
        <v>88</v>
      </c>
      <c r="F48">
        <v>1</v>
      </c>
      <c r="G48">
        <v>0</v>
      </c>
      <c r="H48" s="4">
        <v>100</v>
      </c>
      <c r="I48" s="4">
        <v>100</v>
      </c>
      <c r="J48" s="4">
        <v>96.19</v>
      </c>
      <c r="K48" s="4">
        <v>100</v>
      </c>
      <c r="L48" s="4">
        <v>100</v>
      </c>
      <c r="M48">
        <f>1.5+0.3</f>
        <v>1.8</v>
      </c>
      <c r="N48">
        <f t="shared" si="0"/>
        <v>4</v>
      </c>
      <c r="O48">
        <f>3.5+90.7</f>
        <v>94.2</v>
      </c>
    </row>
    <row r="49" spans="1:15" x14ac:dyDescent="0.3">
      <c r="A49" t="s">
        <v>15</v>
      </c>
      <c r="B49" t="s">
        <v>139</v>
      </c>
      <c r="C49" t="s">
        <v>124</v>
      </c>
      <c r="D49" t="s">
        <v>120</v>
      </c>
      <c r="E49" t="s">
        <v>88</v>
      </c>
      <c r="F49">
        <v>1</v>
      </c>
      <c r="G49">
        <v>0</v>
      </c>
      <c r="H49" s="4">
        <v>100</v>
      </c>
      <c r="I49" s="4">
        <v>100</v>
      </c>
      <c r="J49" s="4">
        <v>96.59</v>
      </c>
      <c r="K49" s="4">
        <v>100</v>
      </c>
      <c r="L49" s="4">
        <v>100</v>
      </c>
      <c r="M49">
        <f>1+0.4</f>
        <v>1.4</v>
      </c>
      <c r="N49">
        <f t="shared" si="0"/>
        <v>6.2999999999999829</v>
      </c>
      <c r="O49">
        <f>3.4+88.9</f>
        <v>92.300000000000011</v>
      </c>
    </row>
    <row r="50" spans="1:15" x14ac:dyDescent="0.3">
      <c r="A50" t="s">
        <v>15</v>
      </c>
      <c r="B50" t="s">
        <v>139</v>
      </c>
      <c r="C50" t="s">
        <v>152</v>
      </c>
      <c r="D50" t="s">
        <v>120</v>
      </c>
      <c r="E50" t="s">
        <v>88</v>
      </c>
      <c r="F50">
        <v>2</v>
      </c>
      <c r="G50">
        <v>0</v>
      </c>
      <c r="H50" s="4">
        <v>100</v>
      </c>
      <c r="I50" s="4">
        <v>100</v>
      </c>
      <c r="J50" s="4">
        <v>95.21</v>
      </c>
      <c r="K50" s="4">
        <v>100</v>
      </c>
      <c r="L50" s="4">
        <v>100</v>
      </c>
      <c r="M50">
        <f>0.9+0.4</f>
        <v>1.3</v>
      </c>
      <c r="N50">
        <f t="shared" si="0"/>
        <v>11.200000000000003</v>
      </c>
      <c r="O50">
        <f>5.6+81.9</f>
        <v>87.5</v>
      </c>
    </row>
    <row r="51" spans="1:15" x14ac:dyDescent="0.3">
      <c r="A51" t="s">
        <v>15</v>
      </c>
      <c r="B51" t="s">
        <v>139</v>
      </c>
      <c r="C51" t="s">
        <v>153</v>
      </c>
      <c r="D51" t="s">
        <v>120</v>
      </c>
      <c r="E51" t="s">
        <v>88</v>
      </c>
      <c r="F51">
        <v>2</v>
      </c>
      <c r="G51">
        <v>0</v>
      </c>
      <c r="H51" s="4">
        <v>100</v>
      </c>
      <c r="I51" s="4">
        <v>100</v>
      </c>
      <c r="J51" s="4">
        <v>96.42</v>
      </c>
      <c r="K51" s="4">
        <v>100</v>
      </c>
      <c r="L51" s="4">
        <v>100</v>
      </c>
      <c r="M51">
        <f>0.5+0.3</f>
        <v>0.8</v>
      </c>
      <c r="N51">
        <f t="shared" si="0"/>
        <v>9.7000000000000028</v>
      </c>
      <c r="O51">
        <f>5.1+84.4</f>
        <v>89.5</v>
      </c>
    </row>
    <row r="52" spans="1:15" x14ac:dyDescent="0.3">
      <c r="A52" t="s">
        <v>10</v>
      </c>
      <c r="B52" t="s">
        <v>139</v>
      </c>
      <c r="C52" t="s">
        <v>125</v>
      </c>
      <c r="D52" t="s">
        <v>120</v>
      </c>
      <c r="E52" t="s">
        <v>88</v>
      </c>
      <c r="F52">
        <v>1</v>
      </c>
      <c r="G52">
        <v>0</v>
      </c>
      <c r="H52" s="4">
        <v>100</v>
      </c>
      <c r="I52" s="4">
        <v>100</v>
      </c>
      <c r="J52" s="4">
        <v>96.39</v>
      </c>
      <c r="K52" s="4">
        <v>100</v>
      </c>
      <c r="L52" s="4">
        <v>100</v>
      </c>
      <c r="M52">
        <f>1.1+0.4</f>
        <v>1.5</v>
      </c>
      <c r="N52">
        <f t="shared" si="0"/>
        <v>7.0999999999999943</v>
      </c>
      <c r="O52">
        <f>3.4+88</f>
        <v>91.4</v>
      </c>
    </row>
    <row r="53" spans="1:15" x14ac:dyDescent="0.3">
      <c r="A53" t="s">
        <v>10</v>
      </c>
      <c r="B53" t="s">
        <v>139</v>
      </c>
      <c r="C53" t="s">
        <v>126</v>
      </c>
      <c r="D53" t="s">
        <v>120</v>
      </c>
      <c r="E53" t="s">
        <v>88</v>
      </c>
      <c r="F53">
        <v>1</v>
      </c>
      <c r="G53">
        <v>0</v>
      </c>
      <c r="H53" s="4">
        <v>100</v>
      </c>
      <c r="I53" s="4">
        <v>100</v>
      </c>
      <c r="J53" s="4">
        <v>94.66</v>
      </c>
      <c r="K53" s="4">
        <v>100</v>
      </c>
      <c r="L53" s="4">
        <v>100</v>
      </c>
      <c r="M53">
        <f>1.9+0.8</f>
        <v>2.7</v>
      </c>
      <c r="N53">
        <f t="shared" si="0"/>
        <v>8.3999999999999915</v>
      </c>
      <c r="O53">
        <f>3.2+85.7</f>
        <v>88.9</v>
      </c>
    </row>
    <row r="54" spans="1:15" x14ac:dyDescent="0.3">
      <c r="A54" t="s">
        <v>10</v>
      </c>
      <c r="B54" t="s">
        <v>139</v>
      </c>
      <c r="C54" t="s">
        <v>151</v>
      </c>
      <c r="D54" t="s">
        <v>120</v>
      </c>
      <c r="E54" t="s">
        <v>88</v>
      </c>
      <c r="F54">
        <v>2</v>
      </c>
      <c r="G54">
        <v>0</v>
      </c>
      <c r="H54" s="4">
        <v>100</v>
      </c>
      <c r="I54" s="4">
        <v>100</v>
      </c>
      <c r="J54" s="4">
        <v>94.96</v>
      </c>
      <c r="K54" s="4">
        <v>100</v>
      </c>
      <c r="L54" s="4">
        <v>100</v>
      </c>
      <c r="M54">
        <f>1+0.4</f>
        <v>1.4</v>
      </c>
      <c r="N54">
        <f t="shared" si="0"/>
        <v>11.900000000000006</v>
      </c>
      <c r="O54">
        <f>5.6+81.1</f>
        <v>86.699999999999989</v>
      </c>
    </row>
    <row r="55" spans="1:15" x14ac:dyDescent="0.3">
      <c r="A55" t="s">
        <v>10</v>
      </c>
      <c r="B55" t="s">
        <v>139</v>
      </c>
      <c r="C55" t="s">
        <v>150</v>
      </c>
      <c r="D55" t="s">
        <v>120</v>
      </c>
      <c r="E55" t="s">
        <v>88</v>
      </c>
      <c r="F55">
        <v>2</v>
      </c>
      <c r="G55">
        <v>0</v>
      </c>
      <c r="H55" s="4">
        <v>100</v>
      </c>
      <c r="I55" s="4">
        <v>100</v>
      </c>
      <c r="J55" s="4">
        <v>94.66</v>
      </c>
      <c r="K55" s="4">
        <v>100</v>
      </c>
      <c r="L55" s="4">
        <v>100</v>
      </c>
      <c r="M55">
        <f>1.6+0.7</f>
        <v>2.2999999999999998</v>
      </c>
      <c r="N55">
        <f t="shared" si="0"/>
        <v>9.7000000000000028</v>
      </c>
      <c r="O55">
        <f>4.6+83.4</f>
        <v>88</v>
      </c>
    </row>
    <row r="56" spans="1:15" x14ac:dyDescent="0.3">
      <c r="A56" t="s">
        <v>25</v>
      </c>
      <c r="B56" t="s">
        <v>139</v>
      </c>
      <c r="C56" t="s">
        <v>127</v>
      </c>
      <c r="D56" t="s">
        <v>120</v>
      </c>
      <c r="E56" t="s">
        <v>88</v>
      </c>
      <c r="F56">
        <v>1</v>
      </c>
      <c r="G56">
        <v>0</v>
      </c>
      <c r="H56" s="4">
        <v>100</v>
      </c>
      <c r="I56" s="4">
        <v>100</v>
      </c>
      <c r="J56" s="4">
        <v>90.89</v>
      </c>
      <c r="K56" s="4">
        <v>100</v>
      </c>
      <c r="L56" s="4">
        <v>100</v>
      </c>
      <c r="M56">
        <f>3.6+1.2</f>
        <v>4.8</v>
      </c>
      <c r="N56">
        <f t="shared" si="0"/>
        <v>12.100000000000009</v>
      </c>
      <c r="O56">
        <f>3.6+79.5</f>
        <v>83.1</v>
      </c>
    </row>
    <row r="57" spans="1:15" x14ac:dyDescent="0.3">
      <c r="A57" t="s">
        <v>25</v>
      </c>
      <c r="B57" t="s">
        <v>139</v>
      </c>
      <c r="C57" t="s">
        <v>128</v>
      </c>
      <c r="D57" t="s">
        <v>120</v>
      </c>
      <c r="E57" t="s">
        <v>88</v>
      </c>
      <c r="F57">
        <v>1</v>
      </c>
      <c r="G57">
        <v>0</v>
      </c>
      <c r="H57" s="4">
        <v>100</v>
      </c>
      <c r="I57" s="4">
        <v>100</v>
      </c>
      <c r="J57" s="4">
        <v>90.56</v>
      </c>
      <c r="K57" s="4">
        <v>100</v>
      </c>
      <c r="L57" s="4">
        <v>100</v>
      </c>
      <c r="M57">
        <f>3.7+1.2</f>
        <v>4.9000000000000004</v>
      </c>
      <c r="N57">
        <f t="shared" si="0"/>
        <v>13.299999999999997</v>
      </c>
      <c r="O57">
        <f>3.3+78.5</f>
        <v>81.8</v>
      </c>
    </row>
    <row r="58" spans="1:15" x14ac:dyDescent="0.3">
      <c r="A58" t="s">
        <v>25</v>
      </c>
      <c r="B58" t="s">
        <v>139</v>
      </c>
      <c r="C58" t="s">
        <v>129</v>
      </c>
      <c r="D58" t="s">
        <v>120</v>
      </c>
      <c r="E58" t="s">
        <v>88</v>
      </c>
      <c r="F58">
        <v>1</v>
      </c>
      <c r="G58">
        <v>0</v>
      </c>
      <c r="H58" s="4">
        <v>100</v>
      </c>
      <c r="I58" s="4">
        <v>100</v>
      </c>
      <c r="J58" s="4">
        <v>90.92</v>
      </c>
      <c r="K58" s="4">
        <v>100</v>
      </c>
      <c r="L58" s="4">
        <v>100</v>
      </c>
      <c r="M58">
        <f>4.4+1.2</f>
        <v>5.6000000000000005</v>
      </c>
      <c r="N58">
        <f t="shared" si="0"/>
        <v>10.200000000000003</v>
      </c>
      <c r="O58">
        <f>2.9+81.3</f>
        <v>84.2</v>
      </c>
    </row>
    <row r="59" spans="1:15" x14ac:dyDescent="0.3">
      <c r="A59" t="s">
        <v>25</v>
      </c>
      <c r="B59" t="s">
        <v>139</v>
      </c>
      <c r="C59" t="s">
        <v>130</v>
      </c>
      <c r="D59" t="s">
        <v>120</v>
      </c>
      <c r="E59" t="s">
        <v>88</v>
      </c>
      <c r="F59">
        <v>1</v>
      </c>
      <c r="G59">
        <v>0</v>
      </c>
      <c r="H59" s="4">
        <v>100</v>
      </c>
      <c r="I59" s="4">
        <v>100</v>
      </c>
      <c r="J59" s="4">
        <v>92.45</v>
      </c>
      <c r="K59" s="4">
        <v>100</v>
      </c>
      <c r="L59" s="4">
        <v>100</v>
      </c>
      <c r="M59">
        <f>3.1+0.9</f>
        <v>4</v>
      </c>
      <c r="N59">
        <f t="shared" si="0"/>
        <v>11.200000000000003</v>
      </c>
      <c r="O59">
        <f>3.7+81.1</f>
        <v>84.8</v>
      </c>
    </row>
    <row r="60" spans="1:15" x14ac:dyDescent="0.3">
      <c r="A60" t="s">
        <v>34</v>
      </c>
      <c r="B60" t="s">
        <v>139</v>
      </c>
      <c r="C60" t="s">
        <v>131</v>
      </c>
      <c r="D60" t="s">
        <v>120</v>
      </c>
      <c r="E60" t="s">
        <v>88</v>
      </c>
      <c r="F60">
        <v>1</v>
      </c>
      <c r="G60">
        <v>0</v>
      </c>
      <c r="H60" s="4">
        <v>100</v>
      </c>
      <c r="I60" s="4">
        <v>100</v>
      </c>
      <c r="J60" s="4">
        <v>93.68</v>
      </c>
      <c r="K60" s="4">
        <v>100</v>
      </c>
      <c r="L60" s="4">
        <v>100</v>
      </c>
      <c r="M60" s="4">
        <f>2.3+0.7</f>
        <v>3</v>
      </c>
      <c r="N60">
        <f t="shared" si="0"/>
        <v>10</v>
      </c>
      <c r="O60" s="4">
        <f>83.3+3.7</f>
        <v>87</v>
      </c>
    </row>
    <row r="61" spans="1:15" x14ac:dyDescent="0.3">
      <c r="A61" t="s">
        <v>34</v>
      </c>
      <c r="B61" t="s">
        <v>139</v>
      </c>
      <c r="C61" t="s">
        <v>132</v>
      </c>
      <c r="D61" t="s">
        <v>120</v>
      </c>
      <c r="E61" t="s">
        <v>88</v>
      </c>
      <c r="F61">
        <v>1</v>
      </c>
      <c r="G61">
        <v>0</v>
      </c>
      <c r="H61" s="4">
        <v>100</v>
      </c>
      <c r="I61" s="4">
        <v>100</v>
      </c>
      <c r="J61" s="4">
        <v>94.47</v>
      </c>
      <c r="K61" s="4">
        <v>100</v>
      </c>
      <c r="L61" s="4">
        <v>100</v>
      </c>
      <c r="M61">
        <v>2.4</v>
      </c>
      <c r="N61">
        <f t="shared" si="0"/>
        <v>9.7999999999999972</v>
      </c>
      <c r="O61">
        <v>87.8</v>
      </c>
    </row>
    <row r="62" spans="1:15" x14ac:dyDescent="0.3">
      <c r="A62" t="s">
        <v>34</v>
      </c>
      <c r="B62" t="s">
        <v>139</v>
      </c>
      <c r="C62" t="s">
        <v>133</v>
      </c>
      <c r="D62" t="s">
        <v>120</v>
      </c>
      <c r="E62" t="s">
        <v>88</v>
      </c>
      <c r="F62">
        <v>1</v>
      </c>
      <c r="G62">
        <v>0</v>
      </c>
      <c r="H62" s="4">
        <v>100</v>
      </c>
      <c r="I62" s="4">
        <v>100</v>
      </c>
      <c r="J62" s="4">
        <v>92.12</v>
      </c>
      <c r="K62" s="4">
        <v>100</v>
      </c>
      <c r="L62" s="4">
        <v>100</v>
      </c>
      <c r="M62">
        <f>2.9+1</f>
        <v>3.9</v>
      </c>
      <c r="N62">
        <f t="shared" si="0"/>
        <v>11.700000000000003</v>
      </c>
      <c r="O62">
        <f>3.6+80.8</f>
        <v>84.399999999999991</v>
      </c>
    </row>
    <row r="63" spans="1:15" x14ac:dyDescent="0.3">
      <c r="A63" t="s">
        <v>34</v>
      </c>
      <c r="B63" t="s">
        <v>139</v>
      </c>
      <c r="C63" t="s">
        <v>134</v>
      </c>
      <c r="D63" t="s">
        <v>120</v>
      </c>
      <c r="E63" t="s">
        <v>88</v>
      </c>
      <c r="F63">
        <v>1</v>
      </c>
      <c r="G63">
        <v>0</v>
      </c>
      <c r="H63" s="4">
        <v>100</v>
      </c>
      <c r="I63" s="4">
        <v>100</v>
      </c>
      <c r="J63" s="4">
        <v>91.17</v>
      </c>
      <c r="K63" s="4">
        <v>100</v>
      </c>
      <c r="L63" s="4">
        <v>100</v>
      </c>
      <c r="M63" s="4">
        <f>4.1+1.1</f>
        <v>5.1999999999999993</v>
      </c>
      <c r="N63">
        <f t="shared" si="0"/>
        <v>11.099999999999994</v>
      </c>
      <c r="O63" s="4">
        <f>3.8+79.9</f>
        <v>83.7</v>
      </c>
    </row>
    <row r="64" spans="1:15" x14ac:dyDescent="0.3">
      <c r="A64" t="s">
        <v>10</v>
      </c>
      <c r="B64" t="s">
        <v>43</v>
      </c>
      <c r="C64" t="s">
        <v>156</v>
      </c>
      <c r="D64" t="s">
        <v>120</v>
      </c>
      <c r="E64" t="s">
        <v>88</v>
      </c>
      <c r="F64">
        <v>2</v>
      </c>
      <c r="G64">
        <v>0</v>
      </c>
      <c r="H64" s="4">
        <v>100</v>
      </c>
      <c r="I64" s="4">
        <v>100</v>
      </c>
      <c r="J64" s="4">
        <v>97.02</v>
      </c>
      <c r="K64" s="4">
        <v>100</v>
      </c>
      <c r="L64" s="4">
        <v>100</v>
      </c>
      <c r="M64">
        <f>0.5+0.2</f>
        <v>0.7</v>
      </c>
      <c r="N64">
        <f t="shared" si="0"/>
        <v>7.8999999999999915</v>
      </c>
      <c r="O64">
        <f>4.7+86.7</f>
        <v>91.4</v>
      </c>
    </row>
    <row r="65" spans="1:15" x14ac:dyDescent="0.3">
      <c r="A65" t="s">
        <v>10</v>
      </c>
      <c r="B65" t="s">
        <v>43</v>
      </c>
      <c r="C65" t="s">
        <v>157</v>
      </c>
      <c r="D65" t="s">
        <v>120</v>
      </c>
      <c r="E65" t="s">
        <v>88</v>
      </c>
      <c r="F65">
        <v>2</v>
      </c>
      <c r="G65">
        <v>0</v>
      </c>
      <c r="H65" s="4">
        <v>100</v>
      </c>
      <c r="I65" s="4">
        <v>100</v>
      </c>
      <c r="J65" s="4">
        <v>95.87</v>
      </c>
      <c r="K65" s="4">
        <v>100</v>
      </c>
      <c r="L65" s="4">
        <v>100</v>
      </c>
      <c r="M65">
        <f>0.8+0.4</f>
        <v>1.2000000000000002</v>
      </c>
      <c r="N65">
        <f t="shared" si="0"/>
        <v>9.7999999999999972</v>
      </c>
      <c r="O65">
        <f>4.4+84.6</f>
        <v>89</v>
      </c>
    </row>
    <row r="66" spans="1:15" x14ac:dyDescent="0.3">
      <c r="A66" t="s">
        <v>10</v>
      </c>
      <c r="B66" t="s">
        <v>43</v>
      </c>
      <c r="C66" t="s">
        <v>158</v>
      </c>
      <c r="D66" t="s">
        <v>120</v>
      </c>
      <c r="E66" t="s">
        <v>88</v>
      </c>
      <c r="F66">
        <v>2</v>
      </c>
      <c r="G66">
        <v>0</v>
      </c>
      <c r="H66" s="4">
        <v>100</v>
      </c>
      <c r="I66" s="4">
        <v>100</v>
      </c>
      <c r="J66" s="4">
        <v>95.45</v>
      </c>
      <c r="K66" s="4">
        <v>100</v>
      </c>
      <c r="L66" s="4">
        <v>100</v>
      </c>
      <c r="M66">
        <f>1+0.4</f>
        <v>1.4</v>
      </c>
      <c r="N66">
        <f t="shared" si="0"/>
        <v>10.299999999999997</v>
      </c>
      <c r="O66">
        <f>4.8+83.5</f>
        <v>88.3</v>
      </c>
    </row>
    <row r="67" spans="1:15" x14ac:dyDescent="0.3">
      <c r="A67" t="s">
        <v>15</v>
      </c>
      <c r="B67" t="s">
        <v>43</v>
      </c>
      <c r="C67" t="s">
        <v>161</v>
      </c>
      <c r="D67" t="s">
        <v>120</v>
      </c>
      <c r="E67" t="s">
        <v>88</v>
      </c>
      <c r="F67">
        <v>2</v>
      </c>
      <c r="G67">
        <v>0</v>
      </c>
      <c r="H67" s="4">
        <v>100</v>
      </c>
      <c r="I67" s="4">
        <v>100</v>
      </c>
      <c r="J67" s="4">
        <v>94.94</v>
      </c>
      <c r="K67" s="4">
        <v>100</v>
      </c>
      <c r="L67" s="4">
        <v>100</v>
      </c>
      <c r="M67">
        <f>0.7+0.3</f>
        <v>1</v>
      </c>
      <c r="N67">
        <f t="shared" ref="N67:N81" si="1">100-(M67+O67)</f>
        <v>12.799999999999997</v>
      </c>
      <c r="O67">
        <f>5.4+80.8</f>
        <v>86.2</v>
      </c>
    </row>
    <row r="68" spans="1:15" x14ac:dyDescent="0.3">
      <c r="A68" t="s">
        <v>15</v>
      </c>
      <c r="B68" t="s">
        <v>43</v>
      </c>
      <c r="C68" t="s">
        <v>159</v>
      </c>
      <c r="D68" t="s">
        <v>120</v>
      </c>
      <c r="E68" t="s">
        <v>88</v>
      </c>
      <c r="F68">
        <v>2</v>
      </c>
      <c r="G68">
        <v>0</v>
      </c>
      <c r="H68" s="4">
        <v>100</v>
      </c>
      <c r="I68" s="4">
        <v>100</v>
      </c>
      <c r="J68" s="4">
        <v>95.74</v>
      </c>
      <c r="K68" s="4">
        <v>100</v>
      </c>
      <c r="L68" s="4">
        <v>100</v>
      </c>
      <c r="M68">
        <f>0.7+0.3</f>
        <v>1</v>
      </c>
      <c r="N68">
        <f t="shared" si="1"/>
        <v>10.600000000000009</v>
      </c>
      <c r="O68">
        <f>5.6+82.8</f>
        <v>88.399999999999991</v>
      </c>
    </row>
    <row r="69" spans="1:15" x14ac:dyDescent="0.3">
      <c r="A69" t="s">
        <v>15</v>
      </c>
      <c r="B69" t="s">
        <v>43</v>
      </c>
      <c r="C69" t="s">
        <v>160</v>
      </c>
      <c r="D69" t="s">
        <v>120</v>
      </c>
      <c r="E69" t="s">
        <v>88</v>
      </c>
      <c r="F69">
        <v>2</v>
      </c>
      <c r="G69">
        <v>0</v>
      </c>
      <c r="H69" s="4">
        <v>100</v>
      </c>
      <c r="I69" s="4">
        <v>100</v>
      </c>
      <c r="J69" s="4">
        <v>95.15</v>
      </c>
      <c r="K69" s="4">
        <v>100</v>
      </c>
      <c r="L69" s="4">
        <v>100</v>
      </c>
      <c r="M69">
        <f>0.8+0.4</f>
        <v>1.2000000000000002</v>
      </c>
      <c r="N69">
        <f t="shared" si="1"/>
        <v>11.799999999999997</v>
      </c>
      <c r="O69">
        <f>5.5+81.5</f>
        <v>87</v>
      </c>
    </row>
    <row r="70" spans="1:15" x14ac:dyDescent="0.3">
      <c r="A70" t="s">
        <v>25</v>
      </c>
      <c r="B70" t="s">
        <v>43</v>
      </c>
      <c r="C70" t="s">
        <v>98</v>
      </c>
      <c r="D70" t="s">
        <v>120</v>
      </c>
      <c r="E70" t="s">
        <v>88</v>
      </c>
      <c r="F70">
        <v>1</v>
      </c>
      <c r="G70">
        <v>0</v>
      </c>
      <c r="H70" s="4">
        <v>100</v>
      </c>
      <c r="I70" s="4">
        <v>100</v>
      </c>
      <c r="J70" s="4">
        <v>91.56</v>
      </c>
      <c r="K70" s="4">
        <v>100</v>
      </c>
      <c r="L70" s="4">
        <v>100</v>
      </c>
      <c r="M70">
        <f>3.4+1.1</f>
        <v>4.5</v>
      </c>
      <c r="N70">
        <f t="shared" si="1"/>
        <v>11.099999999999994</v>
      </c>
      <c r="O70">
        <f>3.5+80.9</f>
        <v>84.4</v>
      </c>
    </row>
    <row r="71" spans="1:15" x14ac:dyDescent="0.3">
      <c r="A71" t="s">
        <v>25</v>
      </c>
      <c r="B71" t="s">
        <v>43</v>
      </c>
      <c r="C71" t="s">
        <v>101</v>
      </c>
      <c r="D71" t="s">
        <v>120</v>
      </c>
      <c r="E71" t="s">
        <v>88</v>
      </c>
      <c r="F71">
        <v>1</v>
      </c>
      <c r="G71">
        <v>0</v>
      </c>
      <c r="H71" s="4">
        <v>100</v>
      </c>
      <c r="I71" s="4">
        <v>100</v>
      </c>
      <c r="J71" s="4">
        <v>92.91</v>
      </c>
      <c r="K71" s="4">
        <v>100</v>
      </c>
      <c r="L71" s="4">
        <v>100</v>
      </c>
      <c r="M71" s="4">
        <v>2.9</v>
      </c>
      <c r="N71">
        <f t="shared" si="1"/>
        <v>12.399999999999991</v>
      </c>
      <c r="O71" s="4">
        <v>84.7</v>
      </c>
    </row>
    <row r="72" spans="1:15" x14ac:dyDescent="0.3">
      <c r="A72" t="s">
        <v>25</v>
      </c>
      <c r="B72" t="s">
        <v>43</v>
      </c>
      <c r="C72" t="s">
        <v>102</v>
      </c>
      <c r="D72" t="s">
        <v>120</v>
      </c>
      <c r="E72" t="s">
        <v>88</v>
      </c>
      <c r="F72">
        <v>1</v>
      </c>
      <c r="G72">
        <v>0</v>
      </c>
      <c r="H72" s="4">
        <v>100</v>
      </c>
      <c r="I72" s="4">
        <v>100</v>
      </c>
      <c r="J72" s="4">
        <v>93.46</v>
      </c>
      <c r="K72" s="4">
        <v>100</v>
      </c>
      <c r="L72" s="4">
        <v>100</v>
      </c>
      <c r="M72" s="4">
        <f>2.1+0.7</f>
        <v>2.8</v>
      </c>
      <c r="N72">
        <f t="shared" si="1"/>
        <v>11.000000000000014</v>
      </c>
      <c r="O72" s="4">
        <f>3.1+83.1</f>
        <v>86.199999999999989</v>
      </c>
    </row>
    <row r="73" spans="1:15" x14ac:dyDescent="0.3">
      <c r="A73" t="s">
        <v>25</v>
      </c>
      <c r="B73" t="s">
        <v>43</v>
      </c>
      <c r="C73" t="s">
        <v>103</v>
      </c>
      <c r="D73" t="s">
        <v>120</v>
      </c>
      <c r="E73" t="s">
        <v>88</v>
      </c>
      <c r="F73">
        <v>1</v>
      </c>
      <c r="G73">
        <v>0</v>
      </c>
      <c r="H73" s="4">
        <v>100</v>
      </c>
      <c r="I73" s="4">
        <v>100</v>
      </c>
      <c r="J73" s="4">
        <v>91.31</v>
      </c>
      <c r="K73" s="4">
        <v>100</v>
      </c>
      <c r="L73" s="4">
        <v>100</v>
      </c>
      <c r="M73">
        <v>4.8</v>
      </c>
      <c r="N73">
        <f t="shared" si="1"/>
        <v>11.100000000000009</v>
      </c>
      <c r="O73">
        <v>84.1</v>
      </c>
    </row>
    <row r="74" spans="1:15" x14ac:dyDescent="0.3">
      <c r="A74" t="s">
        <v>34</v>
      </c>
      <c r="B74" t="s">
        <v>43</v>
      </c>
      <c r="C74" t="s">
        <v>104</v>
      </c>
      <c r="D74" t="s">
        <v>120</v>
      </c>
      <c r="E74" t="s">
        <v>88</v>
      </c>
      <c r="F74">
        <v>1</v>
      </c>
      <c r="G74">
        <v>0</v>
      </c>
      <c r="H74" s="4">
        <v>100</v>
      </c>
      <c r="I74" s="4">
        <v>100</v>
      </c>
      <c r="J74" s="4">
        <v>95.01</v>
      </c>
      <c r="K74" s="4">
        <v>100</v>
      </c>
      <c r="L74" s="4">
        <v>100</v>
      </c>
      <c r="M74" s="4">
        <v>1.9</v>
      </c>
      <c r="N74">
        <f t="shared" si="1"/>
        <v>10.099999999999994</v>
      </c>
      <c r="O74" s="4">
        <v>88</v>
      </c>
    </row>
    <row r="75" spans="1:15" x14ac:dyDescent="0.3">
      <c r="A75" t="s">
        <v>34</v>
      </c>
      <c r="B75" t="s">
        <v>43</v>
      </c>
      <c r="C75" t="s">
        <v>105</v>
      </c>
      <c r="D75" t="s">
        <v>120</v>
      </c>
      <c r="E75" t="s">
        <v>88</v>
      </c>
      <c r="F75">
        <v>1</v>
      </c>
      <c r="G75">
        <v>0</v>
      </c>
      <c r="H75" s="4">
        <v>100</v>
      </c>
      <c r="I75" s="4">
        <v>100</v>
      </c>
      <c r="J75" s="4">
        <v>95.87</v>
      </c>
      <c r="K75" s="4">
        <v>100</v>
      </c>
      <c r="L75" s="4">
        <v>100</v>
      </c>
      <c r="M75" s="4">
        <v>1</v>
      </c>
      <c r="N75">
        <f t="shared" si="1"/>
        <v>10</v>
      </c>
      <c r="O75" s="4">
        <v>89</v>
      </c>
    </row>
    <row r="76" spans="1:15" x14ac:dyDescent="0.3">
      <c r="A76" t="s">
        <v>34</v>
      </c>
      <c r="B76" t="s">
        <v>43</v>
      </c>
      <c r="C76" t="s">
        <v>106</v>
      </c>
      <c r="D76" t="s">
        <v>120</v>
      </c>
      <c r="E76" t="s">
        <v>88</v>
      </c>
      <c r="F76">
        <v>1</v>
      </c>
      <c r="G76">
        <v>0</v>
      </c>
      <c r="H76" s="4">
        <v>100</v>
      </c>
      <c r="I76" s="4">
        <v>100</v>
      </c>
      <c r="J76" s="4">
        <v>93.78</v>
      </c>
      <c r="K76" s="4">
        <v>100</v>
      </c>
      <c r="L76" s="4">
        <v>100</v>
      </c>
      <c r="M76" s="4">
        <v>2.9</v>
      </c>
      <c r="N76">
        <f>100-(M76+O76)</f>
        <v>10</v>
      </c>
      <c r="O76" s="4">
        <v>87.1</v>
      </c>
    </row>
    <row r="77" spans="1:15" x14ac:dyDescent="0.3">
      <c r="A77" t="s">
        <v>34</v>
      </c>
      <c r="B77" t="s">
        <v>43</v>
      </c>
      <c r="C77" t="s">
        <v>107</v>
      </c>
      <c r="D77" t="s">
        <v>120</v>
      </c>
      <c r="E77" t="s">
        <v>88</v>
      </c>
      <c r="F77">
        <v>1</v>
      </c>
      <c r="G77">
        <v>0</v>
      </c>
      <c r="H77" s="4">
        <v>100</v>
      </c>
      <c r="I77" s="4">
        <v>100</v>
      </c>
      <c r="J77" s="4">
        <v>92.28</v>
      </c>
      <c r="K77" s="4">
        <v>100</v>
      </c>
      <c r="L77" s="4">
        <v>100</v>
      </c>
      <c r="M77" s="4">
        <v>4</v>
      </c>
      <c r="N77">
        <f>100-(M77+O77)</f>
        <v>11</v>
      </c>
      <c r="O77" s="4">
        <v>85</v>
      </c>
    </row>
    <row r="78" spans="1:15" x14ac:dyDescent="0.3">
      <c r="A78" t="s">
        <v>25</v>
      </c>
      <c r="B78" t="s">
        <v>139</v>
      </c>
      <c r="C78" t="s">
        <v>135</v>
      </c>
      <c r="D78" t="s">
        <v>146</v>
      </c>
      <c r="E78" t="s">
        <v>141</v>
      </c>
      <c r="F78">
        <v>1</v>
      </c>
      <c r="G78">
        <v>0</v>
      </c>
      <c r="H78" s="4">
        <v>16.670000000000002</v>
      </c>
      <c r="I78" s="4">
        <v>64.290000000000006</v>
      </c>
      <c r="J78" s="4">
        <v>54.73</v>
      </c>
      <c r="K78" s="4">
        <v>86.96</v>
      </c>
      <c r="L78" s="4">
        <v>100</v>
      </c>
      <c r="M78">
        <f>18.4+5.5</f>
        <v>23.9</v>
      </c>
      <c r="N78">
        <f>100-(M78+O78)</f>
        <v>57.5</v>
      </c>
      <c r="O78">
        <f>6.4+12.2</f>
        <v>18.600000000000001</v>
      </c>
    </row>
    <row r="79" spans="1:15" x14ac:dyDescent="0.3">
      <c r="A79" t="s">
        <v>25</v>
      </c>
      <c r="B79" t="s">
        <v>139</v>
      </c>
      <c r="C79" t="s">
        <v>136</v>
      </c>
      <c r="D79" t="s">
        <v>146</v>
      </c>
      <c r="E79" t="s">
        <v>141</v>
      </c>
      <c r="F79">
        <v>1</v>
      </c>
      <c r="G79">
        <v>0</v>
      </c>
      <c r="H79" s="4">
        <v>25</v>
      </c>
      <c r="I79" s="4">
        <v>72.73</v>
      </c>
      <c r="J79" s="4">
        <v>60.01</v>
      </c>
      <c r="K79" s="4">
        <v>90.91</v>
      </c>
      <c r="L79" s="4">
        <v>100</v>
      </c>
      <c r="M79">
        <f>16.5+4.7</f>
        <v>21.2</v>
      </c>
      <c r="N79">
        <f t="shared" si="1"/>
        <v>52.6</v>
      </c>
      <c r="O79">
        <f>8.3+17.9</f>
        <v>26.2</v>
      </c>
    </row>
    <row r="80" spans="1:15" x14ac:dyDescent="0.3">
      <c r="A80" t="s">
        <v>34</v>
      </c>
      <c r="B80" t="s">
        <v>139</v>
      </c>
      <c r="C80" t="s">
        <v>137</v>
      </c>
      <c r="D80" t="s">
        <v>146</v>
      </c>
      <c r="E80" t="s">
        <v>141</v>
      </c>
      <c r="F80">
        <v>1</v>
      </c>
      <c r="G80">
        <v>0</v>
      </c>
      <c r="H80" s="4">
        <v>20</v>
      </c>
      <c r="I80" s="4">
        <v>70</v>
      </c>
      <c r="J80" s="4">
        <v>58.13</v>
      </c>
      <c r="K80" s="4">
        <v>90</v>
      </c>
      <c r="L80" s="4">
        <v>100</v>
      </c>
      <c r="M80">
        <f>17.6+5</f>
        <v>22.6</v>
      </c>
      <c r="N80">
        <f t="shared" si="1"/>
        <v>53.7</v>
      </c>
      <c r="O80">
        <f>16+7.7</f>
        <v>23.7</v>
      </c>
    </row>
    <row r="81" spans="1:15" x14ac:dyDescent="0.3">
      <c r="A81" t="s">
        <v>34</v>
      </c>
      <c r="B81" t="s">
        <v>139</v>
      </c>
      <c r="C81" t="s">
        <v>138</v>
      </c>
      <c r="D81" t="s">
        <v>146</v>
      </c>
      <c r="E81" t="s">
        <v>141</v>
      </c>
      <c r="F81">
        <v>1</v>
      </c>
      <c r="G81">
        <v>0</v>
      </c>
      <c r="H81" s="4">
        <v>20</v>
      </c>
      <c r="I81" s="4">
        <v>70</v>
      </c>
      <c r="J81" s="4">
        <v>57.83</v>
      </c>
      <c r="K81" s="4">
        <v>90</v>
      </c>
      <c r="L81" s="4">
        <v>100</v>
      </c>
      <c r="M81">
        <f>17.6+5.3</f>
        <v>22.900000000000002</v>
      </c>
      <c r="N81">
        <f t="shared" si="1"/>
        <v>53.3</v>
      </c>
      <c r="O81">
        <f>7.6+16.2</f>
        <v>23.799999999999997</v>
      </c>
    </row>
    <row r="82" spans="1:15" x14ac:dyDescent="0.3">
      <c r="A82" t="s">
        <v>20</v>
      </c>
      <c r="B82" t="s">
        <v>139</v>
      </c>
      <c r="C82" t="s">
        <v>121</v>
      </c>
      <c r="D82" t="s">
        <v>120</v>
      </c>
      <c r="E82" t="s">
        <v>141</v>
      </c>
      <c r="F82">
        <v>1</v>
      </c>
      <c r="G82">
        <v>0</v>
      </c>
      <c r="H82" s="4"/>
      <c r="I82" s="4">
        <v>6.6669999999999998</v>
      </c>
      <c r="J82" s="4">
        <v>34.311</v>
      </c>
      <c r="K82" s="4">
        <v>80</v>
      </c>
      <c r="L82" s="4">
        <v>100</v>
      </c>
      <c r="M82">
        <f>48.3+5.9</f>
        <v>54.199999999999996</v>
      </c>
      <c r="N82">
        <f>100-(M82+O82)</f>
        <v>27.5</v>
      </c>
      <c r="O82">
        <f>5.6+12.7</f>
        <v>18.299999999999997</v>
      </c>
    </row>
    <row r="83" spans="1:15" x14ac:dyDescent="0.3">
      <c r="A83" t="s">
        <v>20</v>
      </c>
      <c r="B83" t="s">
        <v>139</v>
      </c>
      <c r="C83" t="s">
        <v>122</v>
      </c>
      <c r="D83" t="s">
        <v>120</v>
      </c>
      <c r="E83" t="s">
        <v>141</v>
      </c>
      <c r="F83">
        <v>1</v>
      </c>
      <c r="G83">
        <v>0</v>
      </c>
      <c r="H83" s="4"/>
      <c r="I83" s="4">
        <v>3.7040000000000002</v>
      </c>
      <c r="J83" s="4">
        <v>32.93</v>
      </c>
      <c r="K83" s="4">
        <v>81.25</v>
      </c>
      <c r="L83" s="4">
        <v>100</v>
      </c>
      <c r="M83">
        <f>51.6+5.8</f>
        <v>57.4</v>
      </c>
      <c r="N83">
        <f t="shared" ref="N83:N85" si="2">100-(M83+O83)</f>
        <v>23.200000000000003</v>
      </c>
      <c r="O83" s="4">
        <f>5.5+13.9</f>
        <v>19.399999999999999</v>
      </c>
    </row>
    <row r="84" spans="1:15" x14ac:dyDescent="0.3">
      <c r="A84" t="s">
        <v>20</v>
      </c>
      <c r="B84" t="s">
        <v>139</v>
      </c>
      <c r="C84" t="s">
        <v>154</v>
      </c>
      <c r="D84" t="s">
        <v>120</v>
      </c>
      <c r="E84" t="s">
        <v>141</v>
      </c>
      <c r="F84">
        <v>2</v>
      </c>
      <c r="G84">
        <v>0</v>
      </c>
      <c r="H84" s="4">
        <v>25</v>
      </c>
      <c r="I84" s="4">
        <v>78.48</v>
      </c>
      <c r="J84" s="4">
        <v>61.71</v>
      </c>
      <c r="K84" s="4">
        <v>92.59</v>
      </c>
      <c r="L84" s="4">
        <v>100</v>
      </c>
      <c r="M84">
        <f>19+2.8</f>
        <v>21.8</v>
      </c>
      <c r="N84">
        <f t="shared" si="2"/>
        <v>47.3</v>
      </c>
      <c r="O84">
        <f>12.2+18.7</f>
        <v>30.9</v>
      </c>
    </row>
    <row r="85" spans="1:15" x14ac:dyDescent="0.3">
      <c r="A85" t="s">
        <v>20</v>
      </c>
      <c r="B85" t="s">
        <v>139</v>
      </c>
      <c r="C85" t="s">
        <v>155</v>
      </c>
      <c r="D85" t="s">
        <v>120</v>
      </c>
      <c r="E85" t="s">
        <v>141</v>
      </c>
      <c r="F85">
        <v>2</v>
      </c>
      <c r="G85">
        <v>0</v>
      </c>
      <c r="H85" s="4">
        <v>5.556</v>
      </c>
      <c r="I85" s="4">
        <v>77.778000000000006</v>
      </c>
      <c r="J85" s="4">
        <v>58.012</v>
      </c>
      <c r="K85" s="4">
        <v>93.332999999999998</v>
      </c>
      <c r="L85" s="4">
        <v>100</v>
      </c>
      <c r="M85">
        <f>24.7+3.6</f>
        <v>28.3</v>
      </c>
      <c r="N85">
        <f t="shared" si="2"/>
        <v>39.099999999999994</v>
      </c>
      <c r="O85">
        <f>12.3+20.3</f>
        <v>32.6</v>
      </c>
    </row>
    <row r="86" spans="1:15" x14ac:dyDescent="0.3">
      <c r="A86" t="s">
        <v>15</v>
      </c>
      <c r="B86" t="s">
        <v>139</v>
      </c>
      <c r="C86" t="s">
        <v>123</v>
      </c>
      <c r="D86" t="s">
        <v>120</v>
      </c>
      <c r="E86" t="s">
        <v>141</v>
      </c>
      <c r="F86">
        <v>1</v>
      </c>
      <c r="G86">
        <v>0</v>
      </c>
      <c r="H86" s="4"/>
      <c r="I86" s="4">
        <v>18.18</v>
      </c>
      <c r="J86" s="4">
        <v>41.75</v>
      </c>
      <c r="K86" s="4">
        <v>90</v>
      </c>
      <c r="L86" s="4">
        <v>100</v>
      </c>
      <c r="M86">
        <f>41.5+6.2</f>
        <v>47.7</v>
      </c>
      <c r="N86">
        <f>100-(M86+O86)</f>
        <v>27.299999999999997</v>
      </c>
      <c r="O86">
        <f>7.3+17.7</f>
        <v>25</v>
      </c>
    </row>
    <row r="87" spans="1:15" x14ac:dyDescent="0.3">
      <c r="A87" t="s">
        <v>15</v>
      </c>
      <c r="B87" t="s">
        <v>139</v>
      </c>
      <c r="C87" t="s">
        <v>124</v>
      </c>
      <c r="D87" t="s">
        <v>120</v>
      </c>
      <c r="E87" t="s">
        <v>141</v>
      </c>
      <c r="F87">
        <v>1</v>
      </c>
      <c r="G87">
        <v>0</v>
      </c>
      <c r="H87" s="4"/>
      <c r="I87" s="4">
        <v>31.25</v>
      </c>
      <c r="J87" s="4">
        <v>44.37</v>
      </c>
      <c r="K87" s="4">
        <v>91.67</v>
      </c>
      <c r="L87" s="4">
        <v>100</v>
      </c>
      <c r="M87">
        <f>40.5+5.1</f>
        <v>45.6</v>
      </c>
      <c r="N87">
        <f t="shared" ref="N87:N89" si="3">100-(M87+O87)</f>
        <v>26.700000000000003</v>
      </c>
      <c r="O87">
        <f>8.5+19.2</f>
        <v>27.7</v>
      </c>
    </row>
    <row r="88" spans="1:15" x14ac:dyDescent="0.3">
      <c r="A88" t="s">
        <v>15</v>
      </c>
      <c r="B88" t="s">
        <v>139</v>
      </c>
      <c r="C88" t="s">
        <v>152</v>
      </c>
      <c r="D88" t="s">
        <v>120</v>
      </c>
      <c r="E88" t="s">
        <v>141</v>
      </c>
      <c r="F88">
        <v>2</v>
      </c>
      <c r="G88">
        <v>0</v>
      </c>
      <c r="H88" s="4">
        <v>6.0609999999999999</v>
      </c>
      <c r="I88" s="4">
        <v>78.947000000000003</v>
      </c>
      <c r="J88" s="4">
        <v>58.55</v>
      </c>
      <c r="K88" s="4">
        <v>93.75</v>
      </c>
      <c r="L88" s="4">
        <v>100</v>
      </c>
      <c r="M88">
        <f>24.2+3.6</f>
        <v>27.8</v>
      </c>
      <c r="N88">
        <f t="shared" si="3"/>
        <v>37.799999999999997</v>
      </c>
      <c r="O88">
        <f>12.7+21.7</f>
        <v>34.4</v>
      </c>
    </row>
    <row r="89" spans="1:15" x14ac:dyDescent="0.3">
      <c r="A89" t="s">
        <v>15</v>
      </c>
      <c r="B89" t="s">
        <v>139</v>
      </c>
      <c r="C89" t="s">
        <v>153</v>
      </c>
      <c r="D89" t="s">
        <v>120</v>
      </c>
      <c r="E89" t="s">
        <v>141</v>
      </c>
      <c r="F89">
        <v>2</v>
      </c>
      <c r="G89">
        <v>0</v>
      </c>
      <c r="H89" s="4">
        <v>33.33</v>
      </c>
      <c r="I89" s="4">
        <v>85.71</v>
      </c>
      <c r="J89" s="4">
        <v>66.64</v>
      </c>
      <c r="K89" s="4">
        <v>95.65</v>
      </c>
      <c r="L89" s="4">
        <v>100</v>
      </c>
      <c r="M89">
        <f>18+2.9</f>
        <v>20.9</v>
      </c>
      <c r="N89">
        <f t="shared" si="3"/>
        <v>37.200000000000003</v>
      </c>
      <c r="O89">
        <f>15.5+26.4</f>
        <v>41.9</v>
      </c>
    </row>
    <row r="90" spans="1:15" x14ac:dyDescent="0.3">
      <c r="A90" t="s">
        <v>10</v>
      </c>
      <c r="B90" t="s">
        <v>139</v>
      </c>
      <c r="C90" t="s">
        <v>125</v>
      </c>
      <c r="D90" t="s">
        <v>120</v>
      </c>
      <c r="E90" t="s">
        <v>141</v>
      </c>
      <c r="F90">
        <v>1</v>
      </c>
      <c r="G90">
        <v>0</v>
      </c>
      <c r="H90" s="4">
        <v>0</v>
      </c>
      <c r="I90" s="4">
        <v>46.15</v>
      </c>
      <c r="J90" s="4">
        <v>46.72</v>
      </c>
      <c r="K90" s="4">
        <v>92.86</v>
      </c>
      <c r="L90" s="4">
        <v>100</v>
      </c>
      <c r="M90" s="4">
        <f>37.8+5.1</f>
        <v>42.9</v>
      </c>
      <c r="N90">
        <f>100-(M90+O90)</f>
        <v>27.400000000000006</v>
      </c>
      <c r="O90">
        <f>8.7+21</f>
        <v>29.7</v>
      </c>
    </row>
    <row r="91" spans="1:15" x14ac:dyDescent="0.3">
      <c r="A91" t="s">
        <v>10</v>
      </c>
      <c r="B91" t="s">
        <v>139</v>
      </c>
      <c r="C91" t="s">
        <v>126</v>
      </c>
      <c r="D91" t="s">
        <v>120</v>
      </c>
      <c r="E91" t="s">
        <v>141</v>
      </c>
      <c r="F91">
        <v>1</v>
      </c>
      <c r="G91">
        <v>0</v>
      </c>
      <c r="H91" s="4"/>
      <c r="I91" s="4">
        <v>12.5</v>
      </c>
      <c r="J91" s="4">
        <v>39.83</v>
      </c>
      <c r="K91" s="4">
        <v>90</v>
      </c>
      <c r="L91" s="4">
        <v>100</v>
      </c>
      <c r="M91">
        <f>44+5.4</f>
        <v>49.4</v>
      </c>
      <c r="N91">
        <f>100-(M91+O91)</f>
        <v>26.799999999999997</v>
      </c>
      <c r="O91">
        <f>7.2+16.6</f>
        <v>23.8</v>
      </c>
    </row>
    <row r="92" spans="1:15" x14ac:dyDescent="0.3">
      <c r="A92" t="s">
        <v>10</v>
      </c>
      <c r="B92" t="s">
        <v>139</v>
      </c>
      <c r="C92" t="s">
        <v>151</v>
      </c>
      <c r="D92" t="s">
        <v>120</v>
      </c>
      <c r="E92" t="s">
        <v>141</v>
      </c>
      <c r="F92">
        <v>2</v>
      </c>
      <c r="G92">
        <v>0</v>
      </c>
      <c r="H92" s="4">
        <v>4.444</v>
      </c>
      <c r="I92" s="4">
        <v>77.5</v>
      </c>
      <c r="J92" s="4">
        <v>57.484000000000002</v>
      </c>
      <c r="K92" s="4">
        <v>93.548000000000002</v>
      </c>
      <c r="L92" s="4">
        <v>100</v>
      </c>
      <c r="M92">
        <f>25.6+3.6</f>
        <v>29.200000000000003</v>
      </c>
      <c r="N92">
        <f t="shared" ref="N92:N115" si="4">100-(M92+O92)</f>
        <v>37.399999999999991</v>
      </c>
      <c r="O92">
        <f>12.3+21.1</f>
        <v>33.400000000000006</v>
      </c>
    </row>
    <row r="93" spans="1:15" x14ac:dyDescent="0.3">
      <c r="A93" t="s">
        <v>10</v>
      </c>
      <c r="B93" t="s">
        <v>139</v>
      </c>
      <c r="C93" t="s">
        <v>150</v>
      </c>
      <c r="D93" t="s">
        <v>120</v>
      </c>
      <c r="E93" t="s">
        <v>141</v>
      </c>
      <c r="F93">
        <v>2</v>
      </c>
      <c r="G93">
        <v>0</v>
      </c>
      <c r="H93" s="4"/>
      <c r="I93" s="4">
        <v>65.52</v>
      </c>
      <c r="J93" s="4">
        <v>50.83</v>
      </c>
      <c r="K93" s="4">
        <v>93.33</v>
      </c>
      <c r="L93" s="4">
        <v>100</v>
      </c>
      <c r="M93">
        <f>33.2+4.7</f>
        <v>37.900000000000006</v>
      </c>
      <c r="N93">
        <f t="shared" si="4"/>
        <v>30.399999999999991</v>
      </c>
      <c r="O93">
        <f>10.7+21</f>
        <v>31.7</v>
      </c>
    </row>
    <row r="94" spans="1:15" x14ac:dyDescent="0.3">
      <c r="A94" t="s">
        <v>25</v>
      </c>
      <c r="B94" t="s">
        <v>139</v>
      </c>
      <c r="C94" t="s">
        <v>127</v>
      </c>
      <c r="D94" t="s">
        <v>120</v>
      </c>
      <c r="E94" t="s">
        <v>141</v>
      </c>
      <c r="F94">
        <v>1</v>
      </c>
      <c r="G94">
        <v>0</v>
      </c>
      <c r="H94" s="4"/>
      <c r="I94" s="4"/>
      <c r="J94" s="4">
        <v>29.03</v>
      </c>
      <c r="K94" s="4">
        <v>67.86</v>
      </c>
      <c r="L94" s="4">
        <v>100</v>
      </c>
      <c r="M94">
        <f>53.3+6.4</f>
        <v>59.699999999999996</v>
      </c>
      <c r="N94">
        <f t="shared" si="4"/>
        <v>26.100000000000009</v>
      </c>
      <c r="O94">
        <f>4.4+9.8</f>
        <v>14.200000000000001</v>
      </c>
    </row>
    <row r="95" spans="1:15" x14ac:dyDescent="0.3">
      <c r="A95" t="s">
        <v>25</v>
      </c>
      <c r="B95" t="s">
        <v>139</v>
      </c>
      <c r="C95" t="s">
        <v>128</v>
      </c>
      <c r="D95" t="s">
        <v>120</v>
      </c>
      <c r="E95" t="s">
        <v>141</v>
      </c>
      <c r="F95">
        <v>1</v>
      </c>
      <c r="G95">
        <v>0</v>
      </c>
      <c r="H95" s="4"/>
      <c r="I95" s="4">
        <v>5.7140000000000004</v>
      </c>
      <c r="J95" s="4">
        <v>32.743000000000002</v>
      </c>
      <c r="K95" s="4">
        <v>75</v>
      </c>
      <c r="L95" s="4">
        <v>100</v>
      </c>
      <c r="M95">
        <f>49.3+5.8</f>
        <v>55.099999999999994</v>
      </c>
      <c r="N95">
        <f t="shared" si="4"/>
        <v>29.900000000000006</v>
      </c>
      <c r="O95">
        <f>4.9+10.1</f>
        <v>15</v>
      </c>
    </row>
    <row r="96" spans="1:15" x14ac:dyDescent="0.3">
      <c r="A96" t="s">
        <v>25</v>
      </c>
      <c r="B96" t="s">
        <v>139</v>
      </c>
      <c r="C96" t="s">
        <v>129</v>
      </c>
      <c r="D96" t="s">
        <v>120</v>
      </c>
      <c r="E96" t="s">
        <v>141</v>
      </c>
      <c r="F96">
        <v>1</v>
      </c>
      <c r="G96">
        <v>0</v>
      </c>
      <c r="H96" s="4"/>
      <c r="I96" s="4"/>
      <c r="J96" s="4">
        <v>29.19</v>
      </c>
      <c r="K96" s="4">
        <v>70</v>
      </c>
      <c r="L96" s="4">
        <v>100</v>
      </c>
      <c r="M96">
        <f>54.3+6.4</f>
        <v>60.699999999999996</v>
      </c>
      <c r="N96">
        <f t="shared" si="4"/>
        <v>23.5</v>
      </c>
      <c r="O96">
        <f>4.5+11.3</f>
        <v>15.8</v>
      </c>
    </row>
    <row r="97" spans="1:15" x14ac:dyDescent="0.3">
      <c r="A97" t="s">
        <v>25</v>
      </c>
      <c r="B97" t="s">
        <v>139</v>
      </c>
      <c r="C97" t="s">
        <v>130</v>
      </c>
      <c r="D97" t="s">
        <v>120</v>
      </c>
      <c r="E97" t="s">
        <v>141</v>
      </c>
      <c r="F97">
        <v>1</v>
      </c>
      <c r="G97">
        <v>0</v>
      </c>
      <c r="H97" s="4"/>
      <c r="I97" s="4">
        <v>4.3479999999999999</v>
      </c>
      <c r="J97" s="4">
        <v>32.954999999999998</v>
      </c>
      <c r="K97" s="4">
        <v>79.167000000000002</v>
      </c>
      <c r="L97" s="4">
        <v>100</v>
      </c>
      <c r="M97">
        <f>50.8+5.6</f>
        <v>56.4</v>
      </c>
      <c r="N97">
        <f t="shared" si="4"/>
        <v>26.900000000000006</v>
      </c>
      <c r="O97">
        <f>5.3+11.4</f>
        <v>16.7</v>
      </c>
    </row>
    <row r="98" spans="1:15" x14ac:dyDescent="0.3">
      <c r="A98" t="s">
        <v>34</v>
      </c>
      <c r="B98" t="s">
        <v>139</v>
      </c>
      <c r="C98" t="s">
        <v>131</v>
      </c>
      <c r="D98" t="s">
        <v>120</v>
      </c>
      <c r="E98" t="s">
        <v>141</v>
      </c>
      <c r="F98">
        <v>1</v>
      </c>
      <c r="G98">
        <v>0</v>
      </c>
      <c r="H98" s="4"/>
      <c r="I98" s="4">
        <v>8.3330000000000002</v>
      </c>
      <c r="J98" s="4">
        <v>36.65</v>
      </c>
      <c r="K98" s="4">
        <v>83.332999999999998</v>
      </c>
      <c r="L98" s="4">
        <v>100</v>
      </c>
      <c r="M98">
        <f>47+5.4</f>
        <v>52.4</v>
      </c>
      <c r="N98">
        <f t="shared" si="4"/>
        <v>27.099999999999994</v>
      </c>
      <c r="O98">
        <f>5.8+14.7</f>
        <v>20.5</v>
      </c>
    </row>
    <row r="99" spans="1:15" x14ac:dyDescent="0.3">
      <c r="A99" t="s">
        <v>34</v>
      </c>
      <c r="B99" t="s">
        <v>139</v>
      </c>
      <c r="C99" t="s">
        <v>132</v>
      </c>
      <c r="D99" t="s">
        <v>120</v>
      </c>
      <c r="E99" t="s">
        <v>141</v>
      </c>
      <c r="F99">
        <v>1</v>
      </c>
      <c r="G99">
        <v>0</v>
      </c>
      <c r="H99" s="4"/>
      <c r="I99" s="4">
        <v>18.18</v>
      </c>
      <c r="J99" s="4">
        <v>40.24</v>
      </c>
      <c r="K99" s="4">
        <v>88.89</v>
      </c>
      <c r="L99" s="4">
        <v>100</v>
      </c>
      <c r="M99">
        <f>42.8+5.3</f>
        <v>48.099999999999994</v>
      </c>
      <c r="N99">
        <f t="shared" si="4"/>
        <v>30</v>
      </c>
      <c r="O99">
        <f>6.5+15.4</f>
        <v>21.9</v>
      </c>
    </row>
    <row r="100" spans="1:15" x14ac:dyDescent="0.3">
      <c r="A100" t="s">
        <v>34</v>
      </c>
      <c r="B100" t="s">
        <v>139</v>
      </c>
      <c r="C100" t="s">
        <v>133</v>
      </c>
      <c r="D100" t="s">
        <v>120</v>
      </c>
      <c r="E100" t="s">
        <v>141</v>
      </c>
      <c r="F100">
        <v>1</v>
      </c>
      <c r="G100">
        <v>0</v>
      </c>
      <c r="H100" s="4"/>
      <c r="I100" s="4">
        <v>8.3330000000000002</v>
      </c>
      <c r="J100" s="4">
        <v>36.17</v>
      </c>
      <c r="K100" s="4">
        <v>81.817999999999998</v>
      </c>
      <c r="L100" s="4">
        <v>100</v>
      </c>
      <c r="M100">
        <f>46.6+5.4</f>
        <v>52</v>
      </c>
      <c r="N100">
        <f t="shared" si="4"/>
        <v>29.400000000000006</v>
      </c>
      <c r="O100">
        <f>5.9+12.7</f>
        <v>18.600000000000001</v>
      </c>
    </row>
    <row r="101" spans="1:15" x14ac:dyDescent="0.3">
      <c r="A101" t="s">
        <v>34</v>
      </c>
      <c r="B101" t="s">
        <v>139</v>
      </c>
      <c r="C101" t="s">
        <v>134</v>
      </c>
      <c r="D101" t="s">
        <v>120</v>
      </c>
      <c r="E101" t="s">
        <v>141</v>
      </c>
      <c r="F101">
        <v>1</v>
      </c>
      <c r="G101">
        <v>0</v>
      </c>
      <c r="H101" s="4"/>
      <c r="I101" s="4"/>
      <c r="J101" s="4">
        <v>29.33</v>
      </c>
      <c r="K101" s="4">
        <v>70</v>
      </c>
      <c r="L101" s="4">
        <v>100</v>
      </c>
      <c r="M101">
        <f>54.2+5.9</f>
        <v>60.1</v>
      </c>
      <c r="N101">
        <f t="shared" si="4"/>
        <v>25.099999999999994</v>
      </c>
      <c r="O101">
        <f>4.4+10.4</f>
        <v>14.8</v>
      </c>
    </row>
    <row r="102" spans="1:15" x14ac:dyDescent="0.3">
      <c r="A102" t="s">
        <v>10</v>
      </c>
      <c r="B102" t="s">
        <v>43</v>
      </c>
      <c r="C102" t="s">
        <v>156</v>
      </c>
      <c r="D102" t="s">
        <v>120</v>
      </c>
      <c r="E102" t="s">
        <v>141</v>
      </c>
      <c r="F102">
        <v>2</v>
      </c>
      <c r="G102">
        <v>0</v>
      </c>
      <c r="H102" s="4">
        <v>38.46</v>
      </c>
      <c r="I102" s="4">
        <v>85.71</v>
      </c>
      <c r="J102" s="4">
        <v>67.150000000000006</v>
      </c>
      <c r="K102" s="4">
        <v>95.65</v>
      </c>
      <c r="L102" s="4">
        <v>100</v>
      </c>
      <c r="M102">
        <f>17.5+3.1</f>
        <v>20.6</v>
      </c>
      <c r="N102">
        <f t="shared" si="4"/>
        <v>37.999999999999993</v>
      </c>
      <c r="O102">
        <f>15.3+26.1</f>
        <v>41.400000000000006</v>
      </c>
    </row>
    <row r="103" spans="1:15" x14ac:dyDescent="0.3">
      <c r="A103" t="s">
        <v>10</v>
      </c>
      <c r="B103" t="s">
        <v>43</v>
      </c>
      <c r="C103" t="s">
        <v>157</v>
      </c>
      <c r="D103" t="s">
        <v>120</v>
      </c>
      <c r="E103" t="s">
        <v>141</v>
      </c>
      <c r="F103">
        <v>2</v>
      </c>
      <c r="G103">
        <v>0</v>
      </c>
      <c r="H103" s="4">
        <v>9.5239999999999991</v>
      </c>
      <c r="I103" s="4">
        <v>80</v>
      </c>
      <c r="J103" s="4">
        <v>61.088999999999999</v>
      </c>
      <c r="K103" s="4">
        <v>93.332999999999998</v>
      </c>
      <c r="L103" s="4">
        <v>100</v>
      </c>
      <c r="M103">
        <f>22+3.5</f>
        <v>25.5</v>
      </c>
      <c r="N103">
        <f t="shared" si="4"/>
        <v>40</v>
      </c>
      <c r="O103">
        <f>13.3+21.2</f>
        <v>34.5</v>
      </c>
    </row>
    <row r="104" spans="1:15" x14ac:dyDescent="0.3">
      <c r="A104" t="s">
        <v>10</v>
      </c>
      <c r="B104" t="s">
        <v>43</v>
      </c>
      <c r="C104" t="s">
        <v>158</v>
      </c>
      <c r="D104" t="s">
        <v>120</v>
      </c>
      <c r="E104" t="s">
        <v>141</v>
      </c>
      <c r="F104">
        <v>2</v>
      </c>
      <c r="G104">
        <v>0</v>
      </c>
      <c r="H104" s="4">
        <v>5.8819999999999997</v>
      </c>
      <c r="I104" s="4">
        <v>80</v>
      </c>
      <c r="J104" s="4">
        <v>59.106000000000002</v>
      </c>
      <c r="K104" s="4">
        <v>93.75</v>
      </c>
      <c r="L104" s="4">
        <v>100</v>
      </c>
      <c r="M104">
        <f>24.3+3.7</f>
        <v>28</v>
      </c>
      <c r="N104">
        <f t="shared" si="4"/>
        <v>37.299999999999997</v>
      </c>
      <c r="O104">
        <f>12.9+21.8</f>
        <v>34.700000000000003</v>
      </c>
    </row>
    <row r="105" spans="1:15" x14ac:dyDescent="0.3">
      <c r="A105" t="s">
        <v>15</v>
      </c>
      <c r="B105" t="s">
        <v>43</v>
      </c>
      <c r="C105" t="s">
        <v>161</v>
      </c>
      <c r="D105" t="s">
        <v>120</v>
      </c>
      <c r="E105" t="s">
        <v>141</v>
      </c>
      <c r="F105">
        <v>2</v>
      </c>
      <c r="G105">
        <v>0</v>
      </c>
      <c r="H105" s="4">
        <v>8.9740000000000002</v>
      </c>
      <c r="I105" s="4">
        <v>73.332999999999998</v>
      </c>
      <c r="J105" s="4">
        <v>57.655999999999999</v>
      </c>
      <c r="K105" s="4">
        <v>90.721999999999994</v>
      </c>
      <c r="L105" s="4">
        <v>100</v>
      </c>
      <c r="M105">
        <f>22.8+2.9</f>
        <v>25.7</v>
      </c>
      <c r="N105">
        <f t="shared" si="4"/>
        <v>48.599999999999994</v>
      </c>
      <c r="O105">
        <f>10.4+15.3</f>
        <v>25.700000000000003</v>
      </c>
    </row>
    <row r="106" spans="1:15" x14ac:dyDescent="0.3">
      <c r="A106" t="s">
        <v>15</v>
      </c>
      <c r="B106" t="s">
        <v>43</v>
      </c>
      <c r="C106" t="s">
        <v>159</v>
      </c>
      <c r="D106" t="s">
        <v>120</v>
      </c>
      <c r="E106" t="s">
        <v>141</v>
      </c>
      <c r="F106">
        <v>2</v>
      </c>
      <c r="G106">
        <v>0</v>
      </c>
      <c r="H106" s="4">
        <v>7.6920000000000002</v>
      </c>
      <c r="I106" s="4">
        <v>80.488</v>
      </c>
      <c r="J106" s="4">
        <v>60.207000000000001</v>
      </c>
      <c r="K106" s="4">
        <v>94</v>
      </c>
      <c r="L106" s="4">
        <v>100</v>
      </c>
      <c r="M106">
        <f>23.3+3.2</f>
        <v>26.5</v>
      </c>
      <c r="N106">
        <f t="shared" si="4"/>
        <v>38.299999999999997</v>
      </c>
      <c r="O106">
        <f>13.2+22</f>
        <v>35.200000000000003</v>
      </c>
    </row>
    <row r="107" spans="1:15" x14ac:dyDescent="0.3">
      <c r="A107" t="s">
        <v>15</v>
      </c>
      <c r="B107" t="s">
        <v>43</v>
      </c>
      <c r="C107" t="s">
        <v>160</v>
      </c>
      <c r="D107" t="s">
        <v>120</v>
      </c>
      <c r="E107" t="s">
        <v>141</v>
      </c>
      <c r="F107">
        <v>2</v>
      </c>
      <c r="G107">
        <v>0</v>
      </c>
      <c r="H107" s="4">
        <v>8</v>
      </c>
      <c r="I107" s="4">
        <v>76.92</v>
      </c>
      <c r="J107" s="4">
        <v>58.76</v>
      </c>
      <c r="K107" s="4">
        <v>91.84</v>
      </c>
      <c r="L107" s="4">
        <v>100</v>
      </c>
      <c r="M107">
        <f>23+3.2</f>
        <v>26.2</v>
      </c>
      <c r="N107">
        <f t="shared" si="4"/>
        <v>44.5</v>
      </c>
      <c r="O107">
        <f>11.8+17.5</f>
        <v>29.3</v>
      </c>
    </row>
    <row r="108" spans="1:15" x14ac:dyDescent="0.3">
      <c r="A108" t="s">
        <v>25</v>
      </c>
      <c r="B108" t="s">
        <v>43</v>
      </c>
      <c r="C108" t="s">
        <v>98</v>
      </c>
      <c r="D108" t="s">
        <v>120</v>
      </c>
      <c r="E108" t="s">
        <v>141</v>
      </c>
      <c r="F108">
        <v>1</v>
      </c>
      <c r="G108">
        <v>0</v>
      </c>
      <c r="H108" s="4"/>
      <c r="I108" s="4">
        <v>3.8460000000000001</v>
      </c>
      <c r="J108" s="4">
        <v>30.934999999999999</v>
      </c>
      <c r="K108" s="4">
        <v>72.727000000000004</v>
      </c>
      <c r="L108" s="4">
        <v>100</v>
      </c>
      <c r="M108">
        <f>51.4+6.1</f>
        <v>57.5</v>
      </c>
      <c r="N108">
        <f t="shared" si="4"/>
        <v>27.599999999999994</v>
      </c>
      <c r="O108">
        <f>4.6+10.3</f>
        <v>14.9</v>
      </c>
    </row>
    <row r="109" spans="1:15" x14ac:dyDescent="0.3">
      <c r="A109" t="s">
        <v>25</v>
      </c>
      <c r="B109" t="s">
        <v>43</v>
      </c>
      <c r="C109" t="s">
        <v>101</v>
      </c>
      <c r="D109" t="s">
        <v>120</v>
      </c>
      <c r="E109" t="s">
        <v>141</v>
      </c>
      <c r="F109">
        <v>1</v>
      </c>
      <c r="G109">
        <v>0</v>
      </c>
      <c r="H109" s="4"/>
      <c r="I109" s="4"/>
      <c r="J109" s="4">
        <v>31.05</v>
      </c>
      <c r="K109" s="4">
        <v>71.430000000000007</v>
      </c>
      <c r="L109" s="4">
        <v>100</v>
      </c>
      <c r="M109">
        <f>51+6</f>
        <v>57</v>
      </c>
      <c r="N109">
        <f t="shared" si="4"/>
        <v>29.5</v>
      </c>
      <c r="O109">
        <f>4.3+9.2</f>
        <v>13.5</v>
      </c>
    </row>
    <row r="110" spans="1:15" x14ac:dyDescent="0.3">
      <c r="A110" t="s">
        <v>25</v>
      </c>
      <c r="B110" t="s">
        <v>43</v>
      </c>
      <c r="C110" t="s">
        <v>102</v>
      </c>
      <c r="D110" t="s">
        <v>120</v>
      </c>
      <c r="E110" t="s">
        <v>141</v>
      </c>
      <c r="F110">
        <v>1</v>
      </c>
      <c r="G110">
        <v>0</v>
      </c>
      <c r="H110" s="4"/>
      <c r="I110" s="4">
        <v>11.11</v>
      </c>
      <c r="J110" s="4">
        <v>37.340000000000003</v>
      </c>
      <c r="K110" s="4">
        <v>81.400000000000006</v>
      </c>
      <c r="L110" s="4">
        <v>100</v>
      </c>
      <c r="M110">
        <f>44.7+5.1</f>
        <v>49.800000000000004</v>
      </c>
      <c r="N110">
        <f t="shared" si="4"/>
        <v>32.699999999999989</v>
      </c>
      <c r="O110">
        <f>6+11.5</f>
        <v>17.5</v>
      </c>
    </row>
    <row r="111" spans="1:15" x14ac:dyDescent="0.3">
      <c r="A111" t="s">
        <v>25</v>
      </c>
      <c r="B111" t="s">
        <v>43</v>
      </c>
      <c r="C111" t="s">
        <v>103</v>
      </c>
      <c r="D111" t="s">
        <v>120</v>
      </c>
      <c r="E111" t="s">
        <v>141</v>
      </c>
      <c r="F111">
        <v>1</v>
      </c>
      <c r="G111">
        <v>0</v>
      </c>
      <c r="H111" s="4"/>
      <c r="I111" s="4">
        <v>4.1669999999999998</v>
      </c>
      <c r="J111" s="4">
        <v>31.484000000000002</v>
      </c>
      <c r="K111" s="4">
        <v>73.332999999999998</v>
      </c>
      <c r="L111" s="4">
        <v>100</v>
      </c>
      <c r="M111">
        <f>51.2+5.8</f>
        <v>57</v>
      </c>
      <c r="N111">
        <f t="shared" si="4"/>
        <v>27.799999999999997</v>
      </c>
      <c r="O111">
        <f>5+10.2</f>
        <v>15.2</v>
      </c>
    </row>
    <row r="112" spans="1:15" x14ac:dyDescent="0.3">
      <c r="A112" t="s">
        <v>34</v>
      </c>
      <c r="B112" t="s">
        <v>43</v>
      </c>
      <c r="C112" t="s">
        <v>104</v>
      </c>
      <c r="D112" t="s">
        <v>120</v>
      </c>
      <c r="E112" t="s">
        <v>141</v>
      </c>
      <c r="F112">
        <v>1</v>
      </c>
      <c r="G112">
        <v>0</v>
      </c>
      <c r="H112" s="4"/>
      <c r="I112" s="4">
        <v>13.33</v>
      </c>
      <c r="J112" s="4">
        <v>38</v>
      </c>
      <c r="K112" s="4">
        <v>81.819999999999993</v>
      </c>
      <c r="L112" s="4">
        <v>100</v>
      </c>
      <c r="M112">
        <f>44.5+5.1</f>
        <v>49.6</v>
      </c>
      <c r="N112">
        <f t="shared" si="4"/>
        <v>32.200000000000003</v>
      </c>
      <c r="O112">
        <f>5.7+12.5</f>
        <v>18.2</v>
      </c>
    </row>
    <row r="113" spans="1:15" x14ac:dyDescent="0.3">
      <c r="A113" t="s">
        <v>34</v>
      </c>
      <c r="B113" t="s">
        <v>43</v>
      </c>
      <c r="C113" t="s">
        <v>105</v>
      </c>
      <c r="D113" t="s">
        <v>120</v>
      </c>
      <c r="E113" t="s">
        <v>141</v>
      </c>
      <c r="F113">
        <v>1</v>
      </c>
      <c r="G113">
        <v>0</v>
      </c>
      <c r="H113" s="4"/>
      <c r="I113" s="4">
        <v>41.67</v>
      </c>
      <c r="J113" s="4">
        <v>44.12</v>
      </c>
      <c r="K113" s="4">
        <v>90</v>
      </c>
      <c r="L113" s="4">
        <v>100</v>
      </c>
      <c r="M113">
        <f>38.4+4.4</f>
        <v>42.8</v>
      </c>
      <c r="N113">
        <f t="shared" si="4"/>
        <v>35.200000000000003</v>
      </c>
      <c r="O113">
        <f>6.7+15.3</f>
        <v>22</v>
      </c>
    </row>
    <row r="114" spans="1:15" x14ac:dyDescent="0.3">
      <c r="A114" t="s">
        <v>34</v>
      </c>
      <c r="B114" t="s">
        <v>43</v>
      </c>
      <c r="C114" t="s">
        <v>106</v>
      </c>
      <c r="D114" t="s">
        <v>120</v>
      </c>
      <c r="E114" t="s">
        <v>141</v>
      </c>
      <c r="F114">
        <v>1</v>
      </c>
      <c r="G114">
        <v>0</v>
      </c>
      <c r="H114" s="4"/>
      <c r="I114" s="4">
        <v>7.6920000000000002</v>
      </c>
      <c r="J114" s="4">
        <v>35.066000000000003</v>
      </c>
      <c r="K114" s="4">
        <v>80</v>
      </c>
      <c r="L114" s="4">
        <v>100</v>
      </c>
      <c r="M114">
        <f>47.7+5.5</f>
        <v>53.2</v>
      </c>
      <c r="N114">
        <f t="shared" si="4"/>
        <v>28.900000000000006</v>
      </c>
      <c r="O114">
        <f>5.3+12.6</f>
        <v>17.899999999999999</v>
      </c>
    </row>
    <row r="115" spans="1:15" x14ac:dyDescent="0.3">
      <c r="A115" t="s">
        <v>34</v>
      </c>
      <c r="B115" t="s">
        <v>43</v>
      </c>
      <c r="C115" t="s">
        <v>107</v>
      </c>
      <c r="D115" t="s">
        <v>120</v>
      </c>
      <c r="E115" t="s">
        <v>141</v>
      </c>
      <c r="F115">
        <v>1</v>
      </c>
      <c r="G115">
        <v>0</v>
      </c>
      <c r="H115" s="4"/>
      <c r="I115" s="4"/>
      <c r="J115" s="4">
        <v>29.39</v>
      </c>
      <c r="K115" s="4">
        <v>69.7</v>
      </c>
      <c r="L115" s="4">
        <v>100</v>
      </c>
      <c r="M115">
        <f>53+6.5</f>
        <v>59.5</v>
      </c>
      <c r="N115">
        <f t="shared" si="4"/>
        <v>26.200000000000003</v>
      </c>
      <c r="O115">
        <f>4.5+9.8</f>
        <v>14.3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40D8-99D0-4C2E-9C67-AE1764836EA4}">
  <dimension ref="A1:I39"/>
  <sheetViews>
    <sheetView workbookViewId="0">
      <selection activeCell="J12" sqref="J12"/>
    </sheetView>
  </sheetViews>
  <sheetFormatPr defaultRowHeight="14.4" x14ac:dyDescent="0.3"/>
  <cols>
    <col min="1" max="1" width="17.33203125" bestFit="1" customWidth="1"/>
    <col min="2" max="2" width="10.44140625" bestFit="1" customWidth="1"/>
    <col min="3" max="3" width="16.5546875" bestFit="1" customWidth="1"/>
    <col min="4" max="4" width="16" bestFit="1" customWidth="1"/>
    <col min="5" max="5" width="16.5546875" bestFit="1" customWidth="1"/>
    <col min="8" max="8" width="14.6640625" bestFit="1" customWidth="1"/>
  </cols>
  <sheetData>
    <row r="1" spans="1:9" x14ac:dyDescent="0.3">
      <c r="A1" s="2" t="s">
        <v>145</v>
      </c>
      <c r="B1" s="2" t="s">
        <v>113</v>
      </c>
      <c r="C1" s="2" t="s">
        <v>162</v>
      </c>
      <c r="D1" s="2" t="s">
        <v>239</v>
      </c>
      <c r="E1" s="2" t="s">
        <v>240</v>
      </c>
      <c r="F1" s="2" t="s">
        <v>241</v>
      </c>
      <c r="G1" s="2" t="s">
        <v>242</v>
      </c>
      <c r="H1" s="2" t="s">
        <v>243</v>
      </c>
      <c r="I1" s="2" t="s">
        <v>244</v>
      </c>
    </row>
    <row r="2" spans="1:9" x14ac:dyDescent="0.3">
      <c r="A2" t="s">
        <v>135</v>
      </c>
      <c r="B2" t="s">
        <v>146</v>
      </c>
      <c r="C2">
        <v>1</v>
      </c>
      <c r="D2" s="4">
        <v>64.290000000000006</v>
      </c>
      <c r="E2" s="4">
        <v>56.22</v>
      </c>
      <c r="F2" s="4">
        <v>90</v>
      </c>
      <c r="G2" s="4">
        <v>78.599999999999994</v>
      </c>
      <c r="H2" s="4">
        <v>64.290000000000006</v>
      </c>
      <c r="I2" s="4">
        <v>54.73</v>
      </c>
    </row>
    <row r="3" spans="1:9" x14ac:dyDescent="0.3">
      <c r="A3" t="s">
        <v>136</v>
      </c>
      <c r="B3" t="s">
        <v>146</v>
      </c>
      <c r="C3">
        <v>1</v>
      </c>
      <c r="D3">
        <v>76.739999999999995</v>
      </c>
      <c r="E3">
        <v>62.9</v>
      </c>
      <c r="F3" s="4">
        <v>90.91</v>
      </c>
      <c r="G3" s="4">
        <v>82.32</v>
      </c>
      <c r="H3" s="4">
        <v>72.73</v>
      </c>
      <c r="I3" s="4">
        <v>60.01</v>
      </c>
    </row>
    <row r="4" spans="1:9" x14ac:dyDescent="0.3">
      <c r="A4" t="s">
        <v>137</v>
      </c>
      <c r="B4" t="s">
        <v>146</v>
      </c>
      <c r="C4">
        <v>1</v>
      </c>
      <c r="D4" s="4">
        <v>72.73</v>
      </c>
      <c r="E4" s="4">
        <v>61.39</v>
      </c>
      <c r="F4" s="4">
        <v>90.91</v>
      </c>
      <c r="G4" s="4">
        <v>81.06</v>
      </c>
      <c r="H4" s="4">
        <v>70</v>
      </c>
      <c r="I4" s="4">
        <v>58.13</v>
      </c>
    </row>
    <row r="5" spans="1:9" x14ac:dyDescent="0.3">
      <c r="A5" t="s">
        <v>138</v>
      </c>
      <c r="B5" t="s">
        <v>146</v>
      </c>
      <c r="C5">
        <v>1</v>
      </c>
      <c r="D5" s="4">
        <v>72.73</v>
      </c>
      <c r="E5" s="4">
        <v>61.09</v>
      </c>
      <c r="F5" s="4">
        <v>90.91</v>
      </c>
      <c r="G5" s="4">
        <v>81.010000000000005</v>
      </c>
      <c r="H5" s="4">
        <v>70</v>
      </c>
      <c r="I5" s="4">
        <v>57.83</v>
      </c>
    </row>
    <row r="6" spans="1:9" x14ac:dyDescent="0.3">
      <c r="A6" t="s">
        <v>121</v>
      </c>
      <c r="B6" t="s">
        <v>120</v>
      </c>
      <c r="C6">
        <v>1</v>
      </c>
      <c r="D6" s="4">
        <v>0</v>
      </c>
      <c r="E6" s="4">
        <v>21.64</v>
      </c>
      <c r="F6" s="4">
        <v>100</v>
      </c>
      <c r="G6" s="4">
        <v>93.2</v>
      </c>
      <c r="H6" s="4">
        <v>6.6669999999999998</v>
      </c>
      <c r="I6" s="4">
        <v>34.311</v>
      </c>
    </row>
    <row r="7" spans="1:9" x14ac:dyDescent="0.3">
      <c r="A7" t="s">
        <v>122</v>
      </c>
      <c r="B7" t="s">
        <v>120</v>
      </c>
      <c r="C7">
        <v>1</v>
      </c>
      <c r="D7" s="4">
        <v>0</v>
      </c>
      <c r="E7" s="4">
        <v>23.85</v>
      </c>
      <c r="F7" s="4">
        <v>100</v>
      </c>
      <c r="G7" s="4">
        <v>93.58</v>
      </c>
      <c r="H7" s="4">
        <v>3.7040000000000002</v>
      </c>
      <c r="I7" s="4">
        <v>32.93</v>
      </c>
    </row>
    <row r="8" spans="1:9" x14ac:dyDescent="0.3">
      <c r="A8" t="s">
        <v>154</v>
      </c>
      <c r="B8" t="s">
        <v>120</v>
      </c>
      <c r="C8">
        <v>2</v>
      </c>
      <c r="D8" s="4">
        <v>72.22</v>
      </c>
      <c r="E8" s="4">
        <v>56.4</v>
      </c>
      <c r="F8" s="4">
        <v>100</v>
      </c>
      <c r="G8" s="4">
        <v>95.15</v>
      </c>
      <c r="H8" s="4">
        <v>78.48</v>
      </c>
      <c r="I8" s="4">
        <v>61.71</v>
      </c>
    </row>
    <row r="9" spans="1:9" x14ac:dyDescent="0.3">
      <c r="A9" t="s">
        <v>155</v>
      </c>
      <c r="B9" t="s">
        <v>120</v>
      </c>
      <c r="C9">
        <v>2</v>
      </c>
      <c r="D9" s="4">
        <v>60</v>
      </c>
      <c r="E9" s="4">
        <v>49</v>
      </c>
      <c r="F9" s="4">
        <v>100</v>
      </c>
      <c r="G9" s="4">
        <v>95.28</v>
      </c>
      <c r="H9" s="4">
        <v>77.778000000000006</v>
      </c>
      <c r="I9" s="4">
        <v>58.012</v>
      </c>
    </row>
    <row r="10" spans="1:9" x14ac:dyDescent="0.3">
      <c r="A10" t="s">
        <v>123</v>
      </c>
      <c r="B10" t="s">
        <v>120</v>
      </c>
      <c r="C10">
        <v>1</v>
      </c>
      <c r="D10" s="4">
        <v>8.3330000000000002</v>
      </c>
      <c r="E10" s="4">
        <v>35.578000000000003</v>
      </c>
      <c r="F10" s="4">
        <v>100</v>
      </c>
      <c r="G10" s="4">
        <v>96.19</v>
      </c>
      <c r="H10" s="4">
        <v>18.18</v>
      </c>
      <c r="I10" s="4">
        <v>41.75</v>
      </c>
    </row>
    <row r="11" spans="1:9" x14ac:dyDescent="0.3">
      <c r="A11" t="s">
        <v>124</v>
      </c>
      <c r="B11" t="s">
        <v>120</v>
      </c>
      <c r="C11">
        <v>1</v>
      </c>
      <c r="D11" s="4">
        <v>6.6669999999999998</v>
      </c>
      <c r="E11" s="4">
        <v>34.811999999999998</v>
      </c>
      <c r="F11" s="4">
        <v>100</v>
      </c>
      <c r="G11" s="4">
        <v>96.59</v>
      </c>
      <c r="H11" s="4">
        <v>31.25</v>
      </c>
      <c r="I11" s="4">
        <v>44.37</v>
      </c>
    </row>
    <row r="12" spans="1:9" x14ac:dyDescent="0.3">
      <c r="A12" t="s">
        <v>152</v>
      </c>
      <c r="B12" t="s">
        <v>120</v>
      </c>
      <c r="C12">
        <v>2</v>
      </c>
      <c r="D12" s="4">
        <v>64.286000000000001</v>
      </c>
      <c r="E12" s="4">
        <v>50.545999999999999</v>
      </c>
      <c r="F12" s="4">
        <v>100</v>
      </c>
      <c r="G12" s="4">
        <v>95.21</v>
      </c>
      <c r="H12" s="4">
        <v>78.947000000000003</v>
      </c>
      <c r="I12" s="4">
        <v>58.55</v>
      </c>
    </row>
    <row r="13" spans="1:9" x14ac:dyDescent="0.3">
      <c r="A13" t="s">
        <v>153</v>
      </c>
      <c r="B13" t="s">
        <v>120</v>
      </c>
      <c r="C13">
        <v>2</v>
      </c>
      <c r="D13" s="4">
        <v>81.817999999999998</v>
      </c>
      <c r="E13" s="4">
        <v>60.88</v>
      </c>
      <c r="F13" s="4">
        <v>100</v>
      </c>
      <c r="G13" s="4">
        <v>96.42</v>
      </c>
      <c r="H13" s="4">
        <v>85.71</v>
      </c>
      <c r="I13" s="4">
        <v>66.64</v>
      </c>
    </row>
    <row r="14" spans="1:9" x14ac:dyDescent="0.3">
      <c r="A14" t="s">
        <v>125</v>
      </c>
      <c r="B14" t="s">
        <v>120</v>
      </c>
      <c r="C14">
        <v>1</v>
      </c>
      <c r="D14" s="4">
        <v>9.0909999999999993</v>
      </c>
      <c r="E14" s="4">
        <v>38.011000000000003</v>
      </c>
      <c r="F14" s="4">
        <v>100</v>
      </c>
      <c r="G14" s="4">
        <v>96.39</v>
      </c>
      <c r="H14" s="4">
        <v>46.15</v>
      </c>
      <c r="I14" s="4">
        <v>46.72</v>
      </c>
    </row>
    <row r="15" spans="1:9" x14ac:dyDescent="0.3">
      <c r="A15" t="s">
        <v>126</v>
      </c>
      <c r="B15" t="s">
        <v>120</v>
      </c>
      <c r="C15">
        <v>1</v>
      </c>
      <c r="D15" s="4">
        <v>0</v>
      </c>
      <c r="E15" s="4">
        <v>28.61</v>
      </c>
      <c r="F15" s="4">
        <v>100</v>
      </c>
      <c r="G15" s="4">
        <v>94.66</v>
      </c>
      <c r="H15" s="4">
        <v>12.5</v>
      </c>
      <c r="I15" s="4">
        <v>39.83</v>
      </c>
    </row>
    <row r="16" spans="1:9" x14ac:dyDescent="0.3">
      <c r="A16" t="s">
        <v>151</v>
      </c>
      <c r="B16" t="s">
        <v>120</v>
      </c>
      <c r="C16">
        <v>2</v>
      </c>
      <c r="D16" s="4">
        <v>60</v>
      </c>
      <c r="E16" s="4">
        <v>49.19</v>
      </c>
      <c r="F16" s="4">
        <v>100</v>
      </c>
      <c r="G16" s="4">
        <v>94.96</v>
      </c>
      <c r="H16" s="4">
        <v>77.5</v>
      </c>
      <c r="I16" s="4">
        <v>57.484000000000002</v>
      </c>
    </row>
    <row r="17" spans="1:9" x14ac:dyDescent="0.3">
      <c r="A17" t="s">
        <v>150</v>
      </c>
      <c r="B17" t="s">
        <v>120</v>
      </c>
      <c r="C17">
        <v>2</v>
      </c>
      <c r="D17" s="4">
        <v>9.0909999999999993</v>
      </c>
      <c r="E17" s="4">
        <v>38.576999999999998</v>
      </c>
      <c r="F17" s="4">
        <v>100</v>
      </c>
      <c r="G17" s="4">
        <v>94.66</v>
      </c>
      <c r="H17" s="4">
        <v>65.52</v>
      </c>
      <c r="I17" s="4">
        <v>50.83</v>
      </c>
    </row>
    <row r="18" spans="1:9" x14ac:dyDescent="0.3">
      <c r="A18" t="s">
        <v>127</v>
      </c>
      <c r="B18" t="s">
        <v>120</v>
      </c>
      <c r="C18">
        <v>1</v>
      </c>
      <c r="D18" s="4">
        <v>0</v>
      </c>
      <c r="E18" s="4">
        <v>23.24</v>
      </c>
      <c r="F18" s="4">
        <v>100</v>
      </c>
      <c r="G18" s="4">
        <v>90.89</v>
      </c>
      <c r="H18" s="4">
        <v>0</v>
      </c>
      <c r="I18" s="4">
        <v>29.03</v>
      </c>
    </row>
    <row r="19" spans="1:9" x14ac:dyDescent="0.3">
      <c r="A19" t="s">
        <v>128</v>
      </c>
      <c r="B19" t="s">
        <v>120</v>
      </c>
      <c r="C19">
        <v>1</v>
      </c>
      <c r="D19" s="4">
        <v>0</v>
      </c>
      <c r="E19" s="4">
        <v>26.11</v>
      </c>
      <c r="F19" s="4">
        <v>100</v>
      </c>
      <c r="G19" s="4">
        <v>90.56</v>
      </c>
      <c r="H19" s="4">
        <v>5.7140000000000004</v>
      </c>
      <c r="I19" s="4">
        <v>32.743000000000002</v>
      </c>
    </row>
    <row r="20" spans="1:9" x14ac:dyDescent="0.3">
      <c r="A20" t="s">
        <v>129</v>
      </c>
      <c r="B20" t="s">
        <v>120</v>
      </c>
      <c r="C20">
        <v>1</v>
      </c>
      <c r="D20" s="4">
        <v>0</v>
      </c>
      <c r="E20" s="4">
        <v>20.309999999999999</v>
      </c>
      <c r="F20" s="4">
        <v>100</v>
      </c>
      <c r="G20" s="4">
        <v>90.92</v>
      </c>
      <c r="H20" s="4">
        <v>0</v>
      </c>
      <c r="I20" s="4">
        <v>29.19</v>
      </c>
    </row>
    <row r="21" spans="1:9" x14ac:dyDescent="0.3">
      <c r="A21" t="s">
        <v>130</v>
      </c>
      <c r="B21" t="s">
        <v>120</v>
      </c>
      <c r="C21">
        <v>1</v>
      </c>
      <c r="D21" s="4">
        <v>0</v>
      </c>
      <c r="E21" s="4">
        <v>26.02</v>
      </c>
      <c r="F21" s="4">
        <v>100</v>
      </c>
      <c r="G21" s="4">
        <v>92.45</v>
      </c>
      <c r="H21" s="4">
        <v>4.3479999999999999</v>
      </c>
      <c r="I21" s="4">
        <v>32.954999999999998</v>
      </c>
    </row>
    <row r="22" spans="1:9" x14ac:dyDescent="0.3">
      <c r="A22" t="s">
        <v>131</v>
      </c>
      <c r="B22" t="s">
        <v>120</v>
      </c>
      <c r="C22">
        <v>1</v>
      </c>
      <c r="D22" s="4">
        <v>0</v>
      </c>
      <c r="E22" s="4">
        <v>31.66</v>
      </c>
      <c r="F22" s="4">
        <v>100</v>
      </c>
      <c r="G22" s="4">
        <v>93.68</v>
      </c>
      <c r="H22" s="4">
        <v>8.3330000000000002</v>
      </c>
      <c r="I22" s="4">
        <v>36.65</v>
      </c>
    </row>
    <row r="23" spans="1:9" x14ac:dyDescent="0.3">
      <c r="A23" t="s">
        <v>132</v>
      </c>
      <c r="B23" t="s">
        <v>120</v>
      </c>
      <c r="C23">
        <v>1</v>
      </c>
      <c r="D23" s="4">
        <v>12.5</v>
      </c>
      <c r="E23" s="4">
        <v>39.22</v>
      </c>
      <c r="F23" s="4">
        <v>100</v>
      </c>
      <c r="G23" s="4">
        <v>94.47</v>
      </c>
      <c r="H23" s="4">
        <v>18.18</v>
      </c>
      <c r="I23" s="4">
        <v>40.24</v>
      </c>
    </row>
    <row r="24" spans="1:9" x14ac:dyDescent="0.3">
      <c r="A24" t="s">
        <v>133</v>
      </c>
      <c r="B24" t="s">
        <v>120</v>
      </c>
      <c r="C24">
        <v>1</v>
      </c>
      <c r="D24" s="4">
        <v>0</v>
      </c>
      <c r="E24" s="4">
        <v>27.2</v>
      </c>
      <c r="F24" s="4">
        <v>100</v>
      </c>
      <c r="G24" s="4">
        <v>92.12</v>
      </c>
      <c r="H24" s="4">
        <v>8.3330000000000002</v>
      </c>
      <c r="I24" s="4">
        <v>36.17</v>
      </c>
    </row>
    <row r="25" spans="1:9" x14ac:dyDescent="0.3">
      <c r="A25" t="s">
        <v>134</v>
      </c>
      <c r="B25" t="s">
        <v>120</v>
      </c>
      <c r="C25">
        <v>1</v>
      </c>
      <c r="D25" s="4">
        <v>0</v>
      </c>
      <c r="E25" s="4">
        <v>24.95</v>
      </c>
      <c r="F25" s="4">
        <v>100</v>
      </c>
      <c r="G25" s="4">
        <v>91.17</v>
      </c>
      <c r="H25" s="4">
        <v>0</v>
      </c>
      <c r="I25" s="4">
        <v>29.33</v>
      </c>
    </row>
    <row r="26" spans="1:9" x14ac:dyDescent="0.3">
      <c r="A26" t="s">
        <v>156</v>
      </c>
      <c r="B26" t="s">
        <v>120</v>
      </c>
      <c r="C26">
        <v>2</v>
      </c>
      <c r="D26" s="4">
        <v>81.817999999999998</v>
      </c>
      <c r="E26" s="4">
        <v>61.381</v>
      </c>
      <c r="F26" s="4">
        <v>100</v>
      </c>
      <c r="G26" s="4">
        <v>97.02</v>
      </c>
      <c r="H26" s="4">
        <v>85.71</v>
      </c>
      <c r="I26" s="4">
        <v>67.150000000000006</v>
      </c>
    </row>
    <row r="27" spans="1:9" x14ac:dyDescent="0.3">
      <c r="A27" t="s">
        <v>157</v>
      </c>
      <c r="B27" t="s">
        <v>120</v>
      </c>
      <c r="C27">
        <v>2</v>
      </c>
      <c r="D27" s="4">
        <v>69.23</v>
      </c>
      <c r="E27" s="4">
        <v>51.81</v>
      </c>
      <c r="F27" s="4">
        <v>100</v>
      </c>
      <c r="G27" s="4">
        <v>95.87</v>
      </c>
      <c r="H27" s="4">
        <v>80</v>
      </c>
      <c r="I27" s="4">
        <v>61.088999999999999</v>
      </c>
    </row>
    <row r="28" spans="1:9" x14ac:dyDescent="0.3">
      <c r="A28" t="s">
        <v>158</v>
      </c>
      <c r="B28" t="s">
        <v>120</v>
      </c>
      <c r="C28">
        <v>2</v>
      </c>
      <c r="D28" s="4">
        <v>63.64</v>
      </c>
      <c r="E28" s="4">
        <v>49.71</v>
      </c>
      <c r="F28" s="4">
        <v>100</v>
      </c>
      <c r="G28" s="4">
        <v>95.45</v>
      </c>
      <c r="H28" s="4">
        <v>80</v>
      </c>
      <c r="I28" s="4">
        <v>59.106000000000002</v>
      </c>
    </row>
    <row r="29" spans="1:9" x14ac:dyDescent="0.3">
      <c r="A29" t="s">
        <v>161</v>
      </c>
      <c r="B29" t="s">
        <v>120</v>
      </c>
      <c r="C29">
        <v>2</v>
      </c>
      <c r="D29" s="4">
        <v>63.636000000000003</v>
      </c>
      <c r="E29" s="4">
        <v>50.454000000000001</v>
      </c>
      <c r="F29" s="4">
        <v>100</v>
      </c>
      <c r="G29" s="4">
        <v>94.94</v>
      </c>
      <c r="H29" s="4">
        <v>73.332999999999998</v>
      </c>
      <c r="I29" s="4">
        <v>57.655999999999999</v>
      </c>
    </row>
    <row r="30" spans="1:9" x14ac:dyDescent="0.3">
      <c r="A30" t="s">
        <v>159</v>
      </c>
      <c r="B30" t="s">
        <v>120</v>
      </c>
      <c r="C30">
        <v>2</v>
      </c>
      <c r="D30" s="4">
        <v>70</v>
      </c>
      <c r="E30" s="4">
        <v>52.64</v>
      </c>
      <c r="F30" s="4">
        <v>100</v>
      </c>
      <c r="G30" s="4">
        <v>95.74</v>
      </c>
      <c r="H30" s="4">
        <v>80.488</v>
      </c>
      <c r="I30" s="4">
        <v>60.207000000000001</v>
      </c>
    </row>
    <row r="31" spans="1:9" x14ac:dyDescent="0.3">
      <c r="A31" t="s">
        <v>160</v>
      </c>
      <c r="B31" t="s">
        <v>120</v>
      </c>
      <c r="C31">
        <v>2</v>
      </c>
      <c r="D31" s="4">
        <v>64.709999999999994</v>
      </c>
      <c r="E31" s="4">
        <v>50.35</v>
      </c>
      <c r="F31" s="4">
        <v>100</v>
      </c>
      <c r="G31" s="4">
        <v>95.15</v>
      </c>
      <c r="H31" s="4">
        <v>76.92</v>
      </c>
      <c r="I31" s="4">
        <v>58.76</v>
      </c>
    </row>
    <row r="32" spans="1:9" x14ac:dyDescent="0.3">
      <c r="A32" t="s">
        <v>98</v>
      </c>
      <c r="B32" t="s">
        <v>120</v>
      </c>
      <c r="C32">
        <v>1</v>
      </c>
      <c r="D32" s="4">
        <v>0</v>
      </c>
      <c r="E32" s="4">
        <v>21.36</v>
      </c>
      <c r="F32" s="4">
        <v>100</v>
      </c>
      <c r="G32" s="4">
        <v>91.56</v>
      </c>
      <c r="H32" s="4">
        <v>3.8460000000000001</v>
      </c>
      <c r="I32" s="4">
        <v>30.934999999999999</v>
      </c>
    </row>
    <row r="33" spans="1:9" x14ac:dyDescent="0.3">
      <c r="A33" t="s">
        <v>101</v>
      </c>
      <c r="B33" t="s">
        <v>120</v>
      </c>
      <c r="C33">
        <v>1</v>
      </c>
      <c r="D33" s="4">
        <v>6.6669999999999998</v>
      </c>
      <c r="E33" s="4">
        <v>31.251999999999999</v>
      </c>
      <c r="F33" s="4">
        <v>100</v>
      </c>
      <c r="G33" s="4">
        <v>92.91</v>
      </c>
      <c r="H33" s="4">
        <v>0</v>
      </c>
      <c r="I33" s="4">
        <v>31.05</v>
      </c>
    </row>
    <row r="34" spans="1:9" x14ac:dyDescent="0.3">
      <c r="A34" t="s">
        <v>102</v>
      </c>
      <c r="B34" t="s">
        <v>120</v>
      </c>
      <c r="C34">
        <v>1</v>
      </c>
      <c r="D34" s="4">
        <v>0</v>
      </c>
      <c r="E34" s="4">
        <v>29.21</v>
      </c>
      <c r="F34" s="4">
        <v>100</v>
      </c>
      <c r="G34" s="4">
        <v>93.46</v>
      </c>
      <c r="H34" s="4">
        <v>11.11</v>
      </c>
      <c r="I34" s="4">
        <v>37.340000000000003</v>
      </c>
    </row>
    <row r="35" spans="1:9" x14ac:dyDescent="0.3">
      <c r="A35" t="s">
        <v>103</v>
      </c>
      <c r="B35" t="s">
        <v>120</v>
      </c>
      <c r="C35">
        <v>1</v>
      </c>
      <c r="D35" s="4">
        <v>0</v>
      </c>
      <c r="E35" s="4">
        <v>19.82</v>
      </c>
      <c r="F35" s="4">
        <v>100</v>
      </c>
      <c r="G35" s="4">
        <v>91.31</v>
      </c>
      <c r="H35" s="4">
        <v>4.1669999999999998</v>
      </c>
      <c r="I35" s="4">
        <v>31.484000000000002</v>
      </c>
    </row>
    <row r="36" spans="1:9" x14ac:dyDescent="0.3">
      <c r="A36" t="s">
        <v>104</v>
      </c>
      <c r="B36" t="s">
        <v>120</v>
      </c>
      <c r="C36">
        <v>1</v>
      </c>
      <c r="D36" s="4">
        <v>14.29</v>
      </c>
      <c r="E36" s="4">
        <v>39.11</v>
      </c>
      <c r="F36" s="4">
        <v>100</v>
      </c>
      <c r="G36" s="4">
        <v>95.01</v>
      </c>
      <c r="H36" s="4">
        <v>13.33</v>
      </c>
      <c r="I36" s="4">
        <v>38</v>
      </c>
    </row>
    <row r="37" spans="1:9" x14ac:dyDescent="0.3">
      <c r="A37" t="s">
        <v>105</v>
      </c>
      <c r="B37" t="s">
        <v>120</v>
      </c>
      <c r="C37">
        <v>1</v>
      </c>
      <c r="D37" s="4">
        <v>62.5</v>
      </c>
      <c r="E37" s="4">
        <v>50.97</v>
      </c>
      <c r="F37" s="4">
        <v>100</v>
      </c>
      <c r="G37" s="4">
        <v>95.87</v>
      </c>
      <c r="H37" s="4">
        <v>41.67</v>
      </c>
      <c r="I37" s="4">
        <v>44.12</v>
      </c>
    </row>
    <row r="38" spans="1:9" x14ac:dyDescent="0.3">
      <c r="A38" t="s">
        <v>106</v>
      </c>
      <c r="B38" t="s">
        <v>120</v>
      </c>
      <c r="C38">
        <v>1</v>
      </c>
      <c r="D38" s="4">
        <v>5.8819999999999997</v>
      </c>
      <c r="E38" s="4">
        <v>32.042000000000002</v>
      </c>
      <c r="F38" s="4">
        <v>100</v>
      </c>
      <c r="G38" s="4">
        <v>93.78</v>
      </c>
      <c r="H38" s="4">
        <v>7.6920000000000002</v>
      </c>
      <c r="I38" s="4">
        <v>35.066000000000003</v>
      </c>
    </row>
    <row r="39" spans="1:9" x14ac:dyDescent="0.3">
      <c r="A39" t="s">
        <v>107</v>
      </c>
      <c r="B39" t="s">
        <v>120</v>
      </c>
      <c r="C39">
        <v>1</v>
      </c>
      <c r="D39" s="4">
        <v>0</v>
      </c>
      <c r="E39" s="4">
        <v>22.91</v>
      </c>
      <c r="F39" s="4">
        <v>100</v>
      </c>
      <c r="G39" s="4">
        <v>92.28</v>
      </c>
      <c r="H39" s="4">
        <v>0</v>
      </c>
      <c r="I39" s="4">
        <v>29.39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F53C-65D4-4517-BFFB-A9D90E3E4202}">
  <dimension ref="A1:K51"/>
  <sheetViews>
    <sheetView workbookViewId="0">
      <selection activeCell="J29" sqref="J29"/>
    </sheetView>
  </sheetViews>
  <sheetFormatPr defaultRowHeight="14.4" x14ac:dyDescent="0.3"/>
  <cols>
    <col min="1" max="1" width="16.77734375" bestFit="1" customWidth="1"/>
    <col min="2" max="3" width="22.44140625" bestFit="1" customWidth="1"/>
    <col min="4" max="4" width="9.6640625" bestFit="1" customWidth="1"/>
  </cols>
  <sheetData>
    <row r="1" spans="1:11" x14ac:dyDescent="0.3">
      <c r="A1" t="s">
        <v>147</v>
      </c>
      <c r="B1" t="s">
        <v>148</v>
      </c>
      <c r="C1" t="s">
        <v>149</v>
      </c>
    </row>
    <row r="2" spans="1:11" x14ac:dyDescent="0.3">
      <c r="A2" t="s">
        <v>143</v>
      </c>
      <c r="B2">
        <v>51.726077272727302</v>
      </c>
      <c r="C2">
        <v>3.0076237992857916E-2</v>
      </c>
    </row>
    <row r="3" spans="1:11" x14ac:dyDescent="0.3">
      <c r="A3" t="s">
        <v>142</v>
      </c>
      <c r="B3">
        <v>99.340645454545495</v>
      </c>
      <c r="C3">
        <v>8.636808673883169E-4</v>
      </c>
    </row>
    <row r="4" spans="1:11" x14ac:dyDescent="0.3">
      <c r="A4" t="s">
        <v>141</v>
      </c>
      <c r="B4">
        <v>54.414285714285697</v>
      </c>
      <c r="C4">
        <v>4.5634729882279033E-2</v>
      </c>
    </row>
    <row r="7" spans="1:11" x14ac:dyDescent="0.3">
      <c r="B7" t="s">
        <v>163</v>
      </c>
      <c r="C7" t="s">
        <v>164</v>
      </c>
      <c r="D7" s="5"/>
      <c r="E7" s="5"/>
      <c r="F7" s="5"/>
      <c r="G7" s="5"/>
      <c r="H7" s="5"/>
      <c r="I7" s="5"/>
      <c r="J7" s="5"/>
      <c r="K7" s="5"/>
    </row>
    <row r="8" spans="1:11" x14ac:dyDescent="0.3">
      <c r="A8" t="s">
        <v>165</v>
      </c>
      <c r="B8" t="s">
        <v>169</v>
      </c>
      <c r="C8" t="s">
        <v>173</v>
      </c>
      <c r="D8" s="5"/>
      <c r="E8" s="5"/>
      <c r="F8" s="5"/>
      <c r="G8" s="5"/>
      <c r="H8" s="5"/>
      <c r="I8" s="5"/>
      <c r="J8" s="5"/>
      <c r="K8" s="5"/>
    </row>
    <row r="9" spans="1:11" x14ac:dyDescent="0.3">
      <c r="A9" t="s">
        <v>166</v>
      </c>
      <c r="B9" t="s">
        <v>170</v>
      </c>
      <c r="C9" t="s">
        <v>175</v>
      </c>
      <c r="D9" s="5"/>
      <c r="E9" s="5"/>
      <c r="F9" s="5"/>
      <c r="G9" s="5"/>
      <c r="H9" s="5"/>
      <c r="I9" s="5"/>
      <c r="J9" s="5"/>
      <c r="K9" s="5"/>
    </row>
    <row r="10" spans="1:11" x14ac:dyDescent="0.3">
      <c r="A10" t="s">
        <v>167</v>
      </c>
      <c r="B10" t="s">
        <v>171</v>
      </c>
      <c r="C10" t="s">
        <v>174</v>
      </c>
      <c r="D10" s="5"/>
      <c r="E10" s="5"/>
      <c r="F10" s="5"/>
      <c r="G10" s="5"/>
      <c r="H10" s="5"/>
      <c r="I10" s="5"/>
      <c r="J10" s="5"/>
      <c r="K10" s="5"/>
    </row>
    <row r="11" spans="1:11" x14ac:dyDescent="0.3">
      <c r="A11" t="s">
        <v>168</v>
      </c>
      <c r="B11" t="s">
        <v>172</v>
      </c>
      <c r="C11" t="s">
        <v>176</v>
      </c>
      <c r="D11" s="5"/>
      <c r="E11" s="5"/>
      <c r="F11" s="5"/>
      <c r="G11" s="5"/>
      <c r="H11" s="5"/>
      <c r="I11" s="5"/>
      <c r="J11" s="5"/>
      <c r="K11" s="5"/>
    </row>
    <row r="12" spans="1:1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4" spans="1:11" x14ac:dyDescent="0.3">
      <c r="B14" s="2" t="s">
        <v>100</v>
      </c>
      <c r="E14" s="2" t="s">
        <v>233</v>
      </c>
    </row>
    <row r="15" spans="1:11" x14ac:dyDescent="0.3">
      <c r="A15" t="s">
        <v>232</v>
      </c>
      <c r="B15">
        <v>37</v>
      </c>
      <c r="D15" t="s">
        <v>232</v>
      </c>
      <c r="E15">
        <v>275</v>
      </c>
    </row>
    <row r="16" spans="1:11" x14ac:dyDescent="0.3">
      <c r="A16" t="s">
        <v>232</v>
      </c>
      <c r="B16">
        <v>38</v>
      </c>
      <c r="D16" t="s">
        <v>232</v>
      </c>
      <c r="E16">
        <v>231</v>
      </c>
    </row>
    <row r="17" spans="1:5" x14ac:dyDescent="0.3">
      <c r="A17" t="s">
        <v>232</v>
      </c>
      <c r="B17">
        <v>36</v>
      </c>
      <c r="D17" t="s">
        <v>232</v>
      </c>
      <c r="E17">
        <v>238</v>
      </c>
    </row>
    <row r="18" spans="1:5" x14ac:dyDescent="0.3">
      <c r="A18" t="s">
        <v>232</v>
      </c>
      <c r="B18">
        <v>37</v>
      </c>
      <c r="D18" t="s">
        <v>232</v>
      </c>
      <c r="E18">
        <v>225</v>
      </c>
    </row>
    <row r="19" spans="1:5" x14ac:dyDescent="0.3">
      <c r="A19" t="s">
        <v>232</v>
      </c>
      <c r="B19">
        <v>36</v>
      </c>
      <c r="D19" s="2" t="s">
        <v>117</v>
      </c>
      <c r="E19">
        <f>AVERAGE(E15:E18)</f>
        <v>242.25</v>
      </c>
    </row>
    <row r="20" spans="1:5" x14ac:dyDescent="0.3">
      <c r="A20" t="s">
        <v>232</v>
      </c>
      <c r="B20">
        <v>39</v>
      </c>
      <c r="D20" s="2" t="s">
        <v>236</v>
      </c>
      <c r="E20">
        <f>_xlfn.STDEV.S(E15:E18)</f>
        <v>22.47035083541569</v>
      </c>
    </row>
    <row r="21" spans="1:5" x14ac:dyDescent="0.3">
      <c r="A21" t="s">
        <v>232</v>
      </c>
      <c r="B21">
        <v>41</v>
      </c>
      <c r="D21" s="2" t="s">
        <v>237</v>
      </c>
      <c r="E21">
        <f>(_xlfn.STDEV.S(E15:E18))/(SQRT(4))</f>
        <v>11.235175417707845</v>
      </c>
    </row>
    <row r="22" spans="1:5" x14ac:dyDescent="0.3">
      <c r="A22" t="s">
        <v>232</v>
      </c>
      <c r="B22">
        <v>42</v>
      </c>
    </row>
    <row r="23" spans="1:5" x14ac:dyDescent="0.3">
      <c r="A23" t="s">
        <v>232</v>
      </c>
      <c r="B23">
        <v>40</v>
      </c>
    </row>
    <row r="24" spans="1:5" x14ac:dyDescent="0.3">
      <c r="A24" t="s">
        <v>232</v>
      </c>
      <c r="B24">
        <v>40</v>
      </c>
    </row>
    <row r="25" spans="1:5" x14ac:dyDescent="0.3">
      <c r="A25" t="s">
        <v>232</v>
      </c>
      <c r="B25">
        <v>40</v>
      </c>
    </row>
    <row r="26" spans="1:5" x14ac:dyDescent="0.3">
      <c r="A26" t="s">
        <v>232</v>
      </c>
      <c r="B26">
        <v>40</v>
      </c>
    </row>
    <row r="27" spans="1:5" x14ac:dyDescent="0.3">
      <c r="A27" t="s">
        <v>232</v>
      </c>
      <c r="B27">
        <v>40</v>
      </c>
    </row>
    <row r="28" spans="1:5" x14ac:dyDescent="0.3">
      <c r="A28" t="s">
        <v>232</v>
      </c>
      <c r="B28">
        <v>41</v>
      </c>
    </row>
    <row r="29" spans="1:5" x14ac:dyDescent="0.3">
      <c r="A29" t="s">
        <v>232</v>
      </c>
      <c r="B29">
        <v>40</v>
      </c>
    </row>
    <row r="30" spans="1:5" x14ac:dyDescent="0.3">
      <c r="A30" t="s">
        <v>232</v>
      </c>
      <c r="B30">
        <v>41</v>
      </c>
    </row>
    <row r="31" spans="1:5" x14ac:dyDescent="0.3">
      <c r="A31" t="s">
        <v>232</v>
      </c>
      <c r="B31">
        <v>41</v>
      </c>
    </row>
    <row r="32" spans="1:5" x14ac:dyDescent="0.3">
      <c r="A32" t="s">
        <v>232</v>
      </c>
      <c r="B32">
        <v>38</v>
      </c>
    </row>
    <row r="33" spans="1:2" x14ac:dyDescent="0.3">
      <c r="A33" t="s">
        <v>232</v>
      </c>
      <c r="B33">
        <v>39</v>
      </c>
    </row>
    <row r="34" spans="1:2" x14ac:dyDescent="0.3">
      <c r="A34" t="s">
        <v>232</v>
      </c>
      <c r="B34">
        <v>41</v>
      </c>
    </row>
    <row r="35" spans="1:2" x14ac:dyDescent="0.3">
      <c r="A35" t="s">
        <v>232</v>
      </c>
      <c r="B35">
        <v>40</v>
      </c>
    </row>
    <row r="36" spans="1:2" x14ac:dyDescent="0.3">
      <c r="A36" t="s">
        <v>232</v>
      </c>
      <c r="B36">
        <v>41</v>
      </c>
    </row>
    <row r="37" spans="1:2" x14ac:dyDescent="0.3">
      <c r="A37" t="s">
        <v>232</v>
      </c>
      <c r="B37">
        <v>37</v>
      </c>
    </row>
    <row r="38" spans="1:2" x14ac:dyDescent="0.3">
      <c r="A38" t="s">
        <v>232</v>
      </c>
      <c r="B38">
        <v>36</v>
      </c>
    </row>
    <row r="39" spans="1:2" x14ac:dyDescent="0.3">
      <c r="A39" t="s">
        <v>232</v>
      </c>
      <c r="B39">
        <v>34</v>
      </c>
    </row>
    <row r="40" spans="1:2" x14ac:dyDescent="0.3">
      <c r="A40" t="s">
        <v>232</v>
      </c>
      <c r="B40">
        <v>35</v>
      </c>
    </row>
    <row r="41" spans="1:2" x14ac:dyDescent="0.3">
      <c r="A41" t="s">
        <v>232</v>
      </c>
      <c r="B41">
        <v>36</v>
      </c>
    </row>
    <row r="42" spans="1:2" x14ac:dyDescent="0.3">
      <c r="A42" t="s">
        <v>232</v>
      </c>
      <c r="B42">
        <v>35</v>
      </c>
    </row>
    <row r="43" spans="1:2" x14ac:dyDescent="0.3">
      <c r="A43" t="s">
        <v>232</v>
      </c>
      <c r="B43">
        <v>34</v>
      </c>
    </row>
    <row r="44" spans="1:2" x14ac:dyDescent="0.3">
      <c r="A44" t="s">
        <v>232</v>
      </c>
      <c r="B44">
        <v>35</v>
      </c>
    </row>
    <row r="45" spans="1:2" x14ac:dyDescent="0.3">
      <c r="A45" t="s">
        <v>232</v>
      </c>
      <c r="B45">
        <v>35</v>
      </c>
    </row>
    <row r="46" spans="1:2" x14ac:dyDescent="0.3">
      <c r="A46" t="s">
        <v>232</v>
      </c>
      <c r="B46">
        <v>37</v>
      </c>
    </row>
    <row r="47" spans="1:2" x14ac:dyDescent="0.3">
      <c r="A47" t="s">
        <v>232</v>
      </c>
      <c r="B47">
        <v>36</v>
      </c>
    </row>
    <row r="48" spans="1:2" x14ac:dyDescent="0.3">
      <c r="A48" t="s">
        <v>232</v>
      </c>
      <c r="B48">
        <v>36</v>
      </c>
    </row>
    <row r="49" spans="1:2" x14ac:dyDescent="0.3">
      <c r="A49" s="2" t="s">
        <v>117</v>
      </c>
      <c r="B49">
        <f>AVERAGE(B15:B48)</f>
        <v>38.058823529411768</v>
      </c>
    </row>
    <row r="50" spans="1:2" x14ac:dyDescent="0.3">
      <c r="A50" s="2" t="s">
        <v>234</v>
      </c>
      <c r="B50">
        <f>_xlfn.STDEV.S(B15:B48)</f>
        <v>2.4363556548676031</v>
      </c>
    </row>
    <row r="51" spans="1:2" x14ac:dyDescent="0.3">
      <c r="A51" s="2" t="s">
        <v>235</v>
      </c>
      <c r="B51">
        <f>(_xlfn.STDEV.S(B15:B48))/(SQRT(34))</f>
        <v>0.41783154771374448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7A3FC-8773-4071-BD1A-874A4DA397DB}">
  <dimension ref="A1:L35"/>
  <sheetViews>
    <sheetView workbookViewId="0">
      <selection activeCell="L19" sqref="L19"/>
    </sheetView>
  </sheetViews>
  <sheetFormatPr defaultRowHeight="14.4" x14ac:dyDescent="0.3"/>
  <cols>
    <col min="1" max="1" width="16.5546875" bestFit="1" customWidth="1"/>
    <col min="2" max="2" width="14.44140625" bestFit="1" customWidth="1"/>
    <col min="3" max="3" width="10.21875" bestFit="1" customWidth="1"/>
    <col min="4" max="4" width="16.44140625" bestFit="1" customWidth="1"/>
    <col min="6" max="6" width="10.21875" bestFit="1" customWidth="1"/>
    <col min="7" max="7" width="13.21875" bestFit="1" customWidth="1"/>
    <col min="8" max="8" width="14.6640625" bestFit="1" customWidth="1"/>
  </cols>
  <sheetData>
    <row r="1" spans="1:8" x14ac:dyDescent="0.3">
      <c r="A1" s="2" t="s">
        <v>87</v>
      </c>
      <c r="B1" s="2" t="s">
        <v>0</v>
      </c>
      <c r="C1" s="2" t="s">
        <v>1</v>
      </c>
      <c r="D1" s="2" t="s">
        <v>2</v>
      </c>
      <c r="E1" s="2" t="s">
        <v>162</v>
      </c>
      <c r="F1" s="2" t="s">
        <v>65</v>
      </c>
      <c r="G1" s="2" t="s">
        <v>66</v>
      </c>
      <c r="H1" s="2" t="s">
        <v>67</v>
      </c>
    </row>
    <row r="2" spans="1:8" x14ac:dyDescent="0.3">
      <c r="A2" s="5" t="s">
        <v>141</v>
      </c>
      <c r="B2" s="5" t="s">
        <v>139</v>
      </c>
      <c r="C2" s="5" t="s">
        <v>10</v>
      </c>
      <c r="D2" s="5" t="s">
        <v>75</v>
      </c>
      <c r="E2" s="5">
        <v>1</v>
      </c>
      <c r="F2" s="5">
        <v>5520701</v>
      </c>
      <c r="G2" s="5">
        <v>1609932</v>
      </c>
      <c r="H2" s="6">
        <v>0.29199999999999998</v>
      </c>
    </row>
    <row r="3" spans="1:8" x14ac:dyDescent="0.3">
      <c r="A3" s="5" t="s">
        <v>141</v>
      </c>
      <c r="B3" s="5" t="s">
        <v>139</v>
      </c>
      <c r="C3" s="5" t="s">
        <v>10</v>
      </c>
      <c r="D3" s="5" t="s">
        <v>80</v>
      </c>
      <c r="E3" s="5">
        <v>1</v>
      </c>
      <c r="F3" s="5">
        <v>4961173</v>
      </c>
      <c r="G3" s="5">
        <v>1542248</v>
      </c>
      <c r="H3" s="6">
        <v>0.311</v>
      </c>
    </row>
    <row r="4" spans="1:8" x14ac:dyDescent="0.3">
      <c r="A4" s="5" t="s">
        <v>141</v>
      </c>
      <c r="B4" s="5" t="s">
        <v>139</v>
      </c>
      <c r="C4" s="5" t="s">
        <v>15</v>
      </c>
      <c r="D4" s="5" t="s">
        <v>82</v>
      </c>
      <c r="E4" s="5">
        <v>1</v>
      </c>
      <c r="F4" s="5">
        <v>5305388</v>
      </c>
      <c r="G4" s="5">
        <v>1164660</v>
      </c>
      <c r="H4" s="6">
        <v>0.22</v>
      </c>
    </row>
    <row r="5" spans="1:8" x14ac:dyDescent="0.3">
      <c r="A5" s="5" t="s">
        <v>141</v>
      </c>
      <c r="B5" s="5" t="s">
        <v>139</v>
      </c>
      <c r="C5" s="5" t="s">
        <v>15</v>
      </c>
      <c r="D5" s="5" t="s">
        <v>83</v>
      </c>
      <c r="E5" s="5">
        <v>1</v>
      </c>
      <c r="F5" s="5">
        <v>4892203</v>
      </c>
      <c r="G5" s="5">
        <v>1197871</v>
      </c>
      <c r="H5" s="6">
        <v>0.245</v>
      </c>
    </row>
    <row r="6" spans="1:8" x14ac:dyDescent="0.3">
      <c r="A6" s="5" t="s">
        <v>141</v>
      </c>
      <c r="B6" s="5" t="s">
        <v>139</v>
      </c>
      <c r="C6" s="5" t="s">
        <v>20</v>
      </c>
      <c r="D6" s="5" t="s">
        <v>85</v>
      </c>
      <c r="E6" s="5">
        <v>1</v>
      </c>
      <c r="F6" s="5">
        <v>5043708</v>
      </c>
      <c r="G6" s="5">
        <v>1342717</v>
      </c>
      <c r="H6" s="6">
        <v>0.26600000000000001</v>
      </c>
    </row>
    <row r="7" spans="1:8" x14ac:dyDescent="0.3">
      <c r="A7" s="5" t="s">
        <v>141</v>
      </c>
      <c r="B7" s="5" t="s">
        <v>139</v>
      </c>
      <c r="C7" s="5" t="s">
        <v>20</v>
      </c>
      <c r="D7" s="5" t="s">
        <v>86</v>
      </c>
      <c r="E7" s="5">
        <v>1</v>
      </c>
      <c r="F7" s="5">
        <v>5091785</v>
      </c>
      <c r="G7" s="5">
        <v>1346252</v>
      </c>
      <c r="H7" s="6">
        <v>0.26400000000000001</v>
      </c>
    </row>
    <row r="8" spans="1:8" x14ac:dyDescent="0.3">
      <c r="A8" s="5" t="s">
        <v>141</v>
      </c>
      <c r="B8" s="5" t="s">
        <v>139</v>
      </c>
      <c r="C8" s="5" t="s">
        <v>25</v>
      </c>
      <c r="D8" s="5" t="s">
        <v>89</v>
      </c>
      <c r="E8" s="5">
        <v>1</v>
      </c>
      <c r="F8" s="5">
        <v>4771325</v>
      </c>
      <c r="G8" s="5">
        <v>1408431</v>
      </c>
      <c r="H8" s="6">
        <v>0.29499999999999998</v>
      </c>
    </row>
    <row r="9" spans="1:8" x14ac:dyDescent="0.3">
      <c r="A9" s="5" t="s">
        <v>141</v>
      </c>
      <c r="B9" s="5" t="s">
        <v>139</v>
      </c>
      <c r="C9" s="5" t="s">
        <v>25</v>
      </c>
      <c r="D9" s="5" t="s">
        <v>90</v>
      </c>
      <c r="E9" s="5">
        <v>1</v>
      </c>
      <c r="F9" s="5">
        <v>5649344</v>
      </c>
      <c r="G9" s="5">
        <v>1674580</v>
      </c>
      <c r="H9" s="6">
        <v>0.29599999999999999</v>
      </c>
    </row>
    <row r="10" spans="1:8" x14ac:dyDescent="0.3">
      <c r="A10" s="5" t="s">
        <v>141</v>
      </c>
      <c r="B10" s="5" t="s">
        <v>139</v>
      </c>
      <c r="C10" s="5" t="s">
        <v>25</v>
      </c>
      <c r="D10" s="5" t="s">
        <v>91</v>
      </c>
      <c r="E10" s="5">
        <v>1</v>
      </c>
      <c r="F10" s="5">
        <v>4818318</v>
      </c>
      <c r="G10" s="5">
        <v>1404237</v>
      </c>
      <c r="H10" s="6">
        <v>0.29099999999999998</v>
      </c>
    </row>
    <row r="11" spans="1:8" x14ac:dyDescent="0.3">
      <c r="A11" s="5" t="s">
        <v>141</v>
      </c>
      <c r="B11" s="5" t="s">
        <v>139</v>
      </c>
      <c r="C11" s="5" t="s">
        <v>25</v>
      </c>
      <c r="D11" s="5" t="s">
        <v>92</v>
      </c>
      <c r="E11" s="5">
        <v>1</v>
      </c>
      <c r="F11" s="5">
        <v>5033316</v>
      </c>
      <c r="G11" s="5">
        <v>1448574</v>
      </c>
      <c r="H11" s="6">
        <v>0.28799999999999998</v>
      </c>
    </row>
    <row r="12" spans="1:8" x14ac:dyDescent="0.3">
      <c r="A12" s="5" t="s">
        <v>141</v>
      </c>
      <c r="B12" s="5" t="s">
        <v>139</v>
      </c>
      <c r="C12" s="5" t="s">
        <v>34</v>
      </c>
      <c r="D12" s="5" t="s">
        <v>93</v>
      </c>
      <c r="E12" s="5">
        <v>1</v>
      </c>
      <c r="F12" s="5">
        <v>6245913</v>
      </c>
      <c r="G12" s="5">
        <v>1532367</v>
      </c>
      <c r="H12" s="6">
        <v>0.245</v>
      </c>
    </row>
    <row r="13" spans="1:8" x14ac:dyDescent="0.3">
      <c r="A13" s="5" t="s">
        <v>141</v>
      </c>
      <c r="B13" s="5" t="s">
        <v>139</v>
      </c>
      <c r="C13" s="5" t="s">
        <v>34</v>
      </c>
      <c r="D13" s="5" t="s">
        <v>94</v>
      </c>
      <c r="E13" s="5">
        <v>1</v>
      </c>
      <c r="F13" s="5">
        <v>4913728</v>
      </c>
      <c r="G13" s="5">
        <v>1415129</v>
      </c>
      <c r="H13" s="6">
        <v>0.28799999999999998</v>
      </c>
    </row>
    <row r="14" spans="1:8" x14ac:dyDescent="0.3">
      <c r="A14" s="5" t="s">
        <v>141</v>
      </c>
      <c r="B14" s="5" t="s">
        <v>139</v>
      </c>
      <c r="C14" s="5" t="s">
        <v>34</v>
      </c>
      <c r="D14" s="5" t="s">
        <v>95</v>
      </c>
      <c r="E14" s="5">
        <v>1</v>
      </c>
      <c r="F14" s="5">
        <v>6146888</v>
      </c>
      <c r="G14" s="5">
        <v>1785323</v>
      </c>
      <c r="H14" s="6">
        <v>0.28999999999999998</v>
      </c>
    </row>
    <row r="15" spans="1:8" x14ac:dyDescent="0.3">
      <c r="A15" s="5" t="s">
        <v>141</v>
      </c>
      <c r="B15" s="5" t="s">
        <v>139</v>
      </c>
      <c r="C15" s="5" t="s">
        <v>34</v>
      </c>
      <c r="D15" s="5" t="s">
        <v>96</v>
      </c>
      <c r="E15" s="5">
        <v>1</v>
      </c>
      <c r="F15" s="5">
        <v>4675027</v>
      </c>
      <c r="G15" s="5">
        <v>1402742</v>
      </c>
      <c r="H15" s="6">
        <v>0.3</v>
      </c>
    </row>
    <row r="16" spans="1:8" x14ac:dyDescent="0.3">
      <c r="A16" s="5" t="s">
        <v>141</v>
      </c>
      <c r="B16" s="5" t="s">
        <v>43</v>
      </c>
      <c r="C16" s="5" t="s">
        <v>25</v>
      </c>
      <c r="D16" s="5" t="s">
        <v>98</v>
      </c>
      <c r="E16" s="5">
        <v>1</v>
      </c>
      <c r="F16" s="5">
        <v>5251002</v>
      </c>
      <c r="G16" s="5">
        <v>1533496</v>
      </c>
      <c r="H16" s="6">
        <v>0.29199999999999998</v>
      </c>
    </row>
    <row r="17" spans="1:12" x14ac:dyDescent="0.3">
      <c r="A17" s="5" t="s">
        <v>141</v>
      </c>
      <c r="B17" s="5" t="s">
        <v>43</v>
      </c>
      <c r="C17" s="5" t="s">
        <v>25</v>
      </c>
      <c r="D17" s="5" t="s">
        <v>101</v>
      </c>
      <c r="E17" s="5">
        <v>1</v>
      </c>
      <c r="F17" s="5">
        <v>4769367</v>
      </c>
      <c r="G17" s="5">
        <v>1347759</v>
      </c>
      <c r="H17" s="6">
        <v>0.28299999999999997</v>
      </c>
    </row>
    <row r="18" spans="1:12" x14ac:dyDescent="0.3">
      <c r="A18" s="5" t="s">
        <v>141</v>
      </c>
      <c r="B18" s="5" t="s">
        <v>43</v>
      </c>
      <c r="C18" s="5" t="s">
        <v>25</v>
      </c>
      <c r="D18" s="5" t="s">
        <v>102</v>
      </c>
      <c r="E18" s="5">
        <v>1</v>
      </c>
      <c r="F18" s="5">
        <v>7382840</v>
      </c>
      <c r="G18" s="5">
        <v>2008987</v>
      </c>
      <c r="H18" s="6">
        <v>0.27200000000000002</v>
      </c>
      <c r="K18">
        <v>2.8</v>
      </c>
      <c r="L18">
        <f>AVERAGE(K18:K21)</f>
        <v>2.25</v>
      </c>
    </row>
    <row r="19" spans="1:12" x14ac:dyDescent="0.3">
      <c r="A19" s="5" t="s">
        <v>141</v>
      </c>
      <c r="B19" s="5" t="s">
        <v>43</v>
      </c>
      <c r="C19" s="5" t="s">
        <v>25</v>
      </c>
      <c r="D19" s="5" t="s">
        <v>103</v>
      </c>
      <c r="E19" s="5">
        <v>1</v>
      </c>
      <c r="F19" s="5">
        <v>5065773</v>
      </c>
      <c r="G19" s="5">
        <v>1505819</v>
      </c>
      <c r="H19" s="6">
        <v>0.29699999999999999</v>
      </c>
      <c r="K19">
        <v>2.1</v>
      </c>
      <c r="L19">
        <f>_xlfn.STDEV.S(K18:K21)</f>
        <v>0.42031734043061686</v>
      </c>
    </row>
    <row r="20" spans="1:12" x14ac:dyDescent="0.3">
      <c r="A20" s="5" t="s">
        <v>141</v>
      </c>
      <c r="B20" s="5" t="s">
        <v>43</v>
      </c>
      <c r="C20" s="5" t="s">
        <v>34</v>
      </c>
      <c r="D20" s="5" t="s">
        <v>104</v>
      </c>
      <c r="E20" s="5">
        <v>1</v>
      </c>
      <c r="F20" s="5">
        <v>4811072</v>
      </c>
      <c r="G20" s="5">
        <v>1187909</v>
      </c>
      <c r="H20" s="6">
        <v>0.247</v>
      </c>
      <c r="K20">
        <v>1.8</v>
      </c>
    </row>
    <row r="21" spans="1:12" x14ac:dyDescent="0.3">
      <c r="A21" s="5" t="s">
        <v>141</v>
      </c>
      <c r="B21" s="5" t="s">
        <v>43</v>
      </c>
      <c r="C21" s="5" t="s">
        <v>34</v>
      </c>
      <c r="D21" s="5" t="s">
        <v>105</v>
      </c>
      <c r="E21" s="5">
        <v>1</v>
      </c>
      <c r="F21" s="5">
        <v>5029997</v>
      </c>
      <c r="G21" s="5">
        <v>1353580</v>
      </c>
      <c r="H21" s="6">
        <v>0.26900000000000002</v>
      </c>
      <c r="K21">
        <v>2.2999999999999998</v>
      </c>
    </row>
    <row r="22" spans="1:12" x14ac:dyDescent="0.3">
      <c r="A22" s="5" t="s">
        <v>141</v>
      </c>
      <c r="B22" s="5" t="s">
        <v>43</v>
      </c>
      <c r="C22" s="5" t="s">
        <v>34</v>
      </c>
      <c r="D22" s="5" t="s">
        <v>106</v>
      </c>
      <c r="E22" s="5">
        <v>1</v>
      </c>
      <c r="F22" s="5">
        <v>4938105</v>
      </c>
      <c r="G22" s="5">
        <v>1336618</v>
      </c>
      <c r="H22" s="6">
        <v>0.27100000000000002</v>
      </c>
    </row>
    <row r="23" spans="1:12" x14ac:dyDescent="0.3">
      <c r="A23" s="5" t="s">
        <v>141</v>
      </c>
      <c r="B23" s="5" t="s">
        <v>43</v>
      </c>
      <c r="C23" s="5" t="s">
        <v>34</v>
      </c>
      <c r="D23" s="5" t="s">
        <v>107</v>
      </c>
      <c r="E23" s="5">
        <v>1</v>
      </c>
      <c r="F23" s="5">
        <v>4896604</v>
      </c>
      <c r="G23" s="5">
        <v>1357675</v>
      </c>
      <c r="H23" s="6">
        <v>0.27700000000000002</v>
      </c>
    </row>
    <row r="24" spans="1:12" x14ac:dyDescent="0.3">
      <c r="A24" s="5" t="s">
        <v>141</v>
      </c>
      <c r="B24" s="5" t="s">
        <v>139</v>
      </c>
      <c r="C24" s="5" t="s">
        <v>10</v>
      </c>
      <c r="D24" s="5" t="s">
        <v>151</v>
      </c>
      <c r="E24" s="5">
        <v>2</v>
      </c>
      <c r="F24" s="5">
        <v>19767135</v>
      </c>
      <c r="G24" s="5">
        <v>5445059</v>
      </c>
      <c r="H24" s="6">
        <v>0.27500000000000002</v>
      </c>
    </row>
    <row r="25" spans="1:12" x14ac:dyDescent="0.3">
      <c r="A25" s="5" t="s">
        <v>141</v>
      </c>
      <c r="B25" s="5" t="s">
        <v>139</v>
      </c>
      <c r="C25" s="5" t="s">
        <v>10</v>
      </c>
      <c r="D25" s="5" t="s">
        <v>150</v>
      </c>
      <c r="E25" s="5">
        <v>2</v>
      </c>
      <c r="F25" s="5">
        <v>9814991</v>
      </c>
      <c r="G25" s="5">
        <v>2894202</v>
      </c>
      <c r="H25" s="6">
        <v>0.29499999999999998</v>
      </c>
    </row>
    <row r="26" spans="1:12" x14ac:dyDescent="0.3">
      <c r="A26" s="5" t="s">
        <v>141</v>
      </c>
      <c r="B26" s="5" t="s">
        <v>139</v>
      </c>
      <c r="C26" s="5" t="s">
        <v>15</v>
      </c>
      <c r="D26" s="5" t="s">
        <v>152</v>
      </c>
      <c r="E26" s="5">
        <v>2</v>
      </c>
      <c r="F26" s="5">
        <v>18755372</v>
      </c>
      <c r="G26" s="5">
        <v>5688159</v>
      </c>
      <c r="H26" s="6">
        <v>0.30299999999999999</v>
      </c>
    </row>
    <row r="27" spans="1:12" x14ac:dyDescent="0.3">
      <c r="A27" s="5" t="s">
        <v>141</v>
      </c>
      <c r="B27" s="5" t="s">
        <v>139</v>
      </c>
      <c r="C27" s="5" t="s">
        <v>15</v>
      </c>
      <c r="D27" s="5" t="s">
        <v>153</v>
      </c>
      <c r="E27" s="5">
        <v>2</v>
      </c>
      <c r="F27" s="5">
        <v>12314013</v>
      </c>
      <c r="G27" s="5">
        <v>3177647</v>
      </c>
      <c r="H27" s="6">
        <v>0.25800000000000001</v>
      </c>
    </row>
    <row r="28" spans="1:12" x14ac:dyDescent="0.3">
      <c r="A28" s="5" t="s">
        <v>141</v>
      </c>
      <c r="B28" s="5" t="s">
        <v>139</v>
      </c>
      <c r="C28" s="5" t="s">
        <v>20</v>
      </c>
      <c r="D28" s="5" t="s">
        <v>154</v>
      </c>
      <c r="E28" s="5">
        <v>2</v>
      </c>
      <c r="F28" s="5">
        <v>34465923</v>
      </c>
      <c r="G28" s="5">
        <v>9803625</v>
      </c>
      <c r="H28" s="6">
        <v>0.28399999999999997</v>
      </c>
    </row>
    <row r="29" spans="1:12" x14ac:dyDescent="0.3">
      <c r="A29" s="5" t="s">
        <v>141</v>
      </c>
      <c r="B29" s="5" t="s">
        <v>139</v>
      </c>
      <c r="C29" s="5" t="s">
        <v>20</v>
      </c>
      <c r="D29" s="5" t="s">
        <v>155</v>
      </c>
      <c r="E29" s="5">
        <v>2</v>
      </c>
      <c r="F29" s="5">
        <v>13063356</v>
      </c>
      <c r="G29" s="5">
        <v>3365376</v>
      </c>
      <c r="H29" s="6">
        <v>0.25800000000000001</v>
      </c>
    </row>
    <row r="30" spans="1:12" x14ac:dyDescent="0.3">
      <c r="A30" s="5" t="s">
        <v>141</v>
      </c>
      <c r="B30" s="5" t="s">
        <v>43</v>
      </c>
      <c r="C30" s="5" t="s">
        <v>10</v>
      </c>
      <c r="D30" s="5" t="s">
        <v>156</v>
      </c>
      <c r="E30" s="5">
        <v>2</v>
      </c>
      <c r="F30" s="5">
        <v>8832220</v>
      </c>
      <c r="G30" s="5">
        <v>2766662</v>
      </c>
      <c r="H30" s="6">
        <v>0.313</v>
      </c>
    </row>
    <row r="31" spans="1:12" x14ac:dyDescent="0.3">
      <c r="A31" s="5" t="s">
        <v>141</v>
      </c>
      <c r="B31" s="5" t="s">
        <v>43</v>
      </c>
      <c r="C31" s="5" t="s">
        <v>10</v>
      </c>
      <c r="D31" s="5" t="s">
        <v>157</v>
      </c>
      <c r="E31" s="5">
        <v>2</v>
      </c>
      <c r="F31" s="5">
        <v>7998331</v>
      </c>
      <c r="G31" s="5">
        <v>2397164</v>
      </c>
      <c r="H31" s="6">
        <v>0.3</v>
      </c>
    </row>
    <row r="32" spans="1:12" x14ac:dyDescent="0.3">
      <c r="A32" s="5" t="s">
        <v>141</v>
      </c>
      <c r="B32" s="5" t="s">
        <v>43</v>
      </c>
      <c r="C32" s="5" t="s">
        <v>10</v>
      </c>
      <c r="D32" s="5" t="s">
        <v>158</v>
      </c>
      <c r="E32" s="5">
        <v>2</v>
      </c>
      <c r="F32" s="5">
        <v>10365606</v>
      </c>
      <c r="G32" s="5">
        <v>2598468</v>
      </c>
      <c r="H32" s="6">
        <v>0.251</v>
      </c>
    </row>
    <row r="33" spans="1:8" x14ac:dyDescent="0.3">
      <c r="A33" s="5" t="s">
        <v>141</v>
      </c>
      <c r="B33" s="5" t="s">
        <v>43</v>
      </c>
      <c r="C33" s="5" t="s">
        <v>15</v>
      </c>
      <c r="D33" s="5" t="s">
        <v>161</v>
      </c>
      <c r="E33" s="5">
        <v>2</v>
      </c>
      <c r="F33" s="5">
        <v>24206272</v>
      </c>
      <c r="G33" s="5">
        <v>7272444</v>
      </c>
      <c r="H33" s="6">
        <v>0.3</v>
      </c>
    </row>
    <row r="34" spans="1:8" x14ac:dyDescent="0.3">
      <c r="A34" s="5" t="s">
        <v>141</v>
      </c>
      <c r="B34" s="5" t="s">
        <v>43</v>
      </c>
      <c r="C34" s="5" t="s">
        <v>15</v>
      </c>
      <c r="D34" s="5" t="s">
        <v>159</v>
      </c>
      <c r="E34" s="5">
        <v>2</v>
      </c>
      <c r="F34" s="5">
        <v>17022019</v>
      </c>
      <c r="G34" s="5">
        <v>5243839</v>
      </c>
      <c r="H34" s="6">
        <v>0.308</v>
      </c>
    </row>
    <row r="35" spans="1:8" x14ac:dyDescent="0.3">
      <c r="A35" s="5" t="s">
        <v>141</v>
      </c>
      <c r="B35" s="5" t="s">
        <v>43</v>
      </c>
      <c r="C35" s="5" t="s">
        <v>15</v>
      </c>
      <c r="D35" s="5" t="s">
        <v>160</v>
      </c>
      <c r="E35" s="5">
        <v>2</v>
      </c>
      <c r="F35" s="5">
        <v>12605122</v>
      </c>
      <c r="G35" s="5">
        <v>3907271</v>
      </c>
      <c r="H35" s="6">
        <v>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TrimGaloreFastQC</vt:lpstr>
      <vt:lpstr>BamtoolsStats</vt:lpstr>
      <vt:lpstr>WBGSBamtoolsStats</vt:lpstr>
      <vt:lpstr>MethylKitDepth</vt:lpstr>
      <vt:lpstr>MethylKitPercMethperBase</vt:lpstr>
      <vt:lpstr>MeanPercMeth</vt:lpstr>
      <vt:lpstr>InsertSize</vt:lpstr>
      <vt:lpstr>BismarkDirectional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KERNS</dc:creator>
  <cp:lastModifiedBy>EMILY KERNS</cp:lastModifiedBy>
  <dcterms:created xsi:type="dcterms:W3CDTF">2023-10-03T17:40:43Z</dcterms:created>
  <dcterms:modified xsi:type="dcterms:W3CDTF">2025-03-12T17:55:37Z</dcterms:modified>
</cp:coreProperties>
</file>