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emily\Dropbox\NC Fall 2021\Air WASH spring 2022\Air WASH Code Updated October 2022\Results\"/>
    </mc:Choice>
  </mc:AlternateContent>
  <xr:revisionPtr revIDLastSave="0" documentId="13_ncr:1_{89214894-F691-4A9A-84F1-BB27617F0BB2}" xr6:coauthVersionLast="47" xr6:coauthVersionMax="47" xr10:uidLastSave="{00000000-0000-0000-0000-000000000000}"/>
  <bookViews>
    <workbookView xWindow="10270" yWindow="1240" windowWidth="11010" windowHeight="9490" firstSheet="6" activeTab="6" xr2:uid="{00000000-000D-0000-FFFF-FFFF00000000}"/>
  </bookViews>
  <sheets>
    <sheet name="Uganda Adults PM DALYs" sheetId="1" r:id="rId1"/>
    <sheet name="Uganda Child PM DALYs" sheetId="2" r:id="rId2"/>
    <sheet name="Child versus adult difference" sheetId="15" r:id="rId3"/>
    <sheet name="Vietnam Adults PM DALYs" sheetId="3" r:id="rId4"/>
    <sheet name="Vietnam Child PM DALYs" sheetId="4" r:id="rId5"/>
    <sheet name="Uganda child water DALYs" sheetId="7" r:id="rId6"/>
    <sheet name="Uganda adult water DALYs" sheetId="8" r:id="rId7"/>
    <sheet name="Vietnam adult water DALYs" sheetId="9" r:id="rId8"/>
    <sheet name="Vietnam children water DALYs" sheetId="10" r:id="rId9"/>
    <sheet name="Child versus adult water DALYs" sheetId="16" r:id="rId10"/>
    <sheet name="Uganda Adult Net DALYs water h" sheetId="20" r:id="rId11"/>
    <sheet name="Uganda Adult Net DALYs" sheetId="11" r:id="rId12"/>
    <sheet name="Uganda child Net DALYs water h" sheetId="19" r:id="rId13"/>
    <sheet name="Uganda child Net DALYs" sheetId="12" r:id="rId14"/>
    <sheet name="Vietnam Adult net DALYs water h" sheetId="18" r:id="rId15"/>
    <sheet name="Vietnam Adult net DALYs" sheetId="13" r:id="rId16"/>
    <sheet name="Vietnam Child Net DALYs_water_h" sheetId="17" r:id="rId17"/>
    <sheet name="Vietnam Child Net DALYs" sheetId="14" r:id="rId18"/>
    <sheet name="Indoor PM" sheetId="5" r:id="rId19"/>
    <sheet name="Stove Number" sheetId="6" r:id="rId20"/>
  </sheets>
  <definedNames>
    <definedName name="Uganda_adults_charcoal" localSheetId="10">'Uganda Adult Net DALYs water h'!$O$14</definedName>
    <definedName name="Uganda_adults_charcoal">'Uganda Adult Net DALYs'!$O$14</definedName>
    <definedName name="Uganda_adults_charcoal_w_h">'Uganda Adult Net DALYs water h'!$N$14</definedName>
    <definedName name="Uganda_adults_electric" localSheetId="10">'Uganda Adult Net DALYs water h'!$O$17</definedName>
    <definedName name="Uganda_adults_electric">'Uganda Adult Net DALYs'!$O$17</definedName>
    <definedName name="Uganda_adults_improved_wood" localSheetId="10">'Uganda Adult Net DALYs water h'!$O$13</definedName>
    <definedName name="Uganda_adults_improved_wood">'Uganda Adult Net DALYs'!$O$13</definedName>
    <definedName name="Uganda_adults_improved_wood_w_h">'Uganda Adult Net DALYs water h'!$N$13</definedName>
    <definedName name="Uganda_adults_LPG" localSheetId="10">'Uganda Adult Net DALYs water h'!$O$16</definedName>
    <definedName name="Uganda_adults_LPG">'Uganda Adult Net DALYs'!$O$16</definedName>
    <definedName name="Uganda_adults_LPG_w_h">'Uganda Adult Net DALYs water h'!$N$16</definedName>
    <definedName name="Uganda_adults_minimoto" localSheetId="10">'Uganda Adult Net DALYs water h'!$O$15</definedName>
    <definedName name="Uganda_adults_minimoto">'Uganda Adult Net DALYs'!$O$15</definedName>
    <definedName name="Uganda_adults_minimoto_w_h">'Uganda Adult Net DALYs water h'!$N$15</definedName>
    <definedName name="uganda_adults_trad_wood" localSheetId="10">'Uganda Adult Net DALYs water h'!$O$12</definedName>
    <definedName name="uganda_adults_trad_wood">'Uganda Adult Net DALYs'!$O$12</definedName>
    <definedName name="Uganda_adults_trad_wood_w_h">'Uganda Adult Net DALYs water h'!$N$12</definedName>
    <definedName name="Uganda_child_charcoal" localSheetId="12">'Uganda child Net DALYs water h'!$O$14</definedName>
    <definedName name="Uganda_child_charcoal">'Uganda child Net DALYs'!$O$14</definedName>
    <definedName name="Uganda_child_electric" localSheetId="12">'Uganda child Net DALYs water h'!$O$17</definedName>
    <definedName name="Uganda_child_electric">'Uganda child Net DALYs'!$O$17</definedName>
    <definedName name="Uganda_child_gasifier" localSheetId="12">'Uganda child Net DALYs water h'!$O$15</definedName>
    <definedName name="Uganda_child_gasifier">'Uganda child Net DALYs'!$O$15</definedName>
    <definedName name="Uganda_child_improved_wood" localSheetId="12">'Uganda child Net DALYs water h'!$O$13</definedName>
    <definedName name="Uganda_child_improved_wood">'Uganda child Net DALYs'!$O$13</definedName>
    <definedName name="Uganda_child_LPG" localSheetId="12">'Uganda child Net DALYs water h'!$O$16</definedName>
    <definedName name="Uganda_child_LPG">'Uganda child Net DALYs'!$O$16</definedName>
    <definedName name="Uganda_child_traditional_wood" localSheetId="12">'Uganda child Net DALYs water h'!$O$12</definedName>
    <definedName name="Uganda_child_traditional_wood">'Uganda child Net DALYs'!$O$12</definedName>
    <definedName name="Vietnam_adult_charcoal" localSheetId="14">'Vietnam Adult net DALYs water h'!$O$14</definedName>
    <definedName name="Vietnam_adult_charcoal">'Vietnam Adult net DALYs'!$O$14</definedName>
    <definedName name="Vietnam_adult_electric" localSheetId="14">'Vietnam Adult net DALYs water h'!$O$17</definedName>
    <definedName name="Vietnam_adult_electric">'Vietnam Adult net DALYs'!$O$17</definedName>
    <definedName name="Vietnam_adult_gas" localSheetId="14">'Vietnam Adult net DALYs water h'!$O$15</definedName>
    <definedName name="Vietnam_adult_gas">'Vietnam Adult net DALYs'!$O$15</definedName>
    <definedName name="Vietnam_adult_improved_wood" localSheetId="14">'Vietnam Adult net DALYs water h'!$O$13</definedName>
    <definedName name="Vietnam_adult_improved_wood">'Vietnam Adult net DALYs'!$O$13</definedName>
    <definedName name="Vietnam_adult_LPG" localSheetId="14">'Vietnam Adult net DALYs water h'!$O$16</definedName>
    <definedName name="Vietnam_adult_LPG">'Vietnam Adult net DALYs'!$O$16</definedName>
    <definedName name="Vietnam_adult_trad_wood" localSheetId="14">'Vietnam Adult net DALYs water h'!$O$12</definedName>
    <definedName name="Vietnam_adult_trad_wood">'Vietnam Adult net DALYs'!$O$12</definedName>
    <definedName name="Vietnam_child_charcoal" localSheetId="16">'Vietnam Child Net DALYs_water_h'!$O$14</definedName>
    <definedName name="Vietnam_child_charcoal">'Vietnam Child Net DALYs'!$O$14</definedName>
    <definedName name="Vietnam_Child_electric" localSheetId="16">'Vietnam Child Net DALYs_water_h'!$O$17</definedName>
    <definedName name="Vietnam_Child_electric">'Vietnam Child Net DALYs'!$O$17</definedName>
    <definedName name="Vietnam_child_improved_wood" localSheetId="16">'Vietnam Child Net DALYs_water_h'!$O$13</definedName>
    <definedName name="Vietnam_child_improved_wood">'Vietnam Child Net DALYs'!$O$13</definedName>
    <definedName name="Vietnam_child_LPG" localSheetId="16">'Vietnam Child Net DALYs_water_h'!$O$16</definedName>
    <definedName name="Vietnam_child_LPG">'Vietnam Child Net DALYs'!$O$16</definedName>
    <definedName name="Vietnam_child_minimoto" localSheetId="16">'Vietnam Child Net DALYs_water_h'!$O$15</definedName>
    <definedName name="Vietnam_child_minimoto">'Vietnam Child Net DALYs'!$O$15</definedName>
    <definedName name="Vietnam_child_trad_wood" localSheetId="16">'Vietnam Child Net DALYs_water_h'!$O$12</definedName>
    <definedName name="Vietnam_child_trad_wood">'Vietnam Child Net DALYs'!$O$12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0" l="1"/>
  <c r="F4" i="20"/>
  <c r="G4" i="20"/>
  <c r="H4" i="20"/>
  <c r="I4" i="20"/>
  <c r="J4" i="20"/>
  <c r="E5" i="20"/>
  <c r="F5" i="20"/>
  <c r="G5" i="20"/>
  <c r="H5" i="20"/>
  <c r="I5" i="20"/>
  <c r="J5" i="20"/>
  <c r="E6" i="20"/>
  <c r="F6" i="20"/>
  <c r="G6" i="20"/>
  <c r="H6" i="20"/>
  <c r="I6" i="20"/>
  <c r="J6" i="20"/>
  <c r="D5" i="20"/>
  <c r="D6" i="20"/>
  <c r="D4" i="20"/>
  <c r="C20" i="20"/>
  <c r="C21" i="20"/>
  <c r="C19" i="20"/>
  <c r="C17" i="20"/>
  <c r="C18" i="20"/>
  <c r="C16" i="20"/>
  <c r="C14" i="20"/>
  <c r="C15" i="20"/>
  <c r="C13" i="20"/>
  <c r="C11" i="20"/>
  <c r="C12" i="20"/>
  <c r="C10" i="20"/>
  <c r="C8" i="20"/>
  <c r="C9" i="20"/>
  <c r="C7" i="20"/>
  <c r="C5" i="20"/>
  <c r="C6" i="20"/>
  <c r="C4" i="20"/>
  <c r="J21" i="20"/>
  <c r="I21" i="20"/>
  <c r="H21" i="20"/>
  <c r="G21" i="20"/>
  <c r="F21" i="20"/>
  <c r="E21" i="20"/>
  <c r="D21" i="20"/>
  <c r="J20" i="20"/>
  <c r="I20" i="20"/>
  <c r="H20" i="20"/>
  <c r="G20" i="20"/>
  <c r="F20" i="20"/>
  <c r="E20" i="20"/>
  <c r="D20" i="20"/>
  <c r="J19" i="20"/>
  <c r="I19" i="20"/>
  <c r="H19" i="20"/>
  <c r="G19" i="20"/>
  <c r="F19" i="20"/>
  <c r="E19" i="20"/>
  <c r="D19" i="20"/>
  <c r="J18" i="20"/>
  <c r="I18" i="20"/>
  <c r="H18" i="20"/>
  <c r="G18" i="20"/>
  <c r="F18" i="20"/>
  <c r="E18" i="20"/>
  <c r="D18" i="20"/>
  <c r="J17" i="20"/>
  <c r="I17" i="20"/>
  <c r="H17" i="20"/>
  <c r="G17" i="20"/>
  <c r="F17" i="20"/>
  <c r="E17" i="20"/>
  <c r="D17" i="20"/>
  <c r="J16" i="20"/>
  <c r="I16" i="20"/>
  <c r="H16" i="20"/>
  <c r="G16" i="20"/>
  <c r="F16" i="20"/>
  <c r="E16" i="20"/>
  <c r="D16" i="20"/>
  <c r="J15" i="20"/>
  <c r="I15" i="20"/>
  <c r="H15" i="20"/>
  <c r="G15" i="20"/>
  <c r="F15" i="20"/>
  <c r="E15" i="20"/>
  <c r="D15" i="20"/>
  <c r="J14" i="20"/>
  <c r="I14" i="20"/>
  <c r="H14" i="20"/>
  <c r="G14" i="20"/>
  <c r="F14" i="20"/>
  <c r="E14" i="20"/>
  <c r="D14" i="20"/>
  <c r="J13" i="20"/>
  <c r="I13" i="20"/>
  <c r="H13" i="20"/>
  <c r="G13" i="20"/>
  <c r="F13" i="20"/>
  <c r="E13" i="20"/>
  <c r="D13" i="20"/>
  <c r="J12" i="20"/>
  <c r="I12" i="20"/>
  <c r="H12" i="20"/>
  <c r="G12" i="20"/>
  <c r="F12" i="20"/>
  <c r="E12" i="20"/>
  <c r="D12" i="20"/>
  <c r="J11" i="20"/>
  <c r="I11" i="20"/>
  <c r="H11" i="20"/>
  <c r="G11" i="20"/>
  <c r="F11" i="20"/>
  <c r="E11" i="20"/>
  <c r="D11" i="20"/>
  <c r="J10" i="20"/>
  <c r="I10" i="20"/>
  <c r="H10" i="20"/>
  <c r="G10" i="20"/>
  <c r="F10" i="20"/>
  <c r="E10" i="20"/>
  <c r="D10" i="20"/>
  <c r="J9" i="20"/>
  <c r="I9" i="20"/>
  <c r="H9" i="20"/>
  <c r="G9" i="20"/>
  <c r="F9" i="20"/>
  <c r="E9" i="20"/>
  <c r="D9" i="20"/>
  <c r="J8" i="20"/>
  <c r="I8" i="20"/>
  <c r="H8" i="20"/>
  <c r="G8" i="20"/>
  <c r="F8" i="20"/>
  <c r="E8" i="20"/>
  <c r="D8" i="20"/>
  <c r="J7" i="20"/>
  <c r="I7" i="20"/>
  <c r="H7" i="20"/>
  <c r="G7" i="20"/>
  <c r="F7" i="20"/>
  <c r="E7" i="20"/>
  <c r="D7" i="20"/>
  <c r="J21" i="19"/>
  <c r="I21" i="19"/>
  <c r="H21" i="19"/>
  <c r="C21" i="19"/>
  <c r="J20" i="19"/>
  <c r="I20" i="19"/>
  <c r="H20" i="19"/>
  <c r="C20" i="19"/>
  <c r="J19" i="19"/>
  <c r="I19" i="19"/>
  <c r="H19" i="19"/>
  <c r="C19" i="19"/>
  <c r="J18" i="19"/>
  <c r="I18" i="19"/>
  <c r="H18" i="19"/>
  <c r="C18" i="19"/>
  <c r="S17" i="19"/>
  <c r="R17" i="19"/>
  <c r="Q17" i="19"/>
  <c r="P17" i="19"/>
  <c r="O17" i="19"/>
  <c r="N17" i="19"/>
  <c r="M17" i="19"/>
  <c r="J17" i="19"/>
  <c r="I17" i="19"/>
  <c r="H17" i="19"/>
  <c r="C17" i="19"/>
  <c r="S16" i="19"/>
  <c r="R16" i="19"/>
  <c r="Q16" i="19"/>
  <c r="P16" i="19"/>
  <c r="O16" i="19"/>
  <c r="N16" i="19"/>
  <c r="M16" i="19"/>
  <c r="J16" i="19"/>
  <c r="I16" i="19"/>
  <c r="H16" i="19"/>
  <c r="G16" i="19"/>
  <c r="S15" i="19"/>
  <c r="R15" i="19"/>
  <c r="Q15" i="19"/>
  <c r="P15" i="19"/>
  <c r="O15" i="19"/>
  <c r="N15" i="19"/>
  <c r="M15" i="19"/>
  <c r="J15" i="19"/>
  <c r="I15" i="19"/>
  <c r="H15" i="19"/>
  <c r="G15" i="19"/>
  <c r="S14" i="19"/>
  <c r="R14" i="19"/>
  <c r="Q14" i="19"/>
  <c r="P14" i="19"/>
  <c r="O14" i="19"/>
  <c r="N14" i="19"/>
  <c r="M14" i="19"/>
  <c r="I14" i="19"/>
  <c r="H14" i="19"/>
  <c r="G14" i="19"/>
  <c r="F14" i="19"/>
  <c r="S13" i="19"/>
  <c r="R13" i="19"/>
  <c r="Q13" i="19"/>
  <c r="P13" i="19"/>
  <c r="O13" i="19"/>
  <c r="N13" i="19"/>
  <c r="M13" i="19"/>
  <c r="H13" i="19"/>
  <c r="G13" i="19"/>
  <c r="F13" i="19"/>
  <c r="E13" i="19"/>
  <c r="S12" i="19"/>
  <c r="R12" i="19"/>
  <c r="Q12" i="19"/>
  <c r="P12" i="19"/>
  <c r="O12" i="19"/>
  <c r="J6" i="19" s="1"/>
  <c r="N12" i="19"/>
  <c r="M12" i="19"/>
  <c r="T8" i="19"/>
  <c r="J12" i="19" s="1"/>
  <c r="S8" i="19"/>
  <c r="I12" i="19" s="1"/>
  <c r="R8" i="19"/>
  <c r="H12" i="19" s="1"/>
  <c r="Q8" i="19"/>
  <c r="G21" i="19" s="1"/>
  <c r="P8" i="19"/>
  <c r="F15" i="19" s="1"/>
  <c r="O8" i="19"/>
  <c r="E15" i="19" s="1"/>
  <c r="N8" i="19"/>
  <c r="D21" i="19" s="1"/>
  <c r="M8" i="19"/>
  <c r="C12" i="19" s="1"/>
  <c r="T7" i="19"/>
  <c r="J11" i="19" s="1"/>
  <c r="S7" i="19"/>
  <c r="I11" i="19" s="1"/>
  <c r="R7" i="19"/>
  <c r="H11" i="19" s="1"/>
  <c r="Q7" i="19"/>
  <c r="G17" i="19" s="1"/>
  <c r="P7" i="19"/>
  <c r="F17" i="19" s="1"/>
  <c r="O7" i="19"/>
  <c r="E14" i="19" s="1"/>
  <c r="N7" i="19"/>
  <c r="D14" i="19" s="1"/>
  <c r="M7" i="19"/>
  <c r="C11" i="19" s="1"/>
  <c r="T6" i="19"/>
  <c r="J10" i="19" s="1"/>
  <c r="S6" i="19"/>
  <c r="I10" i="19" s="1"/>
  <c r="R6" i="19"/>
  <c r="H10" i="19" s="1"/>
  <c r="Q6" i="19"/>
  <c r="G19" i="19" s="1"/>
  <c r="P6" i="19"/>
  <c r="F16" i="19" s="1"/>
  <c r="O6" i="19"/>
  <c r="E7" i="19" s="1"/>
  <c r="N6" i="19"/>
  <c r="D13" i="19" s="1"/>
  <c r="M6" i="19"/>
  <c r="C10" i="19" s="1"/>
  <c r="E6" i="19"/>
  <c r="D6" i="19"/>
  <c r="C6" i="19"/>
  <c r="T5" i="19"/>
  <c r="S5" i="19"/>
  <c r="R5" i="19"/>
  <c r="Q5" i="19"/>
  <c r="P5" i="19"/>
  <c r="O5" i="19"/>
  <c r="N5" i="19"/>
  <c r="M5" i="19"/>
  <c r="E5" i="19"/>
  <c r="D5" i="19"/>
  <c r="C5" i="19"/>
  <c r="E4" i="19"/>
  <c r="D4" i="19"/>
  <c r="C4" i="19"/>
  <c r="C21" i="18"/>
  <c r="C20" i="18"/>
  <c r="C19" i="18"/>
  <c r="C18" i="18"/>
  <c r="S17" i="18"/>
  <c r="R17" i="18"/>
  <c r="Q17" i="18"/>
  <c r="P17" i="18"/>
  <c r="O17" i="18"/>
  <c r="N17" i="18"/>
  <c r="M17" i="18"/>
  <c r="J17" i="18"/>
  <c r="D17" i="18"/>
  <c r="S16" i="18"/>
  <c r="R16" i="18"/>
  <c r="Q16" i="18"/>
  <c r="P16" i="18"/>
  <c r="O16" i="18"/>
  <c r="N16" i="18"/>
  <c r="M16" i="18"/>
  <c r="I16" i="18"/>
  <c r="C16" i="18"/>
  <c r="S15" i="18"/>
  <c r="R15" i="18"/>
  <c r="Q15" i="18"/>
  <c r="P15" i="18"/>
  <c r="O15" i="18"/>
  <c r="N15" i="18"/>
  <c r="M15" i="18"/>
  <c r="J15" i="18"/>
  <c r="H15" i="18"/>
  <c r="F15" i="18"/>
  <c r="S14" i="18"/>
  <c r="R14" i="18"/>
  <c r="Q14" i="18"/>
  <c r="P14" i="18"/>
  <c r="O14" i="18"/>
  <c r="N14" i="18"/>
  <c r="M14" i="18"/>
  <c r="I14" i="18"/>
  <c r="G14" i="18"/>
  <c r="S13" i="18"/>
  <c r="R13" i="18"/>
  <c r="Q13" i="18"/>
  <c r="P13" i="18"/>
  <c r="O13" i="18"/>
  <c r="N13" i="18"/>
  <c r="M13" i="18"/>
  <c r="H13" i="18"/>
  <c r="F13" i="18"/>
  <c r="D13" i="18"/>
  <c r="S12" i="18"/>
  <c r="R12" i="18"/>
  <c r="Q12" i="18"/>
  <c r="P12" i="18"/>
  <c r="O12" i="18"/>
  <c r="D6" i="18" s="1"/>
  <c r="N12" i="18"/>
  <c r="M12" i="18"/>
  <c r="E9" i="18"/>
  <c r="T8" i="18"/>
  <c r="J21" i="18" s="1"/>
  <c r="S8" i="18"/>
  <c r="I21" i="18" s="1"/>
  <c r="R8" i="18"/>
  <c r="H21" i="18" s="1"/>
  <c r="Q8" i="18"/>
  <c r="G15" i="18" s="1"/>
  <c r="P8" i="18"/>
  <c r="F21" i="18" s="1"/>
  <c r="O8" i="18"/>
  <c r="E15" i="18" s="1"/>
  <c r="N8" i="18"/>
  <c r="D12" i="18" s="1"/>
  <c r="M8" i="18"/>
  <c r="C12" i="18" s="1"/>
  <c r="T7" i="18"/>
  <c r="J20" i="18" s="1"/>
  <c r="S7" i="18"/>
  <c r="I17" i="18" s="1"/>
  <c r="R7" i="18"/>
  <c r="H17" i="18" s="1"/>
  <c r="Q7" i="18"/>
  <c r="G17" i="18" s="1"/>
  <c r="P7" i="18"/>
  <c r="F14" i="18" s="1"/>
  <c r="O7" i="18"/>
  <c r="E14" i="18" s="1"/>
  <c r="N7" i="18"/>
  <c r="D11" i="18" s="1"/>
  <c r="M7" i="18"/>
  <c r="C11" i="18" s="1"/>
  <c r="T6" i="18"/>
  <c r="J19" i="18" s="1"/>
  <c r="S6" i="18"/>
  <c r="I19" i="18" s="1"/>
  <c r="R6" i="18"/>
  <c r="H16" i="18" s="1"/>
  <c r="Q6" i="18"/>
  <c r="G16" i="18" s="1"/>
  <c r="P6" i="18"/>
  <c r="F16" i="18" s="1"/>
  <c r="O6" i="18"/>
  <c r="E13" i="18" s="1"/>
  <c r="N6" i="18"/>
  <c r="D10" i="18" s="1"/>
  <c r="M6" i="18"/>
  <c r="C10" i="18" s="1"/>
  <c r="E6" i="18"/>
  <c r="C6" i="18"/>
  <c r="T5" i="18"/>
  <c r="S5" i="18"/>
  <c r="R5" i="18"/>
  <c r="Q5" i="18"/>
  <c r="P5" i="18"/>
  <c r="O5" i="18"/>
  <c r="N5" i="18"/>
  <c r="M5" i="18"/>
  <c r="E5" i="18"/>
  <c r="C5" i="18"/>
  <c r="E4" i="18"/>
  <c r="C4" i="18"/>
  <c r="D21" i="17"/>
  <c r="C21" i="17"/>
  <c r="D20" i="17"/>
  <c r="C20" i="17"/>
  <c r="D19" i="17"/>
  <c r="C19" i="17"/>
  <c r="D18" i="17"/>
  <c r="C18" i="17"/>
  <c r="S17" i="17"/>
  <c r="R17" i="17"/>
  <c r="Q17" i="17"/>
  <c r="P17" i="17"/>
  <c r="O17" i="17"/>
  <c r="N17" i="17"/>
  <c r="M17" i="17"/>
  <c r="J17" i="17"/>
  <c r="D17" i="17"/>
  <c r="C17" i="17"/>
  <c r="S16" i="17"/>
  <c r="R16" i="17"/>
  <c r="Q16" i="17"/>
  <c r="P16" i="17"/>
  <c r="O16" i="17"/>
  <c r="N16" i="17"/>
  <c r="M16" i="17"/>
  <c r="J16" i="17"/>
  <c r="I16" i="17"/>
  <c r="D16" i="17"/>
  <c r="C16" i="17"/>
  <c r="S15" i="17"/>
  <c r="R15" i="17"/>
  <c r="Q15" i="17"/>
  <c r="P15" i="17"/>
  <c r="O15" i="17"/>
  <c r="N15" i="17"/>
  <c r="M15" i="17"/>
  <c r="C14" i="17" s="1"/>
  <c r="J15" i="17"/>
  <c r="I15" i="17"/>
  <c r="H15" i="17"/>
  <c r="D15" i="17"/>
  <c r="C15" i="17"/>
  <c r="S14" i="17"/>
  <c r="R14" i="17"/>
  <c r="Q14" i="17"/>
  <c r="P14" i="17"/>
  <c r="O14" i="17"/>
  <c r="N14" i="17"/>
  <c r="M14" i="17"/>
  <c r="J14" i="17"/>
  <c r="I14" i="17"/>
  <c r="H14" i="17"/>
  <c r="G14" i="17"/>
  <c r="S13" i="17"/>
  <c r="R13" i="17"/>
  <c r="Q13" i="17"/>
  <c r="P13" i="17"/>
  <c r="O13" i="17"/>
  <c r="N13" i="17"/>
  <c r="M13" i="17"/>
  <c r="J13" i="17"/>
  <c r="I13" i="17"/>
  <c r="H13" i="17"/>
  <c r="G13" i="17"/>
  <c r="F13" i="17"/>
  <c r="S12" i="17"/>
  <c r="R12" i="17"/>
  <c r="Q12" i="17"/>
  <c r="P12" i="17"/>
  <c r="O12" i="17"/>
  <c r="D6" i="17" s="1"/>
  <c r="N12" i="17"/>
  <c r="M12" i="17"/>
  <c r="G9" i="17"/>
  <c r="T8" i="17"/>
  <c r="J21" i="17" s="1"/>
  <c r="S8" i="17"/>
  <c r="I21" i="17" s="1"/>
  <c r="R8" i="17"/>
  <c r="H21" i="17" s="1"/>
  <c r="Q8" i="17"/>
  <c r="G15" i="17" s="1"/>
  <c r="P8" i="17"/>
  <c r="F15" i="17" s="1"/>
  <c r="O8" i="17"/>
  <c r="E18" i="17" s="1"/>
  <c r="N8" i="17"/>
  <c r="D12" i="17" s="1"/>
  <c r="M8" i="17"/>
  <c r="C12" i="17" s="1"/>
  <c r="T7" i="17"/>
  <c r="J20" i="17" s="1"/>
  <c r="S7" i="17"/>
  <c r="I17" i="17" s="1"/>
  <c r="R7" i="17"/>
  <c r="H17" i="17" s="1"/>
  <c r="Q7" i="17"/>
  <c r="G11" i="17" s="1"/>
  <c r="P7" i="17"/>
  <c r="F14" i="17" s="1"/>
  <c r="O7" i="17"/>
  <c r="E14" i="17" s="1"/>
  <c r="N7" i="17"/>
  <c r="D11" i="17" s="1"/>
  <c r="M7" i="17"/>
  <c r="C11" i="17" s="1"/>
  <c r="T6" i="17"/>
  <c r="J19" i="17" s="1"/>
  <c r="S6" i="17"/>
  <c r="I19" i="17" s="1"/>
  <c r="R6" i="17"/>
  <c r="H16" i="17" s="1"/>
  <c r="Q6" i="17"/>
  <c r="G16" i="17" s="1"/>
  <c r="P6" i="17"/>
  <c r="F10" i="17" s="1"/>
  <c r="O6" i="17"/>
  <c r="E13" i="17" s="1"/>
  <c r="N6" i="17"/>
  <c r="D10" i="17" s="1"/>
  <c r="M6" i="17"/>
  <c r="C10" i="17" s="1"/>
  <c r="E6" i="17"/>
  <c r="C6" i="17"/>
  <c r="T5" i="17"/>
  <c r="S5" i="17"/>
  <c r="R5" i="17"/>
  <c r="Q5" i="17"/>
  <c r="P5" i="17"/>
  <c r="O5" i="17"/>
  <c r="N5" i="17"/>
  <c r="M5" i="17"/>
  <c r="E5" i="17"/>
  <c r="C5" i="17"/>
  <c r="E4" i="17"/>
  <c r="C4" i="17"/>
  <c r="D17" i="14"/>
  <c r="E17" i="14"/>
  <c r="F17" i="14"/>
  <c r="G17" i="14"/>
  <c r="H17" i="14"/>
  <c r="I17" i="14"/>
  <c r="J17" i="14"/>
  <c r="D18" i="14"/>
  <c r="E18" i="14"/>
  <c r="F18" i="14"/>
  <c r="G18" i="14"/>
  <c r="H18" i="14"/>
  <c r="I18" i="14"/>
  <c r="J18" i="14"/>
  <c r="E16" i="14"/>
  <c r="F16" i="14"/>
  <c r="G16" i="14"/>
  <c r="H16" i="14"/>
  <c r="I16" i="14"/>
  <c r="J16" i="14"/>
  <c r="D16" i="14"/>
  <c r="D14" i="14"/>
  <c r="E14" i="14"/>
  <c r="F14" i="14"/>
  <c r="G14" i="14"/>
  <c r="H14" i="14"/>
  <c r="I14" i="14"/>
  <c r="J14" i="14"/>
  <c r="D15" i="14"/>
  <c r="E15" i="14"/>
  <c r="F15" i="14"/>
  <c r="G15" i="14"/>
  <c r="H15" i="14"/>
  <c r="I15" i="14"/>
  <c r="J15" i="14"/>
  <c r="J13" i="14"/>
  <c r="E13" i="14"/>
  <c r="F13" i="14"/>
  <c r="G13" i="14"/>
  <c r="H13" i="14"/>
  <c r="I13" i="14"/>
  <c r="D13" i="14"/>
  <c r="D11" i="14"/>
  <c r="E11" i="14"/>
  <c r="F11" i="14"/>
  <c r="G11" i="14"/>
  <c r="H11" i="14"/>
  <c r="I11" i="14"/>
  <c r="J11" i="14"/>
  <c r="D12" i="14"/>
  <c r="E12" i="14"/>
  <c r="F12" i="14"/>
  <c r="G12" i="14"/>
  <c r="H12" i="14"/>
  <c r="I12" i="14"/>
  <c r="J12" i="14"/>
  <c r="E10" i="14"/>
  <c r="F10" i="14"/>
  <c r="G10" i="14"/>
  <c r="H10" i="14"/>
  <c r="I10" i="14"/>
  <c r="J10" i="14"/>
  <c r="D10" i="14"/>
  <c r="D8" i="14"/>
  <c r="E8" i="14"/>
  <c r="F8" i="14"/>
  <c r="G8" i="14"/>
  <c r="H8" i="14"/>
  <c r="I8" i="14"/>
  <c r="J8" i="14"/>
  <c r="D9" i="14"/>
  <c r="E9" i="14"/>
  <c r="F9" i="14"/>
  <c r="G9" i="14"/>
  <c r="H9" i="14"/>
  <c r="I9" i="14"/>
  <c r="J9" i="14"/>
  <c r="E7" i="14"/>
  <c r="F7" i="14"/>
  <c r="G7" i="14"/>
  <c r="H7" i="14"/>
  <c r="I7" i="14"/>
  <c r="J7" i="14"/>
  <c r="D7" i="14"/>
  <c r="D5" i="14"/>
  <c r="E5" i="14"/>
  <c r="F5" i="14"/>
  <c r="G5" i="14"/>
  <c r="H5" i="14"/>
  <c r="I5" i="14"/>
  <c r="J5" i="14"/>
  <c r="D6" i="14"/>
  <c r="E6" i="14"/>
  <c r="F6" i="14"/>
  <c r="G6" i="14"/>
  <c r="H6" i="14"/>
  <c r="I6" i="14"/>
  <c r="J6" i="14"/>
  <c r="E4" i="14"/>
  <c r="F4" i="14"/>
  <c r="G4" i="14"/>
  <c r="H4" i="14"/>
  <c r="I4" i="14"/>
  <c r="J4" i="14"/>
  <c r="D4" i="14"/>
  <c r="O17" i="14"/>
  <c r="D19" i="13"/>
  <c r="E16" i="13"/>
  <c r="F16" i="13"/>
  <c r="G16" i="13"/>
  <c r="H16" i="13"/>
  <c r="I16" i="13"/>
  <c r="J16" i="13"/>
  <c r="E17" i="13"/>
  <c r="F17" i="13"/>
  <c r="G17" i="13"/>
  <c r="H17" i="13"/>
  <c r="I17" i="13"/>
  <c r="J17" i="13"/>
  <c r="E18" i="13"/>
  <c r="F18" i="13"/>
  <c r="G18" i="13"/>
  <c r="H18" i="13"/>
  <c r="I18" i="13"/>
  <c r="J18" i="13"/>
  <c r="D17" i="13"/>
  <c r="D18" i="13"/>
  <c r="D16" i="13"/>
  <c r="D12" i="13"/>
  <c r="E13" i="13"/>
  <c r="F13" i="13"/>
  <c r="G13" i="13"/>
  <c r="H13" i="13"/>
  <c r="I13" i="13"/>
  <c r="J13" i="13"/>
  <c r="E14" i="13"/>
  <c r="F14" i="13"/>
  <c r="G14" i="13"/>
  <c r="H14" i="13"/>
  <c r="I14" i="13"/>
  <c r="J14" i="13"/>
  <c r="E15" i="13"/>
  <c r="F15" i="13"/>
  <c r="G15" i="13"/>
  <c r="H15" i="13"/>
  <c r="I15" i="13"/>
  <c r="J15" i="13"/>
  <c r="D14" i="13"/>
  <c r="D15" i="13"/>
  <c r="D13" i="13"/>
  <c r="D11" i="13"/>
  <c r="E11" i="13"/>
  <c r="F11" i="13"/>
  <c r="G11" i="13"/>
  <c r="H11" i="13"/>
  <c r="I11" i="13"/>
  <c r="J11" i="13"/>
  <c r="E12" i="13"/>
  <c r="F12" i="13"/>
  <c r="G12" i="13"/>
  <c r="H12" i="13"/>
  <c r="I12" i="13"/>
  <c r="J12" i="13"/>
  <c r="E10" i="13"/>
  <c r="F10" i="13"/>
  <c r="G10" i="13"/>
  <c r="H10" i="13"/>
  <c r="I10" i="13"/>
  <c r="J10" i="13"/>
  <c r="D10" i="13"/>
  <c r="D8" i="13"/>
  <c r="E8" i="13"/>
  <c r="F8" i="13"/>
  <c r="G8" i="13"/>
  <c r="H8" i="13"/>
  <c r="I8" i="13"/>
  <c r="J8" i="13"/>
  <c r="D9" i="13"/>
  <c r="E9" i="13"/>
  <c r="F9" i="13"/>
  <c r="G9" i="13"/>
  <c r="H9" i="13"/>
  <c r="I9" i="13"/>
  <c r="J9" i="13"/>
  <c r="E7" i="13"/>
  <c r="F7" i="13"/>
  <c r="G7" i="13"/>
  <c r="H7" i="13"/>
  <c r="I7" i="13"/>
  <c r="J7" i="13"/>
  <c r="D7" i="13"/>
  <c r="M13" i="14"/>
  <c r="N13" i="14"/>
  <c r="O13" i="14"/>
  <c r="P13" i="14"/>
  <c r="Q13" i="14"/>
  <c r="R13" i="14"/>
  <c r="S13" i="14"/>
  <c r="M14" i="14"/>
  <c r="N14" i="14"/>
  <c r="O14" i="14"/>
  <c r="P14" i="14"/>
  <c r="Q14" i="14"/>
  <c r="R14" i="14"/>
  <c r="S14" i="14"/>
  <c r="M15" i="14"/>
  <c r="N15" i="14"/>
  <c r="O15" i="14"/>
  <c r="P15" i="14"/>
  <c r="Q15" i="14"/>
  <c r="R15" i="14"/>
  <c r="S15" i="14"/>
  <c r="M16" i="14"/>
  <c r="N16" i="14"/>
  <c r="O16" i="14"/>
  <c r="P16" i="14"/>
  <c r="Q16" i="14"/>
  <c r="R16" i="14"/>
  <c r="S16" i="14"/>
  <c r="M17" i="14"/>
  <c r="N17" i="14"/>
  <c r="P17" i="14"/>
  <c r="Q17" i="14"/>
  <c r="R17" i="14"/>
  <c r="S17" i="14"/>
  <c r="N12" i="14"/>
  <c r="O12" i="14"/>
  <c r="P12" i="14"/>
  <c r="Q12" i="14"/>
  <c r="R12" i="14"/>
  <c r="S12" i="14"/>
  <c r="M12" i="14"/>
  <c r="M6" i="14"/>
  <c r="N6" i="14"/>
  <c r="O6" i="14"/>
  <c r="P6" i="14"/>
  <c r="Q6" i="14"/>
  <c r="R6" i="14"/>
  <c r="S6" i="14"/>
  <c r="T6" i="14"/>
  <c r="J19" i="14" s="1"/>
  <c r="M7" i="14"/>
  <c r="C20" i="14" s="1"/>
  <c r="N7" i="14"/>
  <c r="O7" i="14"/>
  <c r="P7" i="14"/>
  <c r="Q7" i="14"/>
  <c r="R7" i="14"/>
  <c r="S7" i="14"/>
  <c r="T7" i="14"/>
  <c r="M8" i="14"/>
  <c r="N8" i="14"/>
  <c r="O8" i="14"/>
  <c r="P8" i="14"/>
  <c r="Q8" i="14"/>
  <c r="R8" i="14"/>
  <c r="S8" i="14"/>
  <c r="T8" i="14"/>
  <c r="J21" i="14" s="1"/>
  <c r="N5" i="14"/>
  <c r="O5" i="14"/>
  <c r="P5" i="14"/>
  <c r="Q5" i="14"/>
  <c r="R5" i="14"/>
  <c r="S5" i="14"/>
  <c r="T5" i="14"/>
  <c r="M5" i="14"/>
  <c r="M13" i="13"/>
  <c r="N13" i="13"/>
  <c r="O13" i="13"/>
  <c r="P13" i="13"/>
  <c r="Q13" i="13"/>
  <c r="R13" i="13"/>
  <c r="S13" i="13"/>
  <c r="M14" i="13"/>
  <c r="C11" i="13" s="1"/>
  <c r="N14" i="13"/>
  <c r="O14" i="13"/>
  <c r="P14" i="13"/>
  <c r="Q14" i="13"/>
  <c r="R14" i="13"/>
  <c r="S14" i="13"/>
  <c r="M15" i="13"/>
  <c r="N15" i="13"/>
  <c r="O15" i="13"/>
  <c r="P15" i="13"/>
  <c r="Q15" i="13"/>
  <c r="R15" i="13"/>
  <c r="S15" i="13"/>
  <c r="M16" i="13"/>
  <c r="N16" i="13"/>
  <c r="O16" i="13"/>
  <c r="P16" i="13"/>
  <c r="Q16" i="13"/>
  <c r="R16" i="13"/>
  <c r="S16" i="13"/>
  <c r="M17" i="13"/>
  <c r="N17" i="13"/>
  <c r="O17" i="13"/>
  <c r="P17" i="13"/>
  <c r="Q17" i="13"/>
  <c r="R17" i="13"/>
  <c r="S17" i="13"/>
  <c r="N12" i="13"/>
  <c r="O12" i="13"/>
  <c r="P12" i="13"/>
  <c r="Q12" i="13"/>
  <c r="R12" i="13"/>
  <c r="S12" i="13"/>
  <c r="M12" i="13"/>
  <c r="C4" i="13" s="1"/>
  <c r="N5" i="13"/>
  <c r="O5" i="13"/>
  <c r="P5" i="13"/>
  <c r="Q5" i="13"/>
  <c r="R5" i="13"/>
  <c r="S5" i="13"/>
  <c r="T5" i="13"/>
  <c r="N6" i="13"/>
  <c r="O6" i="13"/>
  <c r="P6" i="13"/>
  <c r="Q6" i="13"/>
  <c r="R6" i="13"/>
  <c r="S6" i="13"/>
  <c r="T6" i="13"/>
  <c r="J19" i="13" s="1"/>
  <c r="N7" i="13"/>
  <c r="O7" i="13"/>
  <c r="E20" i="13" s="1"/>
  <c r="P7" i="13"/>
  <c r="Q7" i="13"/>
  <c r="R7" i="13"/>
  <c r="H5" i="13" s="1"/>
  <c r="S7" i="13"/>
  <c r="T7" i="13"/>
  <c r="N8" i="13"/>
  <c r="O8" i="13"/>
  <c r="P8" i="13"/>
  <c r="F6" i="13" s="1"/>
  <c r="Q8" i="13"/>
  <c r="G6" i="13" s="1"/>
  <c r="R8" i="13"/>
  <c r="H6" i="13" s="1"/>
  <c r="S8" i="13"/>
  <c r="T8" i="13"/>
  <c r="M6" i="13"/>
  <c r="M7" i="13"/>
  <c r="C5" i="13" s="1"/>
  <c r="M8" i="13"/>
  <c r="C15" i="13" s="1"/>
  <c r="M5" i="13"/>
  <c r="D6" i="13"/>
  <c r="J6" i="13"/>
  <c r="D5" i="13"/>
  <c r="G5" i="13"/>
  <c r="I5" i="13"/>
  <c r="J5" i="13"/>
  <c r="E6" i="13"/>
  <c r="I6" i="13"/>
  <c r="F4" i="13"/>
  <c r="G4" i="13"/>
  <c r="H4" i="13"/>
  <c r="I4" i="13"/>
  <c r="I21" i="14"/>
  <c r="C21" i="14"/>
  <c r="J20" i="14"/>
  <c r="I20" i="14"/>
  <c r="I19" i="14"/>
  <c r="C19" i="14"/>
  <c r="H21" i="14"/>
  <c r="F21" i="14"/>
  <c r="F19" i="14"/>
  <c r="J20" i="13"/>
  <c r="F20" i="13"/>
  <c r="F19" i="13"/>
  <c r="J21" i="13"/>
  <c r="I21" i="13"/>
  <c r="C12" i="13"/>
  <c r="I20" i="13"/>
  <c r="I19" i="13"/>
  <c r="H19" i="13"/>
  <c r="C10" i="13"/>
  <c r="D19" i="12"/>
  <c r="D17" i="12"/>
  <c r="E17" i="12"/>
  <c r="F17" i="12"/>
  <c r="G17" i="12"/>
  <c r="H17" i="12"/>
  <c r="I17" i="12"/>
  <c r="J17" i="12"/>
  <c r="D18" i="12"/>
  <c r="E18" i="12"/>
  <c r="F18" i="12"/>
  <c r="G18" i="12"/>
  <c r="H18" i="12"/>
  <c r="I18" i="12"/>
  <c r="J18" i="12"/>
  <c r="J16" i="12"/>
  <c r="E16" i="12"/>
  <c r="F16" i="12"/>
  <c r="G16" i="12"/>
  <c r="H16" i="12"/>
  <c r="I16" i="12"/>
  <c r="D16" i="12"/>
  <c r="D14" i="12"/>
  <c r="E14" i="12"/>
  <c r="F14" i="12"/>
  <c r="G14" i="12"/>
  <c r="H14" i="12"/>
  <c r="I14" i="12"/>
  <c r="J14" i="12"/>
  <c r="D15" i="12"/>
  <c r="E15" i="12"/>
  <c r="F15" i="12"/>
  <c r="G15" i="12"/>
  <c r="H15" i="12"/>
  <c r="I15" i="12"/>
  <c r="J15" i="12"/>
  <c r="E13" i="12"/>
  <c r="F13" i="12"/>
  <c r="G13" i="12"/>
  <c r="H13" i="12"/>
  <c r="I13" i="12"/>
  <c r="J13" i="12"/>
  <c r="D13" i="12"/>
  <c r="D11" i="12"/>
  <c r="E11" i="12"/>
  <c r="F11" i="12"/>
  <c r="G11" i="12"/>
  <c r="H11" i="12"/>
  <c r="I11" i="12"/>
  <c r="J11" i="12"/>
  <c r="D12" i="12"/>
  <c r="E12" i="12"/>
  <c r="F12" i="12"/>
  <c r="G12" i="12"/>
  <c r="H12" i="12"/>
  <c r="I12" i="12"/>
  <c r="J12" i="12"/>
  <c r="E10" i="12"/>
  <c r="F10" i="12"/>
  <c r="G10" i="12"/>
  <c r="H10" i="12"/>
  <c r="I10" i="12"/>
  <c r="J10" i="12"/>
  <c r="D10" i="12"/>
  <c r="J9" i="12"/>
  <c r="D8" i="12"/>
  <c r="E8" i="12"/>
  <c r="F8" i="12"/>
  <c r="G8" i="12"/>
  <c r="H8" i="12"/>
  <c r="I8" i="12"/>
  <c r="J8" i="12"/>
  <c r="D9" i="12"/>
  <c r="E9" i="12"/>
  <c r="F9" i="12"/>
  <c r="G9" i="12"/>
  <c r="H9" i="12"/>
  <c r="I9" i="12"/>
  <c r="E7" i="12"/>
  <c r="F7" i="12"/>
  <c r="G7" i="12"/>
  <c r="H7" i="12"/>
  <c r="I7" i="12"/>
  <c r="J7" i="12"/>
  <c r="D7" i="12"/>
  <c r="J6" i="12"/>
  <c r="E4" i="12"/>
  <c r="F4" i="12"/>
  <c r="G4" i="12"/>
  <c r="H4" i="12"/>
  <c r="I4" i="12"/>
  <c r="J4" i="12"/>
  <c r="E5" i="12"/>
  <c r="F5" i="12"/>
  <c r="G5" i="12"/>
  <c r="H5" i="12"/>
  <c r="I5" i="12"/>
  <c r="J5" i="12"/>
  <c r="E6" i="12"/>
  <c r="F6" i="12"/>
  <c r="G6" i="12"/>
  <c r="H6" i="12"/>
  <c r="I6" i="12"/>
  <c r="D5" i="12"/>
  <c r="D6" i="12"/>
  <c r="D4" i="12"/>
  <c r="C4" i="12"/>
  <c r="J21" i="12"/>
  <c r="I21" i="12"/>
  <c r="H21" i="12"/>
  <c r="G21" i="12"/>
  <c r="F21" i="12"/>
  <c r="E21" i="12"/>
  <c r="D21" i="12"/>
  <c r="C21" i="12"/>
  <c r="J20" i="12"/>
  <c r="I20" i="12"/>
  <c r="H20" i="12"/>
  <c r="G20" i="12"/>
  <c r="F20" i="12"/>
  <c r="E20" i="12"/>
  <c r="D20" i="12"/>
  <c r="C20" i="12"/>
  <c r="J19" i="12"/>
  <c r="I19" i="12"/>
  <c r="H19" i="12"/>
  <c r="G19" i="12"/>
  <c r="F19" i="12"/>
  <c r="E19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M13" i="12"/>
  <c r="N13" i="12"/>
  <c r="O13" i="12"/>
  <c r="P13" i="12"/>
  <c r="Q13" i="12"/>
  <c r="R13" i="12"/>
  <c r="S13" i="12"/>
  <c r="M14" i="12"/>
  <c r="N14" i="12"/>
  <c r="O14" i="12"/>
  <c r="P14" i="12"/>
  <c r="Q14" i="12"/>
  <c r="R14" i="12"/>
  <c r="S14" i="12"/>
  <c r="M15" i="12"/>
  <c r="N15" i="12"/>
  <c r="O15" i="12"/>
  <c r="P15" i="12"/>
  <c r="Q15" i="12"/>
  <c r="R15" i="12"/>
  <c r="S15" i="12"/>
  <c r="M16" i="12"/>
  <c r="N16" i="12"/>
  <c r="O16" i="12"/>
  <c r="P16" i="12"/>
  <c r="Q16" i="12"/>
  <c r="R16" i="12"/>
  <c r="S16" i="12"/>
  <c r="M17" i="12"/>
  <c r="N17" i="12"/>
  <c r="O17" i="12"/>
  <c r="P17" i="12"/>
  <c r="Q17" i="12"/>
  <c r="R17" i="12"/>
  <c r="S17" i="12"/>
  <c r="N12" i="12"/>
  <c r="O12" i="12"/>
  <c r="P12" i="12"/>
  <c r="Q12" i="12"/>
  <c r="R12" i="12"/>
  <c r="S12" i="12"/>
  <c r="M12" i="12"/>
  <c r="M7" i="12"/>
  <c r="N7" i="12"/>
  <c r="O7" i="12"/>
  <c r="P7" i="12"/>
  <c r="Q7" i="12"/>
  <c r="R7" i="12"/>
  <c r="S7" i="12"/>
  <c r="T7" i="12"/>
  <c r="M8" i="12"/>
  <c r="N8" i="12"/>
  <c r="O8" i="12"/>
  <c r="P8" i="12"/>
  <c r="Q8" i="12"/>
  <c r="R8" i="12"/>
  <c r="S8" i="12"/>
  <c r="T8" i="12"/>
  <c r="M6" i="12"/>
  <c r="N6" i="12"/>
  <c r="O6" i="12"/>
  <c r="P6" i="12"/>
  <c r="Q6" i="12"/>
  <c r="R6" i="12"/>
  <c r="S6" i="12"/>
  <c r="T6" i="12"/>
  <c r="N5" i="12"/>
  <c r="O5" i="12"/>
  <c r="P5" i="12"/>
  <c r="Q5" i="12"/>
  <c r="R5" i="12"/>
  <c r="S5" i="12"/>
  <c r="T5" i="12"/>
  <c r="M5" i="12"/>
  <c r="E19" i="11"/>
  <c r="F19" i="11"/>
  <c r="G19" i="11"/>
  <c r="H19" i="11"/>
  <c r="I19" i="11"/>
  <c r="J19" i="11"/>
  <c r="E20" i="11"/>
  <c r="F20" i="11"/>
  <c r="G20" i="11"/>
  <c r="H20" i="11"/>
  <c r="I20" i="11"/>
  <c r="J20" i="11"/>
  <c r="E21" i="11"/>
  <c r="F21" i="11"/>
  <c r="G21" i="11"/>
  <c r="H21" i="11"/>
  <c r="I21" i="11"/>
  <c r="J21" i="11"/>
  <c r="D20" i="11"/>
  <c r="D21" i="11"/>
  <c r="D19" i="11"/>
  <c r="E16" i="11"/>
  <c r="F16" i="11"/>
  <c r="G16" i="11"/>
  <c r="H16" i="11"/>
  <c r="I16" i="11"/>
  <c r="J16" i="11"/>
  <c r="E17" i="11"/>
  <c r="F17" i="11"/>
  <c r="G17" i="11"/>
  <c r="H17" i="11"/>
  <c r="I17" i="11"/>
  <c r="J17" i="11"/>
  <c r="E18" i="11"/>
  <c r="F18" i="11"/>
  <c r="G18" i="11"/>
  <c r="H18" i="11"/>
  <c r="I18" i="11"/>
  <c r="J18" i="11"/>
  <c r="D17" i="11"/>
  <c r="D18" i="11"/>
  <c r="D16" i="11"/>
  <c r="E15" i="11"/>
  <c r="F15" i="11"/>
  <c r="G15" i="11"/>
  <c r="H15" i="11"/>
  <c r="I15" i="11"/>
  <c r="J15" i="11"/>
  <c r="D15" i="11"/>
  <c r="E14" i="11"/>
  <c r="F14" i="11"/>
  <c r="G14" i="11"/>
  <c r="H14" i="11"/>
  <c r="I14" i="11"/>
  <c r="J14" i="11"/>
  <c r="D14" i="11"/>
  <c r="E13" i="11"/>
  <c r="F13" i="11"/>
  <c r="G13" i="11"/>
  <c r="H13" i="11"/>
  <c r="I13" i="11"/>
  <c r="J13" i="11"/>
  <c r="D13" i="11"/>
  <c r="E12" i="11"/>
  <c r="F12" i="11"/>
  <c r="G12" i="11"/>
  <c r="H12" i="11"/>
  <c r="I12" i="11"/>
  <c r="J12" i="11"/>
  <c r="D12" i="11"/>
  <c r="E11" i="11"/>
  <c r="F11" i="11"/>
  <c r="G11" i="11"/>
  <c r="H11" i="11"/>
  <c r="I11" i="11"/>
  <c r="J11" i="11"/>
  <c r="D11" i="11"/>
  <c r="E10" i="11"/>
  <c r="F10" i="11"/>
  <c r="G10" i="11"/>
  <c r="H10" i="11"/>
  <c r="I10" i="11"/>
  <c r="J10" i="11"/>
  <c r="D10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E9" i="11"/>
  <c r="F9" i="11"/>
  <c r="G9" i="11"/>
  <c r="H9" i="11"/>
  <c r="I9" i="11"/>
  <c r="J9" i="11"/>
  <c r="D9" i="11"/>
  <c r="E8" i="11"/>
  <c r="F8" i="11"/>
  <c r="G8" i="11"/>
  <c r="H8" i="11"/>
  <c r="I8" i="11"/>
  <c r="J8" i="11"/>
  <c r="D8" i="11"/>
  <c r="E7" i="11"/>
  <c r="F7" i="11"/>
  <c r="G7" i="11"/>
  <c r="H7" i="11"/>
  <c r="I7" i="11"/>
  <c r="J7" i="11"/>
  <c r="D7" i="11"/>
  <c r="C9" i="11"/>
  <c r="C8" i="11"/>
  <c r="C7" i="11"/>
  <c r="E6" i="11"/>
  <c r="F6" i="11"/>
  <c r="G6" i="11"/>
  <c r="H6" i="11"/>
  <c r="I6" i="11"/>
  <c r="J6" i="11"/>
  <c r="D6" i="11"/>
  <c r="C6" i="11"/>
  <c r="E5" i="11"/>
  <c r="F5" i="11"/>
  <c r="G5" i="11"/>
  <c r="H5" i="11"/>
  <c r="I5" i="11"/>
  <c r="J5" i="11"/>
  <c r="D5" i="11"/>
  <c r="C5" i="11"/>
  <c r="C4" i="11"/>
  <c r="J4" i="11"/>
  <c r="E4" i="11"/>
  <c r="F4" i="11"/>
  <c r="G4" i="11"/>
  <c r="H4" i="11"/>
  <c r="I4" i="11"/>
  <c r="D4" i="11"/>
  <c r="L4" i="10"/>
  <c r="S6" i="10"/>
  <c r="R6" i="10"/>
  <c r="Q6" i="10"/>
  <c r="P6" i="10"/>
  <c r="O6" i="10"/>
  <c r="N6" i="10"/>
  <c r="M6" i="10"/>
  <c r="L6" i="10"/>
  <c r="S5" i="10"/>
  <c r="R5" i="10"/>
  <c r="Q5" i="10"/>
  <c r="P5" i="10"/>
  <c r="O5" i="10"/>
  <c r="N5" i="10"/>
  <c r="M5" i="10"/>
  <c r="L5" i="10"/>
  <c r="S4" i="10"/>
  <c r="R4" i="10"/>
  <c r="Q4" i="10"/>
  <c r="P4" i="10"/>
  <c r="O4" i="10"/>
  <c r="N4" i="10"/>
  <c r="M4" i="10"/>
  <c r="S6" i="9"/>
  <c r="M4" i="9"/>
  <c r="N4" i="9"/>
  <c r="O4" i="9"/>
  <c r="P4" i="9"/>
  <c r="Q4" i="9"/>
  <c r="R4" i="9"/>
  <c r="S4" i="9"/>
  <c r="M5" i="9"/>
  <c r="N5" i="9"/>
  <c r="O5" i="9"/>
  <c r="P5" i="9"/>
  <c r="Q5" i="9"/>
  <c r="R5" i="9"/>
  <c r="S5" i="9"/>
  <c r="M6" i="9"/>
  <c r="N6" i="9"/>
  <c r="O6" i="9"/>
  <c r="P6" i="9"/>
  <c r="Q6" i="9"/>
  <c r="R6" i="9"/>
  <c r="L5" i="9"/>
  <c r="L6" i="9"/>
  <c r="L4" i="9"/>
  <c r="M4" i="7"/>
  <c r="N4" i="7"/>
  <c r="O4" i="7"/>
  <c r="P4" i="7"/>
  <c r="Q4" i="7"/>
  <c r="R4" i="7"/>
  <c r="S4" i="7"/>
  <c r="M5" i="7"/>
  <c r="N5" i="7"/>
  <c r="O5" i="7"/>
  <c r="P5" i="7"/>
  <c r="Q5" i="7"/>
  <c r="R5" i="7"/>
  <c r="S5" i="7"/>
  <c r="M6" i="7"/>
  <c r="N6" i="7"/>
  <c r="O6" i="7"/>
  <c r="P6" i="7"/>
  <c r="Q6" i="7"/>
  <c r="R6" i="7"/>
  <c r="S6" i="7"/>
  <c r="L5" i="7"/>
  <c r="L6" i="7"/>
  <c r="L4" i="7"/>
  <c r="N4" i="8"/>
  <c r="O4" i="8"/>
  <c r="P4" i="8"/>
  <c r="Q4" i="8"/>
  <c r="R4" i="8"/>
  <c r="S4" i="8"/>
  <c r="T4" i="8"/>
  <c r="N5" i="8"/>
  <c r="O5" i="8"/>
  <c r="P5" i="8"/>
  <c r="Q5" i="8"/>
  <c r="R5" i="8"/>
  <c r="S5" i="8"/>
  <c r="T5" i="8"/>
  <c r="N6" i="8"/>
  <c r="O6" i="8"/>
  <c r="P6" i="8"/>
  <c r="Q6" i="8"/>
  <c r="R6" i="8"/>
  <c r="S6" i="8"/>
  <c r="T6" i="8"/>
  <c r="M4" i="8"/>
  <c r="M5" i="8"/>
  <c r="M6" i="8"/>
  <c r="M3" i="8"/>
  <c r="T20" i="16"/>
  <c r="U20" i="16"/>
  <c r="V20" i="16"/>
  <c r="W20" i="16"/>
  <c r="X20" i="16"/>
  <c r="Y20" i="16"/>
  <c r="Z20" i="16"/>
  <c r="AA20" i="16"/>
  <c r="T21" i="16"/>
  <c r="U21" i="16"/>
  <c r="V21" i="16"/>
  <c r="W21" i="16"/>
  <c r="X21" i="16"/>
  <c r="Y21" i="16"/>
  <c r="Z21" i="16"/>
  <c r="AA21" i="16"/>
  <c r="T22" i="16"/>
  <c r="U22" i="16"/>
  <c r="V22" i="16"/>
  <c r="W22" i="16"/>
  <c r="X22" i="16"/>
  <c r="Y22" i="16"/>
  <c r="Z22" i="16"/>
  <c r="AA22" i="16"/>
  <c r="S14" i="16"/>
  <c r="S15" i="16"/>
  <c r="S16" i="16"/>
  <c r="S17" i="16"/>
  <c r="S19" i="16"/>
  <c r="S20" i="16"/>
  <c r="S21" i="16"/>
  <c r="S22" i="16"/>
  <c r="T11" i="16"/>
  <c r="U11" i="16"/>
  <c r="V11" i="16"/>
  <c r="W11" i="16"/>
  <c r="X11" i="16"/>
  <c r="Y11" i="16"/>
  <c r="Z11" i="16"/>
  <c r="T12" i="16"/>
  <c r="U12" i="16"/>
  <c r="V12" i="16"/>
  <c r="W12" i="16"/>
  <c r="X12" i="16"/>
  <c r="Y12" i="16"/>
  <c r="Z12" i="16"/>
  <c r="T13" i="16"/>
  <c r="U13" i="16"/>
  <c r="V13" i="16"/>
  <c r="W13" i="16"/>
  <c r="X13" i="16"/>
  <c r="Y13" i="16"/>
  <c r="Z13" i="16"/>
  <c r="S8" i="16"/>
  <c r="S9" i="16"/>
  <c r="S10" i="16"/>
  <c r="S11" i="16"/>
  <c r="S12" i="16"/>
  <c r="S13" i="16"/>
  <c r="S5" i="16"/>
  <c r="T4" i="16"/>
  <c r="U4" i="16"/>
  <c r="V4" i="16"/>
  <c r="W4" i="16"/>
  <c r="X4" i="16"/>
  <c r="Y4" i="16"/>
  <c r="Z4" i="16"/>
  <c r="T5" i="16"/>
  <c r="U5" i="16"/>
  <c r="V5" i="16"/>
  <c r="W5" i="16"/>
  <c r="X5" i="16"/>
  <c r="Y5" i="16"/>
  <c r="Z5" i="16"/>
  <c r="T6" i="16"/>
  <c r="U6" i="16"/>
  <c r="V6" i="16"/>
  <c r="W6" i="16"/>
  <c r="X6" i="16"/>
  <c r="Y6" i="16"/>
  <c r="Z6" i="16"/>
  <c r="T7" i="16"/>
  <c r="U7" i="16"/>
  <c r="V7" i="16"/>
  <c r="W7" i="16"/>
  <c r="X7" i="16"/>
  <c r="Y7" i="16"/>
  <c r="Z7" i="16"/>
  <c r="S6" i="16"/>
  <c r="S7" i="16"/>
  <c r="S4" i="16"/>
  <c r="J5" i="10"/>
  <c r="J6" i="10"/>
  <c r="J4" i="10"/>
  <c r="J5" i="9"/>
  <c r="J6" i="9"/>
  <c r="J4" i="9"/>
  <c r="J5" i="7"/>
  <c r="J6" i="7"/>
  <c r="J4" i="7"/>
  <c r="J5" i="8"/>
  <c r="J6" i="8"/>
  <c r="J4" i="8"/>
  <c r="L13" i="15"/>
  <c r="M13" i="15"/>
  <c r="N13" i="15"/>
  <c r="O13" i="15"/>
  <c r="P13" i="15"/>
  <c r="K13" i="15"/>
  <c r="C13" i="15"/>
  <c r="D13" i="15"/>
  <c r="E13" i="15"/>
  <c r="F13" i="15"/>
  <c r="G13" i="15"/>
  <c r="B13" i="15"/>
  <c r="C12" i="15"/>
  <c r="D12" i="15"/>
  <c r="E12" i="15"/>
  <c r="F12" i="15"/>
  <c r="G12" i="15"/>
  <c r="H12" i="15"/>
  <c r="I12" i="15"/>
  <c r="J12" i="15"/>
  <c r="K12" i="15"/>
  <c r="L12" i="15"/>
  <c r="M12" i="15"/>
  <c r="N12" i="15"/>
  <c r="O12" i="15"/>
  <c r="P12" i="15"/>
  <c r="B12" i="15"/>
  <c r="B10" i="15"/>
  <c r="H11" i="15"/>
  <c r="I11" i="15"/>
  <c r="J11" i="15"/>
  <c r="K11" i="15"/>
  <c r="L11" i="15"/>
  <c r="M11" i="15"/>
  <c r="N11" i="15"/>
  <c r="O11" i="15"/>
  <c r="P11" i="15"/>
  <c r="C11" i="15"/>
  <c r="D11" i="15"/>
  <c r="E11" i="15"/>
  <c r="F11" i="15"/>
  <c r="G11" i="15"/>
  <c r="B11" i="15"/>
  <c r="H10" i="15"/>
  <c r="I10" i="15"/>
  <c r="J10" i="15"/>
  <c r="K10" i="15"/>
  <c r="L10" i="15"/>
  <c r="M10" i="15"/>
  <c r="N10" i="15"/>
  <c r="O10" i="15"/>
  <c r="P10" i="15"/>
  <c r="Q10" i="15"/>
  <c r="R10" i="15"/>
  <c r="S10" i="15"/>
  <c r="E10" i="15"/>
  <c r="F10" i="15"/>
  <c r="G10" i="15"/>
  <c r="C10" i="15"/>
  <c r="D10" i="15"/>
  <c r="C10" i="4"/>
  <c r="D10" i="4"/>
  <c r="B10" i="4"/>
  <c r="R4" i="15"/>
  <c r="S4" i="15"/>
  <c r="R5" i="15"/>
  <c r="S5" i="15"/>
  <c r="R6" i="15"/>
  <c r="S6" i="15"/>
  <c r="R7" i="15"/>
  <c r="S7" i="15"/>
  <c r="R8" i="15"/>
  <c r="S8" i="15"/>
  <c r="R9" i="15"/>
  <c r="S9" i="15"/>
  <c r="Q5" i="15"/>
  <c r="Q6" i="15"/>
  <c r="Q7" i="15"/>
  <c r="Q8" i="15"/>
  <c r="Q9" i="15"/>
  <c r="Q4" i="15"/>
  <c r="I4" i="15"/>
  <c r="J4" i="15"/>
  <c r="I5" i="15"/>
  <c r="J5" i="15"/>
  <c r="I6" i="15"/>
  <c r="J6" i="15"/>
  <c r="I7" i="15"/>
  <c r="J7" i="15"/>
  <c r="I8" i="15"/>
  <c r="J8" i="15"/>
  <c r="I9" i="15"/>
  <c r="J9" i="15"/>
  <c r="H5" i="15"/>
  <c r="H6" i="15"/>
  <c r="H7" i="15"/>
  <c r="H8" i="15"/>
  <c r="H9" i="15"/>
  <c r="H4" i="15"/>
  <c r="O4" i="15"/>
  <c r="P4" i="15"/>
  <c r="O5" i="15"/>
  <c r="P5" i="15"/>
  <c r="O6" i="15"/>
  <c r="P6" i="15"/>
  <c r="O7" i="15"/>
  <c r="P7" i="15"/>
  <c r="O8" i="15"/>
  <c r="P8" i="15"/>
  <c r="O9" i="15"/>
  <c r="P9" i="15"/>
  <c r="N5" i="15"/>
  <c r="N6" i="15"/>
  <c r="N7" i="15"/>
  <c r="N8" i="15"/>
  <c r="N9" i="15"/>
  <c r="N4" i="15"/>
  <c r="L4" i="15"/>
  <c r="M4" i="15"/>
  <c r="L5" i="15"/>
  <c r="M5" i="15"/>
  <c r="L6" i="15"/>
  <c r="M6" i="15"/>
  <c r="L7" i="15"/>
  <c r="M7" i="15"/>
  <c r="L8" i="15"/>
  <c r="M8" i="15"/>
  <c r="L9" i="15"/>
  <c r="M9" i="15"/>
  <c r="K5" i="15"/>
  <c r="K6" i="15"/>
  <c r="K7" i="15"/>
  <c r="K8" i="15"/>
  <c r="K9" i="15"/>
  <c r="K4" i="15"/>
  <c r="F4" i="15"/>
  <c r="G4" i="15"/>
  <c r="F5" i="15"/>
  <c r="G5" i="15"/>
  <c r="F6" i="15"/>
  <c r="G6" i="15"/>
  <c r="F7" i="15"/>
  <c r="G7" i="15"/>
  <c r="F8" i="15"/>
  <c r="G8" i="15"/>
  <c r="F9" i="15"/>
  <c r="G9" i="15"/>
  <c r="E5" i="15"/>
  <c r="E6" i="15"/>
  <c r="E7" i="15"/>
  <c r="E8" i="15"/>
  <c r="E9" i="15"/>
  <c r="E4" i="15"/>
  <c r="C4" i="15"/>
  <c r="D4" i="15"/>
  <c r="C5" i="15"/>
  <c r="D5" i="15"/>
  <c r="C6" i="15"/>
  <c r="D6" i="15"/>
  <c r="C7" i="15"/>
  <c r="D7" i="15"/>
  <c r="C8" i="15"/>
  <c r="D8" i="15"/>
  <c r="C9" i="15"/>
  <c r="D9" i="15"/>
  <c r="B5" i="15"/>
  <c r="B6" i="15"/>
  <c r="B7" i="15"/>
  <c r="B8" i="15"/>
  <c r="B9" i="15"/>
  <c r="B4" i="15"/>
  <c r="G4" i="19" l="1"/>
  <c r="G5" i="19"/>
  <c r="G6" i="19"/>
  <c r="G7" i="19"/>
  <c r="G8" i="19"/>
  <c r="G9" i="19"/>
  <c r="G10" i="19"/>
  <c r="G11" i="19"/>
  <c r="G12" i="19"/>
  <c r="C16" i="19"/>
  <c r="D17" i="19"/>
  <c r="E18" i="19"/>
  <c r="E19" i="19"/>
  <c r="E20" i="19"/>
  <c r="E21" i="19"/>
  <c r="H4" i="19"/>
  <c r="H5" i="19"/>
  <c r="H6" i="19"/>
  <c r="H7" i="19"/>
  <c r="H8" i="19"/>
  <c r="H9" i="19"/>
  <c r="I13" i="19"/>
  <c r="J14" i="19"/>
  <c r="C15" i="19"/>
  <c r="D16" i="19"/>
  <c r="E17" i="19"/>
  <c r="F18" i="19"/>
  <c r="F19" i="19"/>
  <c r="F20" i="19"/>
  <c r="F21" i="19"/>
  <c r="D7" i="19"/>
  <c r="D8" i="19"/>
  <c r="D9" i="19"/>
  <c r="D11" i="19"/>
  <c r="D12" i="19"/>
  <c r="E8" i="19"/>
  <c r="E9" i="19"/>
  <c r="E12" i="19"/>
  <c r="F4" i="19"/>
  <c r="F7" i="19"/>
  <c r="F8" i="19"/>
  <c r="F9" i="19"/>
  <c r="F10" i="19"/>
  <c r="F11" i="19"/>
  <c r="F12" i="19"/>
  <c r="D18" i="19"/>
  <c r="D20" i="19"/>
  <c r="I4" i="19"/>
  <c r="I5" i="19"/>
  <c r="I6" i="19"/>
  <c r="I7" i="19"/>
  <c r="I8" i="19"/>
  <c r="I9" i="19"/>
  <c r="J13" i="19"/>
  <c r="C14" i="19"/>
  <c r="D15" i="19"/>
  <c r="E16" i="19"/>
  <c r="G18" i="19"/>
  <c r="G20" i="19"/>
  <c r="E10" i="19"/>
  <c r="F5" i="19"/>
  <c r="F6" i="19"/>
  <c r="D19" i="19"/>
  <c r="J4" i="19"/>
  <c r="J5" i="19"/>
  <c r="J7" i="19"/>
  <c r="J8" i="19"/>
  <c r="J9" i="19"/>
  <c r="C13" i="19"/>
  <c r="D10" i="19"/>
  <c r="E11" i="19"/>
  <c r="C7" i="19"/>
  <c r="C8" i="19"/>
  <c r="C9" i="19"/>
  <c r="E7" i="18"/>
  <c r="E12" i="18"/>
  <c r="F4" i="18"/>
  <c r="F5" i="18"/>
  <c r="F6" i="18"/>
  <c r="F7" i="18"/>
  <c r="F8" i="18"/>
  <c r="F9" i="18"/>
  <c r="F10" i="18"/>
  <c r="F11" i="18"/>
  <c r="F12" i="18"/>
  <c r="G13" i="18"/>
  <c r="H14" i="18"/>
  <c r="I15" i="18"/>
  <c r="J16" i="18"/>
  <c r="C17" i="18"/>
  <c r="D18" i="18"/>
  <c r="D19" i="18"/>
  <c r="D20" i="18"/>
  <c r="D21" i="18"/>
  <c r="E8" i="18"/>
  <c r="G4" i="18"/>
  <c r="G5" i="18"/>
  <c r="G6" i="18"/>
  <c r="G7" i="18"/>
  <c r="G8" i="18"/>
  <c r="G9" i="18"/>
  <c r="G10" i="18"/>
  <c r="G11" i="18"/>
  <c r="G12" i="18"/>
  <c r="E18" i="18"/>
  <c r="E19" i="18"/>
  <c r="E20" i="18"/>
  <c r="E21" i="18"/>
  <c r="E11" i="18"/>
  <c r="H4" i="18"/>
  <c r="H5" i="18"/>
  <c r="H6" i="18"/>
  <c r="H7" i="18"/>
  <c r="H8" i="18"/>
  <c r="H9" i="18"/>
  <c r="H10" i="18"/>
  <c r="H11" i="18"/>
  <c r="H12" i="18"/>
  <c r="I13" i="18"/>
  <c r="J14" i="18"/>
  <c r="C15" i="18"/>
  <c r="D16" i="18"/>
  <c r="E17" i="18"/>
  <c r="F18" i="18"/>
  <c r="F19" i="18"/>
  <c r="F20" i="18"/>
  <c r="I4" i="18"/>
  <c r="I5" i="18"/>
  <c r="I6" i="18"/>
  <c r="I7" i="18"/>
  <c r="I8" i="18"/>
  <c r="I9" i="18"/>
  <c r="I10" i="18"/>
  <c r="I11" i="18"/>
  <c r="I12" i="18"/>
  <c r="J13" i="18"/>
  <c r="C14" i="18"/>
  <c r="D15" i="18"/>
  <c r="E16" i="18"/>
  <c r="F17" i="18"/>
  <c r="G18" i="18"/>
  <c r="G19" i="18"/>
  <c r="G20" i="18"/>
  <c r="G21" i="18"/>
  <c r="J4" i="18"/>
  <c r="J5" i="18"/>
  <c r="J6" i="18"/>
  <c r="J7" i="18"/>
  <c r="J8" i="18"/>
  <c r="J9" i="18"/>
  <c r="J10" i="18"/>
  <c r="J11" i="18"/>
  <c r="J12" i="18"/>
  <c r="C13" i="18"/>
  <c r="D14" i="18"/>
  <c r="H18" i="18"/>
  <c r="H19" i="18"/>
  <c r="H20" i="18"/>
  <c r="C7" i="18"/>
  <c r="C8" i="18"/>
  <c r="C9" i="18"/>
  <c r="I18" i="18"/>
  <c r="I20" i="18"/>
  <c r="E10" i="18"/>
  <c r="D4" i="18"/>
  <c r="D5" i="18"/>
  <c r="D7" i="18"/>
  <c r="D8" i="18"/>
  <c r="D9" i="18"/>
  <c r="J18" i="18"/>
  <c r="E8" i="17"/>
  <c r="E11" i="17"/>
  <c r="F7" i="17"/>
  <c r="F11" i="17"/>
  <c r="G4" i="17"/>
  <c r="G7" i="17"/>
  <c r="G12" i="17"/>
  <c r="E19" i="17"/>
  <c r="H4" i="17"/>
  <c r="H5" i="17"/>
  <c r="H6" i="17"/>
  <c r="H7" i="17"/>
  <c r="H8" i="17"/>
  <c r="H9" i="17"/>
  <c r="H10" i="17"/>
  <c r="H11" i="17"/>
  <c r="H12" i="17"/>
  <c r="E17" i="17"/>
  <c r="F18" i="17"/>
  <c r="F19" i="17"/>
  <c r="F20" i="17"/>
  <c r="F21" i="17"/>
  <c r="E10" i="17"/>
  <c r="F4" i="17"/>
  <c r="F6" i="17"/>
  <c r="F9" i="17"/>
  <c r="F12" i="17"/>
  <c r="G10" i="17"/>
  <c r="E21" i="17"/>
  <c r="I4" i="17"/>
  <c r="I5" i="17"/>
  <c r="I6" i="17"/>
  <c r="I7" i="17"/>
  <c r="I8" i="17"/>
  <c r="I9" i="17"/>
  <c r="I10" i="17"/>
  <c r="I11" i="17"/>
  <c r="I12" i="17"/>
  <c r="E16" i="17"/>
  <c r="F17" i="17"/>
  <c r="G18" i="17"/>
  <c r="G19" i="17"/>
  <c r="G20" i="17"/>
  <c r="G21" i="17"/>
  <c r="E12" i="17"/>
  <c r="J4" i="17"/>
  <c r="J5" i="17"/>
  <c r="J6" i="17"/>
  <c r="J7" i="17"/>
  <c r="J8" i="17"/>
  <c r="J9" i="17"/>
  <c r="J10" i="17"/>
  <c r="J11" i="17"/>
  <c r="J12" i="17"/>
  <c r="C13" i="17"/>
  <c r="D14" i="17"/>
  <c r="E15" i="17"/>
  <c r="F16" i="17"/>
  <c r="G17" i="17"/>
  <c r="H18" i="17"/>
  <c r="H19" i="17"/>
  <c r="H20" i="17"/>
  <c r="E7" i="17"/>
  <c r="E9" i="17"/>
  <c r="F5" i="17"/>
  <c r="F8" i="17"/>
  <c r="G5" i="17"/>
  <c r="G6" i="17"/>
  <c r="G8" i="17"/>
  <c r="E20" i="17"/>
  <c r="C7" i="17"/>
  <c r="C8" i="17"/>
  <c r="C9" i="17"/>
  <c r="D13" i="17"/>
  <c r="I18" i="17"/>
  <c r="I20" i="17"/>
  <c r="D4" i="17"/>
  <c r="D5" i="17"/>
  <c r="D7" i="17"/>
  <c r="D8" i="17"/>
  <c r="D9" i="17"/>
  <c r="J18" i="17"/>
  <c r="C12" i="14"/>
  <c r="C10" i="14"/>
  <c r="E21" i="14"/>
  <c r="C4" i="14"/>
  <c r="C5" i="14"/>
  <c r="C6" i="14"/>
  <c r="C11" i="14"/>
  <c r="E19" i="14"/>
  <c r="C16" i="14"/>
  <c r="E20" i="14"/>
  <c r="C16" i="13"/>
  <c r="C6" i="13"/>
  <c r="E4" i="13"/>
  <c r="D4" i="13"/>
  <c r="F5" i="13"/>
  <c r="E19" i="13"/>
  <c r="J4" i="13"/>
  <c r="E5" i="13"/>
  <c r="C18" i="14"/>
  <c r="C17" i="14"/>
  <c r="D19" i="14"/>
  <c r="D20" i="14"/>
  <c r="D21" i="14"/>
  <c r="C15" i="14"/>
  <c r="F20" i="14"/>
  <c r="C14" i="14"/>
  <c r="G19" i="14"/>
  <c r="G20" i="14"/>
  <c r="G21" i="14"/>
  <c r="C13" i="14"/>
  <c r="H19" i="14"/>
  <c r="H20" i="14"/>
  <c r="C7" i="14"/>
  <c r="C8" i="14"/>
  <c r="C9" i="14"/>
  <c r="C18" i="13"/>
  <c r="C19" i="13"/>
  <c r="C20" i="13"/>
  <c r="C21" i="13"/>
  <c r="C17" i="13"/>
  <c r="D20" i="13"/>
  <c r="D21" i="13"/>
  <c r="E21" i="13"/>
  <c r="F21" i="13"/>
  <c r="C14" i="13"/>
  <c r="G19" i="13"/>
  <c r="G20" i="13"/>
  <c r="G21" i="13"/>
  <c r="C13" i="13"/>
  <c r="H20" i="13"/>
  <c r="H21" i="13"/>
  <c r="C7" i="13"/>
  <c r="C8" i="13"/>
  <c r="C9" i="13"/>
</calcChain>
</file>

<file path=xl/sharedStrings.xml><?xml version="1.0" encoding="utf-8"?>
<sst xmlns="http://schemas.openxmlformats.org/spreadsheetml/2006/main" count="1197" uniqueCount="63">
  <si>
    <t>Stove Purpose</t>
  </si>
  <si>
    <t>Stove Name</t>
  </si>
  <si>
    <t>Cooking</t>
  </si>
  <si>
    <t>Water Heating</t>
  </si>
  <si>
    <t>Water Heating &amp; Cooking</t>
  </si>
  <si>
    <t>Traditional wood</t>
  </si>
  <si>
    <t>Improved Wood</t>
  </si>
  <si>
    <t>Charcoal</t>
  </si>
  <si>
    <t>Gasifier (Minimoto)</t>
  </si>
  <si>
    <t>LPG</t>
  </si>
  <si>
    <t>Electric</t>
  </si>
  <si>
    <t>0 </t>
  </si>
  <si>
    <t xml:space="preserve">Stove Purpose </t>
  </si>
  <si>
    <t>Averages</t>
  </si>
  <si>
    <t>Standard Deviation</t>
  </si>
  <si>
    <t>Average</t>
  </si>
  <si>
    <t>Average Number of Stoves needed for Water Heating &amp; Cooking</t>
  </si>
  <si>
    <t>Water Risk Level</t>
  </si>
  <si>
    <t>No Boiling</t>
  </si>
  <si>
    <t>Lab Level (6)</t>
  </si>
  <si>
    <t>Good (1.8)</t>
  </si>
  <si>
    <t>Ineffective(0.048)</t>
  </si>
  <si>
    <t>Moderate (1.5)</t>
  </si>
  <si>
    <t>Low (0.464</t>
  </si>
  <si>
    <t>Ineffective (0.048)</t>
  </si>
  <si>
    <t>Worse than Source (-0.208)</t>
  </si>
  <si>
    <t>Safe</t>
  </si>
  <si>
    <t>Low</t>
  </si>
  <si>
    <t>Medium</t>
  </si>
  <si>
    <t>High</t>
  </si>
  <si>
    <t>Standard Deviations</t>
  </si>
  <si>
    <t>Stove Type</t>
  </si>
  <si>
    <t>Wood (Traditional)</t>
  </si>
  <si>
    <t>Wood (Improved)</t>
  </si>
  <si>
    <t>Charcoal (Improved)</t>
  </si>
  <si>
    <t>Gasifier (Improved)</t>
  </si>
  <si>
    <t>LPG (Clean)</t>
  </si>
  <si>
    <t>Uganda adult</t>
  </si>
  <si>
    <t>Uganda Child</t>
  </si>
  <si>
    <t>Vietnam Adult</t>
  </si>
  <si>
    <t>Vietnam Child</t>
  </si>
  <si>
    <t>Uganda Percent</t>
  </si>
  <si>
    <t>Vietnam Percent</t>
  </si>
  <si>
    <t>Improved versus traditional</t>
  </si>
  <si>
    <t>Traditional versus gas</t>
  </si>
  <si>
    <t>Uganda Adults</t>
  </si>
  <si>
    <t>Uganda Children</t>
  </si>
  <si>
    <t>Vietnam Adults</t>
  </si>
  <si>
    <t>Vietnam Children</t>
  </si>
  <si>
    <t>Uganda Fraction children</t>
  </si>
  <si>
    <t>S7S7:S13</t>
  </si>
  <si>
    <t>Coefficient of Variation</t>
  </si>
  <si>
    <t>No boiling (0)</t>
  </si>
  <si>
    <t>Lab level (6)</t>
  </si>
  <si>
    <t>Good boiling (2)</t>
  </si>
  <si>
    <t>Ineffective (1.5)</t>
  </si>
  <si>
    <t>Moderate (1.8)</t>
  </si>
  <si>
    <t>Worse (0.464)</t>
  </si>
  <si>
    <t>Bad zero (0.048)</t>
  </si>
  <si>
    <t>Negative (-0.208)</t>
  </si>
  <si>
    <t>Electric (Clean)</t>
  </si>
  <si>
    <t>cooking plus water heating</t>
  </si>
  <si>
    <t>water heating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</si>
</sst>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horizontal="center" vertical="top" wrapText="1"/>
    </xf>
    <xf numFmtId="0" fontId="2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2" borderId="0" xfId="0" applyFill="1"/>
    <xf numFmtId="0" fontId="3" fillId="2" borderId="1" xfId="0" applyFont="1" applyFill="1" applyBorder="1" applyAlignment="1">
      <alignment vertical="center" wrapText="1"/>
    </xf>
    <xf numFmtId="0" fontId="0" fillId="3" borderId="0" xfId="0" applyFill="1"/>
    <xf numFmtId="0" fontId="3" fillId="3" borderId="1" xfId="0" applyFont="1" applyFill="1" applyBorder="1" applyAlignment="1">
      <alignment vertical="center" wrapText="1"/>
    </xf>
    <xf numFmtId="0" fontId="0" fillId="4" borderId="0" xfId="0" applyFill="1"/>
    <xf numFmtId="0" fontId="3" fillId="4" borderId="1" xfId="0" applyFont="1" applyFill="1" applyBorder="1" applyAlignment="1">
      <alignment vertical="center" wrapText="1"/>
    </xf>
    <xf numFmtId="0" fontId="0" fillId="5" borderId="0" xfId="0" applyFill="1"/>
    <xf numFmtId="0" fontId="3" fillId="5" borderId="1" xfId="0" applyFont="1" applyFill="1" applyBorder="1" applyAlignment="1">
      <alignment vertical="center" wrapText="1"/>
    </xf>
    <xf numFmtId="0" fontId="1" fillId="0" borderId="0" xfId="0" applyFont="1"/>
    <xf numFmtId="0" fontId="3" fillId="0" borderId="7" xfId="0" applyFont="1" applyFill="1" applyBorder="1" applyAlignment="1">
      <alignment vertical="center" wrapText="1"/>
    </xf>
    <xf numFmtId="0" fontId="1" fillId="0" borderId="5" xfId="0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" fillId="5" borderId="0" xfId="0" applyFont="1" applyFill="1"/>
    <xf numFmtId="0" fontId="1" fillId="4" borderId="5" xfId="0" applyFont="1" applyFill="1" applyBorder="1" applyAlignment="1">
      <alignment horizont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sqref="A1:H8"/>
    </sheetView>
  </sheetViews>
  <sheetFormatPr defaultRowHeight="14.5" x14ac:dyDescent="0.35"/>
  <sheetData>
    <row r="1" spans="1:8" ht="14.5" customHeight="1" x14ac:dyDescent="0.35">
      <c r="A1" s="1" t="s">
        <v>13</v>
      </c>
      <c r="B1" s="4" t="s">
        <v>0</v>
      </c>
      <c r="C1" s="5"/>
      <c r="D1" s="6"/>
      <c r="E1" s="1" t="s">
        <v>14</v>
      </c>
      <c r="F1" s="4" t="s">
        <v>12</v>
      </c>
      <c r="G1" s="5"/>
      <c r="H1" s="6"/>
    </row>
    <row r="2" spans="1:8" ht="58" x14ac:dyDescent="0.35">
      <c r="A2" s="2" t="s">
        <v>1</v>
      </c>
      <c r="B2" s="3" t="s">
        <v>2</v>
      </c>
      <c r="C2" s="3" t="s">
        <v>3</v>
      </c>
      <c r="D2" s="3" t="s">
        <v>4</v>
      </c>
      <c r="E2" s="2" t="s">
        <v>1</v>
      </c>
      <c r="F2" s="3" t="s">
        <v>2</v>
      </c>
      <c r="G2" s="3" t="s">
        <v>3</v>
      </c>
      <c r="H2" s="3" t="s">
        <v>4</v>
      </c>
    </row>
    <row r="3" spans="1:8" ht="29" x14ac:dyDescent="0.35">
      <c r="A3" s="3" t="s">
        <v>5</v>
      </c>
      <c r="B3">
        <v>122</v>
      </c>
      <c r="C3">
        <v>116</v>
      </c>
      <c r="D3">
        <v>128</v>
      </c>
      <c r="E3" s="3" t="s">
        <v>5</v>
      </c>
      <c r="F3">
        <v>14.75</v>
      </c>
      <c r="G3">
        <v>15.25</v>
      </c>
      <c r="H3">
        <v>12.93</v>
      </c>
    </row>
    <row r="4" spans="1:8" ht="29" x14ac:dyDescent="0.35">
      <c r="A4" s="3" t="s">
        <v>6</v>
      </c>
      <c r="B4">
        <v>109</v>
      </c>
      <c r="C4">
        <v>102</v>
      </c>
      <c r="D4">
        <v>116</v>
      </c>
      <c r="E4" s="3" t="s">
        <v>6</v>
      </c>
      <c r="F4">
        <v>17.329999999999998</v>
      </c>
      <c r="G4">
        <v>18.12</v>
      </c>
      <c r="H4">
        <v>15.54</v>
      </c>
    </row>
    <row r="5" spans="1:8" x14ac:dyDescent="0.35">
      <c r="A5" s="3" t="s">
        <v>7</v>
      </c>
      <c r="B5">
        <v>51</v>
      </c>
      <c r="C5">
        <v>42</v>
      </c>
      <c r="D5">
        <v>63</v>
      </c>
      <c r="E5" s="3" t="s">
        <v>7</v>
      </c>
      <c r="F5">
        <v>22.5</v>
      </c>
      <c r="G5">
        <v>20.48</v>
      </c>
      <c r="H5">
        <v>21.45</v>
      </c>
    </row>
    <row r="6" spans="1:8" ht="43.5" x14ac:dyDescent="0.35">
      <c r="A6" s="3" t="s">
        <v>8</v>
      </c>
      <c r="B6">
        <v>22</v>
      </c>
      <c r="C6">
        <v>14</v>
      </c>
      <c r="D6">
        <v>31</v>
      </c>
      <c r="E6" s="3" t="s">
        <v>8</v>
      </c>
      <c r="F6">
        <v>15.7</v>
      </c>
      <c r="G6">
        <v>12.69</v>
      </c>
      <c r="H6">
        <v>17.579999999999998</v>
      </c>
    </row>
    <row r="7" spans="1:8" x14ac:dyDescent="0.35">
      <c r="A7" s="3" t="s">
        <v>9</v>
      </c>
      <c r="B7">
        <v>4</v>
      </c>
      <c r="C7">
        <v>2</v>
      </c>
      <c r="D7">
        <v>6</v>
      </c>
      <c r="E7" s="3" t="s">
        <v>9</v>
      </c>
      <c r="F7">
        <v>7.28</v>
      </c>
      <c r="G7">
        <v>4.82</v>
      </c>
      <c r="H7">
        <v>9.98</v>
      </c>
    </row>
    <row r="8" spans="1:8" x14ac:dyDescent="0.35">
      <c r="A8" s="3" t="s">
        <v>10</v>
      </c>
      <c r="B8" s="3" t="s">
        <v>11</v>
      </c>
      <c r="C8" s="3" t="s">
        <v>11</v>
      </c>
      <c r="D8" s="3" t="s">
        <v>11</v>
      </c>
      <c r="E8" s="3" t="s">
        <v>10</v>
      </c>
      <c r="F8" s="3" t="s">
        <v>11</v>
      </c>
      <c r="G8" s="3" t="s">
        <v>11</v>
      </c>
      <c r="H8" s="3" t="s">
        <v>11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DDC9C-4AA8-46AE-9277-FB4AB9D59BE8}">
  <dimension ref="A1:AA28"/>
  <sheetViews>
    <sheetView topLeftCell="M13" workbookViewId="0">
      <selection activeCell="T20" sqref="T20"/>
    </sheetView>
  </sheetViews>
  <sheetFormatPr defaultRowHeight="14.5" x14ac:dyDescent="0.35"/>
  <sheetData>
    <row r="1" spans="1:27" x14ac:dyDescent="0.35">
      <c r="A1" t="s">
        <v>45</v>
      </c>
      <c r="J1" t="s">
        <v>46</v>
      </c>
      <c r="S1" t="s">
        <v>49</v>
      </c>
    </row>
    <row r="2" spans="1:27" x14ac:dyDescent="0.35">
      <c r="A2" s="18" t="s">
        <v>13</v>
      </c>
      <c r="B2" s="18"/>
      <c r="C2" s="18"/>
      <c r="D2" s="18"/>
      <c r="E2" s="18"/>
      <c r="F2" s="18"/>
      <c r="G2" s="18"/>
      <c r="H2" s="18"/>
      <c r="I2" s="18"/>
      <c r="J2" s="16" t="s">
        <v>13</v>
      </c>
      <c r="K2" s="16"/>
      <c r="L2" s="16"/>
      <c r="M2" s="16"/>
      <c r="N2" s="16"/>
      <c r="O2" s="16"/>
      <c r="P2" s="16"/>
      <c r="Q2" s="16"/>
      <c r="R2" s="16"/>
    </row>
    <row r="3" spans="1:27" ht="58" x14ac:dyDescent="0.35">
      <c r="A3" s="14" t="s">
        <v>17</v>
      </c>
      <c r="B3" s="14" t="s">
        <v>18</v>
      </c>
      <c r="C3" s="14" t="s">
        <v>19</v>
      </c>
      <c r="D3" s="14" t="s">
        <v>20</v>
      </c>
      <c r="E3" s="14" t="s">
        <v>21</v>
      </c>
      <c r="F3" s="14" t="s">
        <v>22</v>
      </c>
      <c r="G3" s="14" t="s">
        <v>23</v>
      </c>
      <c r="H3" s="14" t="s">
        <v>24</v>
      </c>
      <c r="I3" s="14" t="s">
        <v>25</v>
      </c>
      <c r="J3" s="14" t="s">
        <v>17</v>
      </c>
      <c r="K3" s="14" t="s">
        <v>18</v>
      </c>
      <c r="L3" s="14" t="s">
        <v>19</v>
      </c>
      <c r="M3" s="14" t="s">
        <v>20</v>
      </c>
      <c r="N3" s="14" t="s">
        <v>21</v>
      </c>
      <c r="O3" s="14" t="s">
        <v>22</v>
      </c>
      <c r="P3" s="14" t="s">
        <v>23</v>
      </c>
      <c r="Q3" s="14" t="s">
        <v>24</v>
      </c>
      <c r="R3" s="14" t="s">
        <v>25</v>
      </c>
      <c r="S3" s="14" t="s">
        <v>19</v>
      </c>
      <c r="T3" s="14" t="s">
        <v>20</v>
      </c>
      <c r="U3" s="14" t="s">
        <v>21</v>
      </c>
      <c r="V3" s="14" t="s">
        <v>22</v>
      </c>
      <c r="W3" s="14" t="s">
        <v>23</v>
      </c>
      <c r="X3" s="14" t="s">
        <v>24</v>
      </c>
      <c r="Y3" s="14" t="s">
        <v>25</v>
      </c>
      <c r="Z3" s="14" t="s">
        <v>24</v>
      </c>
      <c r="AA3" s="14"/>
    </row>
    <row r="4" spans="1:27" x14ac:dyDescent="0.35">
      <c r="A4" s="14" t="s">
        <v>26</v>
      </c>
      <c r="B4" s="15">
        <v>0</v>
      </c>
      <c r="C4" s="15">
        <v>0</v>
      </c>
      <c r="D4" s="15">
        <v>0</v>
      </c>
      <c r="E4" s="15">
        <v>0</v>
      </c>
      <c r="F4" s="15">
        <v>0</v>
      </c>
      <c r="G4" s="15">
        <v>0</v>
      </c>
      <c r="H4" s="15">
        <v>0</v>
      </c>
      <c r="I4" s="15">
        <v>0</v>
      </c>
      <c r="J4" s="14" t="s">
        <v>26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t="e">
        <f>(K4/(B4+K4))*100</f>
        <v>#DIV/0!</v>
      </c>
      <c r="T4" t="e">
        <f t="shared" ref="T4:AA7" si="0">(L4/(C4+L4))*100</f>
        <v>#DIV/0!</v>
      </c>
      <c r="U4" t="e">
        <f t="shared" si="0"/>
        <v>#DIV/0!</v>
      </c>
      <c r="V4" t="e">
        <f t="shared" si="0"/>
        <v>#DIV/0!</v>
      </c>
      <c r="W4" t="e">
        <f t="shared" si="0"/>
        <v>#DIV/0!</v>
      </c>
      <c r="X4" t="e">
        <f t="shared" si="0"/>
        <v>#DIV/0!</v>
      </c>
      <c r="Y4" t="e">
        <f t="shared" si="0"/>
        <v>#DIV/0!</v>
      </c>
      <c r="Z4" t="e">
        <f t="shared" si="0"/>
        <v>#DIV/0!</v>
      </c>
    </row>
    <row r="5" spans="1:27" x14ac:dyDescent="0.35">
      <c r="A5" s="14" t="s">
        <v>27</v>
      </c>
      <c r="B5" s="15">
        <v>219.6</v>
      </c>
      <c r="C5" s="15">
        <v>50.95</v>
      </c>
      <c r="D5" s="15">
        <v>77.08</v>
      </c>
      <c r="E5" s="15">
        <v>87.78</v>
      </c>
      <c r="F5" s="15">
        <v>80.77</v>
      </c>
      <c r="G5" s="15">
        <v>146.88999999999999</v>
      </c>
      <c r="H5" s="15">
        <v>209.75</v>
      </c>
      <c r="I5" s="15">
        <v>269.75</v>
      </c>
      <c r="J5" s="14" t="s">
        <v>27</v>
      </c>
      <c r="K5" s="15">
        <v>75.959999999999994</v>
      </c>
      <c r="L5" s="15">
        <v>19.260000000000002</v>
      </c>
      <c r="M5" s="15">
        <v>28.83</v>
      </c>
      <c r="N5" s="15">
        <v>33.479999999999997</v>
      </c>
      <c r="O5" s="15">
        <v>30.41</v>
      </c>
      <c r="P5" s="15">
        <v>54.5</v>
      </c>
      <c r="Q5" s="15">
        <v>73.14</v>
      </c>
      <c r="R5" s="15">
        <v>90.2</v>
      </c>
      <c r="S5">
        <f>(K5/(B5+K5))*100</f>
        <v>25.700365408038973</v>
      </c>
      <c r="T5">
        <f t="shared" si="0"/>
        <v>27.431989745050561</v>
      </c>
      <c r="U5">
        <f t="shared" si="0"/>
        <v>27.221225568879237</v>
      </c>
      <c r="V5">
        <f t="shared" si="0"/>
        <v>27.610094012864916</v>
      </c>
      <c r="W5">
        <f t="shared" si="0"/>
        <v>27.352041734124843</v>
      </c>
      <c r="X5">
        <f t="shared" si="0"/>
        <v>27.0619196583743</v>
      </c>
      <c r="Y5">
        <f t="shared" si="0"/>
        <v>25.854572448654956</v>
      </c>
      <c r="Z5">
        <f t="shared" si="0"/>
        <v>25.059035977219057</v>
      </c>
    </row>
    <row r="6" spans="1:27" x14ac:dyDescent="0.35">
      <c r="A6" s="14" t="s">
        <v>28</v>
      </c>
      <c r="B6" s="15">
        <v>582.70000000000005</v>
      </c>
      <c r="C6" s="15">
        <v>54.66</v>
      </c>
      <c r="D6" s="15">
        <v>118.88</v>
      </c>
      <c r="E6" s="15">
        <v>160.49</v>
      </c>
      <c r="F6" s="15">
        <v>132.82</v>
      </c>
      <c r="G6" s="15">
        <v>377.4</v>
      </c>
      <c r="H6" s="15">
        <v>557.6</v>
      </c>
      <c r="I6" s="15">
        <v>701.11</v>
      </c>
      <c r="J6" s="14" t="s">
        <v>28</v>
      </c>
      <c r="K6" s="15">
        <v>184.41</v>
      </c>
      <c r="L6" s="15">
        <v>19.59</v>
      </c>
      <c r="M6" s="15">
        <v>39.1</v>
      </c>
      <c r="N6" s="15">
        <v>51.86</v>
      </c>
      <c r="O6" s="15">
        <v>43.25</v>
      </c>
      <c r="P6" s="15">
        <v>119.32</v>
      </c>
      <c r="Q6" s="15">
        <v>176.2</v>
      </c>
      <c r="R6" s="15">
        <v>224.26</v>
      </c>
      <c r="S6">
        <f t="shared" ref="S5:S22" si="1">(K6/(B6+K6))*100</f>
        <v>24.039577114103583</v>
      </c>
      <c r="T6">
        <f t="shared" si="0"/>
        <v>26.383838383838381</v>
      </c>
      <c r="U6">
        <f t="shared" si="0"/>
        <v>24.749968350424105</v>
      </c>
      <c r="V6">
        <f t="shared" si="0"/>
        <v>24.421944902283961</v>
      </c>
      <c r="W6">
        <f t="shared" si="0"/>
        <v>24.564093826319077</v>
      </c>
      <c r="X6">
        <f t="shared" si="0"/>
        <v>24.021581575132871</v>
      </c>
      <c r="Y6">
        <f t="shared" si="0"/>
        <v>24.011992368492777</v>
      </c>
      <c r="Z6">
        <f t="shared" si="0"/>
        <v>24.234630472135468</v>
      </c>
    </row>
    <row r="7" spans="1:27" x14ac:dyDescent="0.35">
      <c r="A7" s="14" t="s">
        <v>29</v>
      </c>
      <c r="B7" s="15">
        <v>1167.99</v>
      </c>
      <c r="C7" s="15">
        <v>57.88</v>
      </c>
      <c r="D7" s="15">
        <v>232.11</v>
      </c>
      <c r="E7" s="15">
        <v>360.59</v>
      </c>
      <c r="F7" s="15">
        <v>275.25</v>
      </c>
      <c r="G7" s="15">
        <v>867.64</v>
      </c>
      <c r="H7" s="15">
        <v>1136.6300000000001</v>
      </c>
      <c r="I7" s="15">
        <v>1302.9000000000001</v>
      </c>
      <c r="J7" s="14" t="s">
        <v>29</v>
      </c>
      <c r="K7" s="15">
        <v>391.21</v>
      </c>
      <c r="L7" s="15">
        <v>22.76</v>
      </c>
      <c r="M7" s="15">
        <v>68.28</v>
      </c>
      <c r="N7" s="15">
        <v>105.44</v>
      </c>
      <c r="O7" s="15">
        <v>80.55</v>
      </c>
      <c r="P7" s="15">
        <v>276.35000000000002</v>
      </c>
      <c r="Q7" s="15">
        <v>378.76</v>
      </c>
      <c r="R7" s="15">
        <v>445.88</v>
      </c>
      <c r="S7">
        <f t="shared" si="1"/>
        <v>25.090430990251413</v>
      </c>
      <c r="T7">
        <f t="shared" si="0"/>
        <v>28.224206349206348</v>
      </c>
      <c r="U7">
        <f t="shared" si="0"/>
        <v>22.730450414461203</v>
      </c>
      <c r="V7">
        <f t="shared" si="0"/>
        <v>22.625152887153188</v>
      </c>
      <c r="W7">
        <f t="shared" si="0"/>
        <v>22.63912310286678</v>
      </c>
      <c r="X7">
        <f t="shared" si="0"/>
        <v>24.156679691256045</v>
      </c>
      <c r="Y7">
        <f t="shared" si="0"/>
        <v>24.994225908841948</v>
      </c>
      <c r="Z7">
        <f t="shared" si="0"/>
        <v>25.496631937693703</v>
      </c>
      <c r="AA7" t="s">
        <v>50</v>
      </c>
    </row>
    <row r="8" spans="1:27" x14ac:dyDescent="0.35">
      <c r="A8" s="19" t="s">
        <v>30</v>
      </c>
      <c r="B8" s="19"/>
      <c r="C8" s="19"/>
      <c r="D8" s="19"/>
      <c r="E8" s="19"/>
      <c r="F8" s="19"/>
      <c r="G8" s="19"/>
      <c r="H8" s="19"/>
      <c r="I8" s="19"/>
      <c r="J8" s="17" t="s">
        <v>30</v>
      </c>
      <c r="K8" s="17"/>
      <c r="L8" s="17"/>
      <c r="M8" s="17"/>
      <c r="N8" s="17"/>
      <c r="O8" s="17"/>
      <c r="P8" s="17"/>
      <c r="Q8" s="17"/>
      <c r="R8" s="17"/>
      <c r="S8" t="e">
        <f t="shared" si="1"/>
        <v>#DIV/0!</v>
      </c>
    </row>
    <row r="9" spans="1:27" ht="58" x14ac:dyDescent="0.35">
      <c r="A9" s="14" t="s">
        <v>17</v>
      </c>
      <c r="B9" s="14" t="s">
        <v>18</v>
      </c>
      <c r="C9" s="14" t="s">
        <v>19</v>
      </c>
      <c r="D9" s="14" t="s">
        <v>20</v>
      </c>
      <c r="E9" s="14" t="s">
        <v>21</v>
      </c>
      <c r="F9" s="14" t="s">
        <v>22</v>
      </c>
      <c r="G9" s="14" t="s">
        <v>23</v>
      </c>
      <c r="H9" s="14" t="s">
        <v>24</v>
      </c>
      <c r="I9" s="14" t="s">
        <v>25</v>
      </c>
      <c r="J9" s="14" t="s">
        <v>17</v>
      </c>
      <c r="K9" s="14" t="s">
        <v>18</v>
      </c>
      <c r="L9" s="14" t="s">
        <v>19</v>
      </c>
      <c r="M9" s="14" t="s">
        <v>20</v>
      </c>
      <c r="N9" s="14" t="s">
        <v>21</v>
      </c>
      <c r="O9" s="14" t="s">
        <v>22</v>
      </c>
      <c r="P9" s="14" t="s">
        <v>23</v>
      </c>
      <c r="Q9" s="14" t="s">
        <v>24</v>
      </c>
      <c r="R9" s="14" t="s">
        <v>25</v>
      </c>
      <c r="S9" t="e">
        <f t="shared" si="1"/>
        <v>#VALUE!</v>
      </c>
    </row>
    <row r="10" spans="1:27" x14ac:dyDescent="0.35">
      <c r="A10" s="14" t="s">
        <v>26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4" t="s">
        <v>26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t="e">
        <f t="shared" si="1"/>
        <v>#DIV/0!</v>
      </c>
    </row>
    <row r="11" spans="1:27" x14ac:dyDescent="0.35">
      <c r="A11" s="14" t="s">
        <v>27</v>
      </c>
      <c r="B11" s="15">
        <v>300.13</v>
      </c>
      <c r="C11" s="15">
        <v>58.52</v>
      </c>
      <c r="D11" s="15">
        <v>124.14</v>
      </c>
      <c r="E11" s="15">
        <v>147.30000000000001</v>
      </c>
      <c r="F11" s="15">
        <v>132.6</v>
      </c>
      <c r="G11" s="15">
        <v>225.21</v>
      </c>
      <c r="H11" s="15">
        <v>290.49</v>
      </c>
      <c r="I11" s="15">
        <v>345.44</v>
      </c>
      <c r="J11" s="14" t="s">
        <v>27</v>
      </c>
      <c r="K11" s="15">
        <v>104.78</v>
      </c>
      <c r="L11" s="15">
        <v>19.28</v>
      </c>
      <c r="M11" s="15">
        <v>38.35</v>
      </c>
      <c r="N11" s="15">
        <v>50.07</v>
      </c>
      <c r="O11" s="15">
        <v>42.22</v>
      </c>
      <c r="P11" s="15">
        <v>83.92</v>
      </c>
      <c r="Q11" s="15">
        <v>102.4</v>
      </c>
      <c r="R11" s="15">
        <v>115.8</v>
      </c>
      <c r="S11">
        <f t="shared" si="1"/>
        <v>25.877355461707541</v>
      </c>
      <c r="T11">
        <f t="shared" ref="T11:T13" si="2">(L11/(C11+L11))*100</f>
        <v>24.781491002570689</v>
      </c>
      <c r="U11">
        <f t="shared" ref="U11:U13" si="3">(M11/(D11+M11))*100</f>
        <v>23.601452397070588</v>
      </c>
      <c r="V11">
        <f t="shared" ref="V11:V13" si="4">(N11/(E11+N11))*100</f>
        <v>25.368597051223592</v>
      </c>
      <c r="W11">
        <f t="shared" ref="W11:W13" si="5">(O11/(F11+O11))*100</f>
        <v>24.150554856423749</v>
      </c>
      <c r="X11">
        <f t="shared" ref="X11:X13" si="6">(P11/(G11+P11))*100</f>
        <v>27.147154918642642</v>
      </c>
      <c r="Y11">
        <f t="shared" ref="Y11:Y13" si="7">(Q11/(H11+Q11))*100</f>
        <v>26.06327470793352</v>
      </c>
      <c r="Z11">
        <f t="shared" ref="Z11:Z13" si="8">(R11/(I11+R11))*100</f>
        <v>25.106235365536378</v>
      </c>
    </row>
    <row r="12" spans="1:27" x14ac:dyDescent="0.35">
      <c r="A12" s="14" t="s">
        <v>28</v>
      </c>
      <c r="B12" s="15">
        <v>527.02</v>
      </c>
      <c r="C12" s="15">
        <v>57.28</v>
      </c>
      <c r="D12" s="15">
        <v>196.6</v>
      </c>
      <c r="E12" s="15">
        <v>254.85</v>
      </c>
      <c r="F12" s="15">
        <v>218.48</v>
      </c>
      <c r="G12" s="15">
        <v>426.91</v>
      </c>
      <c r="H12" s="15">
        <v>516.62</v>
      </c>
      <c r="I12" s="15">
        <v>571.29999999999995</v>
      </c>
      <c r="J12" s="14" t="s">
        <v>28</v>
      </c>
      <c r="K12" s="15">
        <v>157.03</v>
      </c>
      <c r="L12" s="15">
        <v>19.670000000000002</v>
      </c>
      <c r="M12" s="15">
        <v>58.64</v>
      </c>
      <c r="N12" s="15">
        <v>75.709999999999994</v>
      </c>
      <c r="O12" s="15">
        <v>64.33</v>
      </c>
      <c r="P12" s="15">
        <v>130.88999999999999</v>
      </c>
      <c r="Q12" s="15">
        <v>154.27000000000001</v>
      </c>
      <c r="R12" s="15">
        <v>168.88</v>
      </c>
      <c r="S12">
        <f t="shared" si="1"/>
        <v>22.955924274541335</v>
      </c>
      <c r="T12">
        <f t="shared" si="2"/>
        <v>25.562053281351528</v>
      </c>
      <c r="U12">
        <f t="shared" si="3"/>
        <v>22.974455414511834</v>
      </c>
      <c r="V12">
        <f t="shared" si="4"/>
        <v>22.903557599225554</v>
      </c>
      <c r="W12">
        <f t="shared" si="5"/>
        <v>22.746720412998126</v>
      </c>
      <c r="X12">
        <f t="shared" si="6"/>
        <v>23.465399784869128</v>
      </c>
      <c r="Y12">
        <f t="shared" si="7"/>
        <v>22.994827766101746</v>
      </c>
      <c r="Z12">
        <f t="shared" si="8"/>
        <v>22.816071766327113</v>
      </c>
    </row>
    <row r="13" spans="1:27" x14ac:dyDescent="0.35">
      <c r="A13" s="14" t="s">
        <v>29</v>
      </c>
      <c r="B13" s="15">
        <v>701.81</v>
      </c>
      <c r="C13" s="15">
        <v>58.74</v>
      </c>
      <c r="D13" s="15">
        <v>326.27999999999997</v>
      </c>
      <c r="E13" s="15">
        <v>418.12</v>
      </c>
      <c r="F13" s="15">
        <v>359.44</v>
      </c>
      <c r="G13" s="15">
        <v>630.85</v>
      </c>
      <c r="H13" s="15">
        <v>694.94</v>
      </c>
      <c r="I13" s="15">
        <v>732.49</v>
      </c>
      <c r="J13" s="14" t="s">
        <v>29</v>
      </c>
      <c r="K13" s="15">
        <v>191.17</v>
      </c>
      <c r="L13" s="15">
        <v>18.86</v>
      </c>
      <c r="M13" s="15">
        <v>89.28</v>
      </c>
      <c r="N13" s="15">
        <v>119.71</v>
      </c>
      <c r="O13" s="15">
        <v>100.95</v>
      </c>
      <c r="P13" s="15">
        <v>182.85</v>
      </c>
      <c r="Q13" s="15">
        <v>191.19</v>
      </c>
      <c r="R13" s="15">
        <v>189.27</v>
      </c>
      <c r="S13">
        <f t="shared" si="1"/>
        <v>21.40809424623172</v>
      </c>
      <c r="T13">
        <f t="shared" si="2"/>
        <v>24.304123711340207</v>
      </c>
      <c r="U13">
        <f t="shared" si="3"/>
        <v>21.484262200404277</v>
      </c>
      <c r="V13">
        <f t="shared" si="4"/>
        <v>22.257962553223134</v>
      </c>
      <c r="W13">
        <f t="shared" si="5"/>
        <v>21.927061838875737</v>
      </c>
      <c r="X13">
        <f t="shared" si="6"/>
        <v>22.471426815779768</v>
      </c>
      <c r="Y13">
        <f t="shared" si="7"/>
        <v>21.575841016555131</v>
      </c>
      <c r="Z13">
        <f t="shared" si="8"/>
        <v>20.533544523520224</v>
      </c>
    </row>
    <row r="14" spans="1:27" x14ac:dyDescent="0.35">
      <c r="S14" t="e">
        <f t="shared" si="1"/>
        <v>#DIV/0!</v>
      </c>
    </row>
    <row r="15" spans="1:27" x14ac:dyDescent="0.35">
      <c r="S15" t="e">
        <f t="shared" si="1"/>
        <v>#DIV/0!</v>
      </c>
    </row>
    <row r="16" spans="1:27" ht="29" x14ac:dyDescent="0.35">
      <c r="A16" s="33" t="s">
        <v>47</v>
      </c>
      <c r="J16" s="33" t="s">
        <v>48</v>
      </c>
      <c r="S16" t="e">
        <f t="shared" si="1"/>
        <v>#DIV/0!</v>
      </c>
    </row>
    <row r="17" spans="1:27" x14ac:dyDescent="0.35">
      <c r="A17" s="16" t="s">
        <v>13</v>
      </c>
      <c r="B17" s="16"/>
      <c r="C17" s="16"/>
      <c r="D17" s="16"/>
      <c r="E17" s="16"/>
      <c r="F17" s="16"/>
      <c r="G17" s="16"/>
      <c r="H17" s="16"/>
      <c r="I17" s="16"/>
      <c r="J17" s="16" t="s">
        <v>13</v>
      </c>
      <c r="K17" s="16"/>
      <c r="L17" s="16"/>
      <c r="M17" s="16"/>
      <c r="N17" s="16"/>
      <c r="O17" s="16"/>
      <c r="P17" s="16"/>
      <c r="Q17" s="16"/>
      <c r="R17" s="16"/>
      <c r="S17" t="e">
        <f t="shared" si="1"/>
        <v>#DIV/0!</v>
      </c>
    </row>
    <row r="18" spans="1:27" ht="58" x14ac:dyDescent="0.35">
      <c r="A18" s="14" t="s">
        <v>17</v>
      </c>
      <c r="B18" s="14" t="s">
        <v>18</v>
      </c>
      <c r="C18" s="14" t="s">
        <v>19</v>
      </c>
      <c r="D18" s="14" t="s">
        <v>20</v>
      </c>
      <c r="E18" s="14" t="s">
        <v>21</v>
      </c>
      <c r="F18" s="14" t="s">
        <v>22</v>
      </c>
      <c r="G18" s="14" t="s">
        <v>23</v>
      </c>
      <c r="H18" s="14" t="s">
        <v>24</v>
      </c>
      <c r="I18" s="14" t="s">
        <v>25</v>
      </c>
      <c r="J18" s="14" t="s">
        <v>17</v>
      </c>
      <c r="K18" s="14" t="s">
        <v>18</v>
      </c>
      <c r="L18" s="14" t="s">
        <v>19</v>
      </c>
      <c r="M18" s="14" t="s">
        <v>20</v>
      </c>
      <c r="N18" s="14" t="s">
        <v>21</v>
      </c>
      <c r="O18" s="14" t="s">
        <v>22</v>
      </c>
      <c r="P18" s="14" t="s">
        <v>23</v>
      </c>
      <c r="Q18" s="14" t="s">
        <v>24</v>
      </c>
      <c r="R18" s="14" t="s">
        <v>25</v>
      </c>
      <c r="S18" s="14" t="s">
        <v>19</v>
      </c>
      <c r="T18" s="14" t="s">
        <v>20</v>
      </c>
      <c r="U18" s="14" t="s">
        <v>21</v>
      </c>
      <c r="V18" s="14" t="s">
        <v>22</v>
      </c>
      <c r="W18" s="14" t="s">
        <v>23</v>
      </c>
      <c r="X18" s="14" t="s">
        <v>24</v>
      </c>
      <c r="Y18" s="14" t="s">
        <v>25</v>
      </c>
      <c r="Z18" s="14" t="s">
        <v>24</v>
      </c>
    </row>
    <row r="19" spans="1:27" x14ac:dyDescent="0.35">
      <c r="A19" s="14" t="s">
        <v>26</v>
      </c>
      <c r="B19" s="15">
        <v>0</v>
      </c>
      <c r="C19" s="15">
        <v>0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4" t="s">
        <v>26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t="e">
        <f t="shared" si="1"/>
        <v>#DIV/0!</v>
      </c>
    </row>
    <row r="20" spans="1:27" x14ac:dyDescent="0.35">
      <c r="A20" s="14" t="s">
        <v>27</v>
      </c>
      <c r="B20" s="15">
        <v>242.66</v>
      </c>
      <c r="C20" s="15">
        <v>54.8</v>
      </c>
      <c r="D20" s="15">
        <v>90.34</v>
      </c>
      <c r="E20" s="15">
        <v>102.76</v>
      </c>
      <c r="F20" s="15">
        <v>94.7</v>
      </c>
      <c r="G20" s="15">
        <v>168.25</v>
      </c>
      <c r="H20" s="15">
        <v>232.69</v>
      </c>
      <c r="I20" s="15">
        <v>293.56</v>
      </c>
      <c r="J20" s="14" t="s">
        <v>27</v>
      </c>
      <c r="K20" s="15">
        <v>32.58</v>
      </c>
      <c r="L20" s="15">
        <v>8.66</v>
      </c>
      <c r="M20" s="15">
        <v>13.09</v>
      </c>
      <c r="N20" s="15">
        <v>14.63</v>
      </c>
      <c r="O20" s="15">
        <v>13.63</v>
      </c>
      <c r="P20" s="15">
        <v>23.04</v>
      </c>
      <c r="Q20" s="15">
        <v>31.32</v>
      </c>
      <c r="R20" s="15">
        <v>38.93</v>
      </c>
      <c r="S20">
        <f t="shared" si="1"/>
        <v>11.836942304897544</v>
      </c>
      <c r="T20" s="30">
        <f t="shared" ref="T20:T22" si="9">(L20/(C20+L20))*100</f>
        <v>13.646391427670975</v>
      </c>
      <c r="U20">
        <f t="shared" ref="U20:U22" si="10">(M20/(D20+M20))*100</f>
        <v>12.655902542782558</v>
      </c>
      <c r="V20">
        <f t="shared" ref="V20:V22" si="11">(N20/(E20+N20))*100</f>
        <v>12.462731067382231</v>
      </c>
      <c r="W20">
        <f t="shared" ref="W20:W22" si="12">(O20/(F20+O20))*100</f>
        <v>12.581925597710701</v>
      </c>
      <c r="X20">
        <f t="shared" ref="X20:X22" si="13">(P20/(G20+P20))*100</f>
        <v>12.044539704114172</v>
      </c>
      <c r="Y20">
        <f t="shared" ref="Y20:Y22" si="14">(Q20/(H20+Q20))*100</f>
        <v>11.863187000492406</v>
      </c>
      <c r="Z20" s="30">
        <f t="shared" ref="Z20:Z22" si="15">(R20/(I20+R20))*100</f>
        <v>11.70862281572378</v>
      </c>
      <c r="AA20" t="e">
        <f t="shared" ref="AA20:AA22" si="16">(S20/(J20+S20))*100</f>
        <v>#VALUE!</v>
      </c>
    </row>
    <row r="21" spans="1:27" x14ac:dyDescent="0.35">
      <c r="A21" s="14" t="s">
        <v>28</v>
      </c>
      <c r="B21" s="15">
        <v>583.03</v>
      </c>
      <c r="C21" s="15">
        <v>57.41</v>
      </c>
      <c r="D21" s="15">
        <v>123.29</v>
      </c>
      <c r="E21" s="15">
        <v>159.35</v>
      </c>
      <c r="F21" s="15">
        <v>135.02000000000001</v>
      </c>
      <c r="G21" s="15">
        <v>373.72</v>
      </c>
      <c r="H21" s="15">
        <v>557.39</v>
      </c>
      <c r="I21" s="15">
        <v>704.25</v>
      </c>
      <c r="J21" s="14" t="s">
        <v>28</v>
      </c>
      <c r="K21" s="15">
        <v>78.95</v>
      </c>
      <c r="L21" s="15">
        <v>9.39</v>
      </c>
      <c r="M21" s="15">
        <v>16.760000000000002</v>
      </c>
      <c r="N21" s="15">
        <v>21.96</v>
      </c>
      <c r="O21" s="15">
        <v>18.440000000000001</v>
      </c>
      <c r="P21" s="15">
        <v>50.72</v>
      </c>
      <c r="Q21" s="15">
        <v>75.39</v>
      </c>
      <c r="R21" s="15">
        <v>96.24</v>
      </c>
      <c r="S21">
        <f t="shared" si="1"/>
        <v>11.926342185564518</v>
      </c>
      <c r="T21">
        <f t="shared" si="9"/>
        <v>14.056886227544913</v>
      </c>
      <c r="U21">
        <f t="shared" si="10"/>
        <v>11.967154587647268</v>
      </c>
      <c r="V21">
        <f t="shared" si="11"/>
        <v>12.111852628095528</v>
      </c>
      <c r="W21">
        <f t="shared" si="12"/>
        <v>12.016160563013162</v>
      </c>
      <c r="X21">
        <f t="shared" si="13"/>
        <v>11.949863349354443</v>
      </c>
      <c r="Y21">
        <f t="shared" si="14"/>
        <v>11.914093365782737</v>
      </c>
      <c r="Z21">
        <f t="shared" si="15"/>
        <v>12.022636135367087</v>
      </c>
      <c r="AA21" t="e">
        <f t="shared" si="16"/>
        <v>#VALUE!</v>
      </c>
    </row>
    <row r="22" spans="1:27" x14ac:dyDescent="0.35">
      <c r="A22" s="14" t="s">
        <v>29</v>
      </c>
      <c r="B22" s="32">
        <v>1264.8499999999999</v>
      </c>
      <c r="C22" s="15">
        <v>64.569999999999993</v>
      </c>
      <c r="D22" s="15">
        <v>229.83</v>
      </c>
      <c r="E22" s="15">
        <v>369.47</v>
      </c>
      <c r="F22" s="15">
        <v>276.27</v>
      </c>
      <c r="G22" s="15">
        <v>932.15</v>
      </c>
      <c r="H22" s="15">
        <v>1230.3699999999999</v>
      </c>
      <c r="I22" s="32">
        <v>1410.86</v>
      </c>
      <c r="J22" s="14" t="s">
        <v>29</v>
      </c>
      <c r="K22" s="15">
        <v>176.94</v>
      </c>
      <c r="L22" s="15">
        <v>9.92</v>
      </c>
      <c r="M22" s="15">
        <v>34.82</v>
      </c>
      <c r="N22" s="15">
        <v>52.18</v>
      </c>
      <c r="O22" s="15">
        <v>40.74</v>
      </c>
      <c r="P22" s="15">
        <v>125.82</v>
      </c>
      <c r="Q22" s="15">
        <v>171.31</v>
      </c>
      <c r="R22" s="15">
        <v>201.77</v>
      </c>
      <c r="S22">
        <f t="shared" si="1"/>
        <v>12.27224491777582</v>
      </c>
      <c r="T22">
        <f t="shared" si="9"/>
        <v>13.317223788427979</v>
      </c>
      <c r="U22">
        <f t="shared" si="10"/>
        <v>13.156999811071223</v>
      </c>
      <c r="V22">
        <f t="shared" si="11"/>
        <v>12.375192695363452</v>
      </c>
      <c r="W22">
        <f t="shared" si="12"/>
        <v>12.851329611053281</v>
      </c>
      <c r="X22">
        <f t="shared" si="13"/>
        <v>11.892586746316057</v>
      </c>
      <c r="Y22">
        <f t="shared" si="14"/>
        <v>12.221762456480796</v>
      </c>
      <c r="Z22">
        <f t="shared" si="15"/>
        <v>12.511859509000825</v>
      </c>
      <c r="AA22" t="e">
        <f t="shared" si="16"/>
        <v>#VALUE!</v>
      </c>
    </row>
    <row r="23" spans="1:27" x14ac:dyDescent="0.35">
      <c r="A23" s="17" t="s">
        <v>30</v>
      </c>
      <c r="B23" s="17"/>
      <c r="C23" s="17"/>
      <c r="D23" s="17"/>
      <c r="E23" s="17"/>
      <c r="F23" s="17"/>
      <c r="G23" s="17"/>
      <c r="H23" s="17"/>
      <c r="I23" s="17"/>
      <c r="J23" s="17" t="s">
        <v>30</v>
      </c>
      <c r="K23" s="17"/>
      <c r="L23" s="17"/>
      <c r="M23" s="17"/>
      <c r="N23" s="17"/>
      <c r="O23" s="17"/>
      <c r="P23" s="17"/>
      <c r="Q23" s="17"/>
      <c r="R23" s="17"/>
    </row>
    <row r="24" spans="1:27" ht="58" x14ac:dyDescent="0.35">
      <c r="A24" s="14" t="s">
        <v>17</v>
      </c>
      <c r="B24" s="14" t="s">
        <v>18</v>
      </c>
      <c r="C24" s="14" t="s">
        <v>19</v>
      </c>
      <c r="D24" s="14" t="s">
        <v>20</v>
      </c>
      <c r="E24" s="14" t="s">
        <v>21</v>
      </c>
      <c r="F24" s="14" t="s">
        <v>22</v>
      </c>
      <c r="G24" s="14" t="s">
        <v>23</v>
      </c>
      <c r="H24" s="14" t="s">
        <v>24</v>
      </c>
      <c r="I24" s="14" t="s">
        <v>25</v>
      </c>
      <c r="J24" s="14" t="s">
        <v>17</v>
      </c>
      <c r="K24" s="14" t="s">
        <v>18</v>
      </c>
      <c r="L24" s="14" t="s">
        <v>19</v>
      </c>
      <c r="M24" s="14" t="s">
        <v>20</v>
      </c>
      <c r="N24" s="14" t="s">
        <v>21</v>
      </c>
      <c r="O24" s="14" t="s">
        <v>22</v>
      </c>
      <c r="P24" s="14" t="s">
        <v>23</v>
      </c>
      <c r="Q24" s="14" t="s">
        <v>24</v>
      </c>
      <c r="R24" s="14" t="s">
        <v>25</v>
      </c>
    </row>
    <row r="25" spans="1:27" x14ac:dyDescent="0.35">
      <c r="A25" s="14" t="s">
        <v>26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4" t="s">
        <v>26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</row>
    <row r="26" spans="1:27" x14ac:dyDescent="0.35">
      <c r="A26" s="14" t="s">
        <v>27</v>
      </c>
      <c r="B26" s="15">
        <v>356.34</v>
      </c>
      <c r="C26" s="15">
        <v>65.47</v>
      </c>
      <c r="D26" s="15">
        <v>157.85</v>
      </c>
      <c r="E26" s="15">
        <v>184.32</v>
      </c>
      <c r="F26" s="15">
        <v>168.51</v>
      </c>
      <c r="G26" s="15">
        <v>275.56</v>
      </c>
      <c r="H26" s="15">
        <v>346.23</v>
      </c>
      <c r="I26" s="15">
        <v>405.12</v>
      </c>
      <c r="J26" s="14" t="s">
        <v>27</v>
      </c>
      <c r="K26" s="15">
        <v>42.59</v>
      </c>
      <c r="L26" s="15">
        <v>8.74</v>
      </c>
      <c r="M26" s="15">
        <v>17.91</v>
      </c>
      <c r="N26" s="15">
        <v>20.72</v>
      </c>
      <c r="O26" s="15">
        <v>18.989999999999998</v>
      </c>
      <c r="P26" s="15">
        <v>32</v>
      </c>
      <c r="Q26" s="15">
        <v>41.37</v>
      </c>
      <c r="R26" s="15">
        <v>48.09</v>
      </c>
    </row>
    <row r="27" spans="1:27" x14ac:dyDescent="0.35">
      <c r="A27" s="14" t="s">
        <v>28</v>
      </c>
      <c r="B27" s="15">
        <v>600.85</v>
      </c>
      <c r="C27" s="15">
        <v>80.25</v>
      </c>
      <c r="D27" s="15">
        <v>246.06</v>
      </c>
      <c r="E27" s="15">
        <v>287.18</v>
      </c>
      <c r="F27" s="15">
        <v>260.52999999999997</v>
      </c>
      <c r="G27" s="15">
        <v>456.14</v>
      </c>
      <c r="H27" s="15">
        <v>584.55999999999995</v>
      </c>
      <c r="I27" s="15">
        <v>670.82</v>
      </c>
      <c r="J27" s="14" t="s">
        <v>28</v>
      </c>
      <c r="K27" s="15">
        <v>69.58</v>
      </c>
      <c r="L27" s="15">
        <v>8.7100000000000009</v>
      </c>
      <c r="M27" s="15">
        <v>21.73</v>
      </c>
      <c r="N27" s="15">
        <v>29.72</v>
      </c>
      <c r="O27" s="15">
        <v>24.41</v>
      </c>
      <c r="P27" s="15">
        <v>56.16</v>
      </c>
      <c r="Q27" s="15">
        <v>68.150000000000006</v>
      </c>
      <c r="R27" s="15">
        <v>75.64</v>
      </c>
    </row>
    <row r="28" spans="1:27" x14ac:dyDescent="0.35">
      <c r="A28" s="14" t="s">
        <v>29</v>
      </c>
      <c r="B28" s="15">
        <v>859.35</v>
      </c>
      <c r="C28" s="15">
        <v>100.11</v>
      </c>
      <c r="D28" s="15">
        <v>324.39999999999998</v>
      </c>
      <c r="E28" s="15">
        <v>446.97</v>
      </c>
      <c r="F28" s="15">
        <v>368.49</v>
      </c>
      <c r="G28" s="15">
        <v>743.95</v>
      </c>
      <c r="H28" s="15">
        <v>848.43</v>
      </c>
      <c r="I28" s="15">
        <v>903.02</v>
      </c>
      <c r="J28" s="14" t="s">
        <v>29</v>
      </c>
      <c r="K28" s="15">
        <v>84.66</v>
      </c>
      <c r="L28" s="15">
        <v>10.96</v>
      </c>
      <c r="M28" s="15">
        <v>46.32</v>
      </c>
      <c r="N28" s="15">
        <v>59.08</v>
      </c>
      <c r="O28" s="15">
        <v>51.36</v>
      </c>
      <c r="P28" s="15">
        <v>81.849999999999994</v>
      </c>
      <c r="Q28" s="15">
        <v>84.66</v>
      </c>
      <c r="R28" s="15">
        <v>84.13</v>
      </c>
    </row>
  </sheetData>
  <mergeCells count="8">
    <mergeCell ref="A2:I2"/>
    <mergeCell ref="A8:I8"/>
    <mergeCell ref="J2:R2"/>
    <mergeCell ref="J8:R8"/>
    <mergeCell ref="A17:I17"/>
    <mergeCell ref="A23:I23"/>
    <mergeCell ref="J17:R17"/>
    <mergeCell ref="J23:R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7BBE-1A6D-4C39-A8F4-0A5E5C26D7FB}">
  <dimension ref="A1:T21"/>
  <sheetViews>
    <sheetView workbookViewId="0">
      <selection activeCell="D4" sqref="D4:J6"/>
    </sheetView>
  </sheetViews>
  <sheetFormatPr defaultRowHeight="14.5" x14ac:dyDescent="0.35"/>
  <sheetData>
    <row r="1" spans="1:20" x14ac:dyDescent="0.35">
      <c r="B1" t="s">
        <v>62</v>
      </c>
    </row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K2" s="35"/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M6+0</f>
        <v>219.6</v>
      </c>
      <c r="D4" s="21">
        <f>N6+Uganda_adults_trad_wood_w_h</f>
        <v>166.95</v>
      </c>
      <c r="E4" s="21">
        <f>O6+Uganda_adults_trad_wood_w_h</f>
        <v>193.07999999999998</v>
      </c>
      <c r="F4" s="21">
        <f>P6+Uganda_adults_trad_wood_w_h</f>
        <v>203.78</v>
      </c>
      <c r="G4" s="21">
        <f>Q6+Uganda_adults_trad_wood_w_h</f>
        <v>196.76999999999998</v>
      </c>
      <c r="H4" s="21">
        <f>R6+Uganda_adults_trad_wood_w_h</f>
        <v>262.89</v>
      </c>
      <c r="I4" s="21">
        <f>S6+Uganda_adults_trad_wood_w_h</f>
        <v>325.75</v>
      </c>
      <c r="J4" s="21">
        <f>T6+Uganda_adults_trad_wood_w_h</f>
        <v>385.75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 t="shared" ref="C5:C9" si="0">M7+0</f>
        <v>582.70000000000005</v>
      </c>
      <c r="D5" s="21">
        <f>N7+Uganda_adults_trad_wood_w_h</f>
        <v>170.66</v>
      </c>
      <c r="E5" s="21">
        <f>O7+Uganda_adults_trad_wood_w_h</f>
        <v>234.88</v>
      </c>
      <c r="F5" s="21">
        <f>P7+Uganda_adults_trad_wood_w_h</f>
        <v>276.49</v>
      </c>
      <c r="G5" s="21">
        <f>Q7+Uganda_adults_trad_wood_w_h</f>
        <v>248.82</v>
      </c>
      <c r="H5" s="21">
        <f>R7+Uganda_adults_trad_wood_w_h</f>
        <v>493.4</v>
      </c>
      <c r="I5" s="21">
        <f>S7+Uganda_adults_trad_wood_w_h</f>
        <v>673.6</v>
      </c>
      <c r="J5" s="21">
        <f>T7+Uganda_adults_trad_wood_w_h</f>
        <v>817.11</v>
      </c>
      <c r="L5" s="14" t="s">
        <v>26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</row>
    <row r="6" spans="1:20" ht="43.5" x14ac:dyDescent="0.35">
      <c r="A6" s="20" t="s">
        <v>29</v>
      </c>
      <c r="B6" s="20" t="s">
        <v>32</v>
      </c>
      <c r="C6" s="21">
        <f t="shared" si="0"/>
        <v>1167.99</v>
      </c>
      <c r="D6" s="21">
        <f>N8+Uganda_adults_trad_wood_w_h</f>
        <v>173.88</v>
      </c>
      <c r="E6" s="21">
        <f>O8+Uganda_adults_trad_wood_w_h</f>
        <v>348.11</v>
      </c>
      <c r="F6" s="21">
        <f>P8+Uganda_adults_trad_wood_w_h</f>
        <v>476.59</v>
      </c>
      <c r="G6" s="21">
        <f>Q8+Uganda_adults_trad_wood_w_h</f>
        <v>391.25</v>
      </c>
      <c r="H6" s="21">
        <f>R8+Uganda_adults_trad_wood_w_h</f>
        <v>983.64</v>
      </c>
      <c r="I6" s="21">
        <f>S8+Uganda_adults_trad_wood_w_h</f>
        <v>1252.6300000000001</v>
      </c>
      <c r="J6" s="21">
        <f>T8+Uganda_adults_trad_wood_w_h</f>
        <v>1418.9</v>
      </c>
      <c r="L6" s="14" t="s">
        <v>27</v>
      </c>
      <c r="M6" s="15">
        <v>219.6</v>
      </c>
      <c r="N6" s="15">
        <v>50.95</v>
      </c>
      <c r="O6" s="15">
        <v>77.08</v>
      </c>
      <c r="P6" s="15">
        <v>87.78</v>
      </c>
      <c r="Q6" s="15">
        <v>80.77</v>
      </c>
      <c r="R6" s="15">
        <v>146.88999999999999</v>
      </c>
      <c r="S6" s="15">
        <v>209.75</v>
      </c>
      <c r="T6" s="15">
        <v>269.75</v>
      </c>
    </row>
    <row r="7" spans="1:20" ht="43.5" x14ac:dyDescent="0.35">
      <c r="A7" s="20" t="s">
        <v>27</v>
      </c>
      <c r="B7" s="20" t="s">
        <v>33</v>
      </c>
      <c r="C7" s="21">
        <f>M6</f>
        <v>219.6</v>
      </c>
      <c r="D7" s="21">
        <f>N6+Uganda_adults_improved_wood</f>
        <v>166.95</v>
      </c>
      <c r="E7" s="21">
        <f>O6+Uganda_adults_improved_wood</f>
        <v>193.07999999999998</v>
      </c>
      <c r="F7" s="21">
        <f>P6+Uganda_adults_improved_wood</f>
        <v>203.78</v>
      </c>
      <c r="G7" s="21">
        <f>Q6+Uganda_adults_improved_wood</f>
        <v>196.76999999999998</v>
      </c>
      <c r="H7" s="21">
        <f>R6+Uganda_adults_improved_wood</f>
        <v>262.89</v>
      </c>
      <c r="I7" s="21">
        <f>S6+Uganda_adults_improved_wood</f>
        <v>325.75</v>
      </c>
      <c r="J7" s="21">
        <f>T6+Uganda_adults_improved_wood</f>
        <v>385.75</v>
      </c>
      <c r="L7" s="14" t="s">
        <v>28</v>
      </c>
      <c r="M7" s="15">
        <v>582.70000000000005</v>
      </c>
      <c r="N7" s="15">
        <v>54.66</v>
      </c>
      <c r="O7" s="15">
        <v>118.88</v>
      </c>
      <c r="P7" s="15">
        <v>160.49</v>
      </c>
      <c r="Q7" s="15">
        <v>132.82</v>
      </c>
      <c r="R7" s="15">
        <v>377.4</v>
      </c>
      <c r="S7" s="15">
        <v>557.6</v>
      </c>
      <c r="T7" s="15">
        <v>701.11</v>
      </c>
    </row>
    <row r="8" spans="1:20" ht="43.5" x14ac:dyDescent="0.35">
      <c r="A8" s="20" t="s">
        <v>28</v>
      </c>
      <c r="B8" s="20" t="s">
        <v>33</v>
      </c>
      <c r="C8" s="21">
        <f t="shared" ref="C8:C9" si="1">M7</f>
        <v>582.70000000000005</v>
      </c>
      <c r="D8" s="21">
        <f>N7+Uganda_adults_improved_wood</f>
        <v>170.66</v>
      </c>
      <c r="E8" s="21">
        <f>O7+Uganda_adults_improved_wood</f>
        <v>234.88</v>
      </c>
      <c r="F8" s="21">
        <f>P7+Uganda_adults_improved_wood</f>
        <v>276.49</v>
      </c>
      <c r="G8" s="21">
        <f>Q7+Uganda_adults_improved_wood</f>
        <v>248.82</v>
      </c>
      <c r="H8" s="21">
        <f>R7+Uganda_adults_improved_wood</f>
        <v>493.4</v>
      </c>
      <c r="I8" s="21">
        <f>S7+Uganda_adults_improved_wood</f>
        <v>673.6</v>
      </c>
      <c r="J8" s="21">
        <f>T7+Uganda_adults_improved_wood</f>
        <v>817.11</v>
      </c>
      <c r="L8" s="14" t="s">
        <v>29</v>
      </c>
      <c r="M8" s="15">
        <v>1167.99</v>
      </c>
      <c r="N8" s="15">
        <v>57.88</v>
      </c>
      <c r="O8" s="15">
        <v>232.11</v>
      </c>
      <c r="P8" s="15">
        <v>360.59</v>
      </c>
      <c r="Q8" s="15">
        <v>275.25</v>
      </c>
      <c r="R8" s="15">
        <v>867.64</v>
      </c>
      <c r="S8" s="15">
        <v>1136.6300000000001</v>
      </c>
      <c r="T8" s="15">
        <v>1302.9000000000001</v>
      </c>
    </row>
    <row r="9" spans="1:20" ht="43.5" x14ac:dyDescent="0.35">
      <c r="A9" s="20" t="s">
        <v>29</v>
      </c>
      <c r="B9" s="20" t="s">
        <v>33</v>
      </c>
      <c r="C9" s="21">
        <f t="shared" si="1"/>
        <v>1167.99</v>
      </c>
      <c r="D9" s="21">
        <f>N8+Uganda_adults_improved_wood</f>
        <v>173.88</v>
      </c>
      <c r="E9" s="21">
        <f>O8+Uganda_adults_improved_wood</f>
        <v>348.11</v>
      </c>
      <c r="F9" s="21">
        <f>P8+Uganda_adults_improved_wood</f>
        <v>476.59</v>
      </c>
      <c r="G9" s="21">
        <f>Q8+Uganda_adults_improved_wood</f>
        <v>391.25</v>
      </c>
      <c r="H9" s="21">
        <f>R8+Uganda_adults_improved_wood</f>
        <v>983.64</v>
      </c>
      <c r="I9" s="21">
        <f>S8+Uganda_adults_improved_wood</f>
        <v>1252.6300000000001</v>
      </c>
      <c r="J9" s="21">
        <f>T8+Uganda_adults_improved_wood</f>
        <v>1418.9</v>
      </c>
    </row>
    <row r="10" spans="1:20" ht="43.5" x14ac:dyDescent="0.35">
      <c r="A10" s="20" t="s">
        <v>27</v>
      </c>
      <c r="B10" s="20" t="s">
        <v>34</v>
      </c>
      <c r="C10" s="21">
        <f>M6</f>
        <v>219.6</v>
      </c>
      <c r="D10" s="21">
        <f>N6+Uganda_adults_charcoal</f>
        <v>113.95</v>
      </c>
      <c r="E10" s="21">
        <f>O6+Uganda_adults_charcoal</f>
        <v>140.07999999999998</v>
      </c>
      <c r="F10" s="21">
        <f>P6+Uganda_adults_charcoal</f>
        <v>150.78</v>
      </c>
      <c r="G10" s="21">
        <f>Q6+Uganda_adults_charcoal</f>
        <v>143.76999999999998</v>
      </c>
      <c r="H10" s="21">
        <f>R6+Uganda_adults_charcoal</f>
        <v>209.89</v>
      </c>
      <c r="I10" s="21">
        <f>S6+Uganda_adults_charcoal</f>
        <v>272.75</v>
      </c>
      <c r="J10" s="21">
        <f>T6+Uganda_adults_charcoal</f>
        <v>332.75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 t="shared" ref="C11:C12" si="2">M7</f>
        <v>582.70000000000005</v>
      </c>
      <c r="D11" s="21">
        <f>N7+Uganda_adults_improved_wood</f>
        <v>170.66</v>
      </c>
      <c r="E11" s="21">
        <f>O7+Uganda_adults_improved_wood</f>
        <v>234.88</v>
      </c>
      <c r="F11" s="21">
        <f>P7+Uganda_adults_improved_wood</f>
        <v>276.49</v>
      </c>
      <c r="G11" s="21">
        <f>Q7+Uganda_adults_improved_wood</f>
        <v>248.82</v>
      </c>
      <c r="H11" s="21">
        <f>R7+Uganda_adults_improved_wood</f>
        <v>493.4</v>
      </c>
      <c r="I11" s="21">
        <f>S7+Uganda_adults_improved_wood</f>
        <v>673.6</v>
      </c>
      <c r="J11" s="21">
        <f>T7+Uganda_adults_improved_wood</f>
        <v>817.11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 t="shared" si="2"/>
        <v>1167.99</v>
      </c>
      <c r="D12" s="21">
        <f>M8+Uganda_adults_charcoal</f>
        <v>1230.99</v>
      </c>
      <c r="E12" s="21">
        <f>N8+Uganda_adults_charcoal</f>
        <v>120.88</v>
      </c>
      <c r="F12" s="21">
        <f>O8+Uganda_adults_charcoal</f>
        <v>295.11</v>
      </c>
      <c r="G12" s="21">
        <f>P8+Uganda_adults_charcoal</f>
        <v>423.59</v>
      </c>
      <c r="H12" s="21">
        <f>Q8+Uganda_adults_charcoal</f>
        <v>338.25</v>
      </c>
      <c r="I12" s="21">
        <f>R8+Uganda_adults_charcoal</f>
        <v>930.64</v>
      </c>
      <c r="J12" s="21">
        <f>S8+Uganda_adults_charcoal</f>
        <v>1199.6300000000001</v>
      </c>
      <c r="L12" s="3" t="s">
        <v>5</v>
      </c>
      <c r="M12">
        <v>122</v>
      </c>
      <c r="N12">
        <v>116</v>
      </c>
      <c r="O12">
        <v>128</v>
      </c>
      <c r="P12" s="3" t="s">
        <v>5</v>
      </c>
      <c r="Q12">
        <v>14.75</v>
      </c>
      <c r="R12">
        <v>15.25</v>
      </c>
      <c r="S12">
        <v>12.93</v>
      </c>
    </row>
    <row r="13" spans="1:20" ht="43.5" x14ac:dyDescent="0.35">
      <c r="A13" s="20" t="s">
        <v>27</v>
      </c>
      <c r="B13" s="20" t="s">
        <v>35</v>
      </c>
      <c r="C13" s="21">
        <f>M6</f>
        <v>219.6</v>
      </c>
      <c r="D13" s="21">
        <f>N6+Uganda_adults_minimoto</f>
        <v>81.95</v>
      </c>
      <c r="E13" s="21">
        <f>O6+Uganda_adults_minimoto</f>
        <v>108.08</v>
      </c>
      <c r="F13" s="21">
        <f>P6+Uganda_adults_minimoto</f>
        <v>118.78</v>
      </c>
      <c r="G13" s="21">
        <f>Q6+Uganda_adults_minimoto</f>
        <v>111.77</v>
      </c>
      <c r="H13" s="21">
        <f>R6+Uganda_adults_minimoto</f>
        <v>177.89</v>
      </c>
      <c r="I13" s="21">
        <f>S6+Uganda_adults_minimoto</f>
        <v>240.75</v>
      </c>
      <c r="J13" s="21">
        <f>T6+Uganda_adults_minimoto</f>
        <v>300.75</v>
      </c>
      <c r="L13" s="3" t="s">
        <v>6</v>
      </c>
      <c r="M13">
        <v>109</v>
      </c>
      <c r="N13">
        <v>102</v>
      </c>
      <c r="O13">
        <v>116</v>
      </c>
      <c r="P13" s="3" t="s">
        <v>6</v>
      </c>
      <c r="Q13">
        <v>17.329999999999998</v>
      </c>
      <c r="R13">
        <v>18.12</v>
      </c>
      <c r="S13">
        <v>15.54</v>
      </c>
    </row>
    <row r="14" spans="1:20" ht="43.5" x14ac:dyDescent="0.35">
      <c r="A14" s="20" t="s">
        <v>28</v>
      </c>
      <c r="B14" s="20" t="s">
        <v>35</v>
      </c>
      <c r="C14" s="21">
        <f t="shared" ref="C14:C18" si="3">M7</f>
        <v>582.70000000000005</v>
      </c>
      <c r="D14" s="21">
        <f>N7+Uganda_adults_minimoto</f>
        <v>85.66</v>
      </c>
      <c r="E14" s="21">
        <f>O7+Uganda_adults_minimoto</f>
        <v>149.88</v>
      </c>
      <c r="F14" s="21">
        <f>P7+Uganda_adults_minimoto</f>
        <v>191.49</v>
      </c>
      <c r="G14" s="21">
        <f>Q7+Uganda_adults_minimoto</f>
        <v>163.82</v>
      </c>
      <c r="H14" s="21">
        <f>R7+Uganda_adults_minimoto</f>
        <v>408.4</v>
      </c>
      <c r="I14" s="21">
        <f>S7+Uganda_adults_minimoto</f>
        <v>588.6</v>
      </c>
      <c r="J14" s="21">
        <f>T7+Uganda_adults_minimoto</f>
        <v>732.11</v>
      </c>
      <c r="L14" s="3" t="s">
        <v>7</v>
      </c>
      <c r="M14">
        <v>51</v>
      </c>
      <c r="N14">
        <v>42</v>
      </c>
      <c r="O14">
        <v>63</v>
      </c>
      <c r="P14" s="3" t="s">
        <v>7</v>
      </c>
      <c r="Q14">
        <v>22.5</v>
      </c>
      <c r="R14">
        <v>20.48</v>
      </c>
      <c r="S14">
        <v>21.45</v>
      </c>
    </row>
    <row r="15" spans="1:20" ht="43.5" x14ac:dyDescent="0.35">
      <c r="A15" s="20" t="s">
        <v>29</v>
      </c>
      <c r="B15" s="20" t="s">
        <v>35</v>
      </c>
      <c r="C15" s="21">
        <f t="shared" si="3"/>
        <v>1167.99</v>
      </c>
      <c r="D15" s="21">
        <f>N8+Uganda_adults_minimoto</f>
        <v>88.88</v>
      </c>
      <c r="E15" s="21">
        <f>O8+Uganda_adults_minimoto</f>
        <v>263.11</v>
      </c>
      <c r="F15" s="21">
        <f>P8+Uganda_adults_minimoto</f>
        <v>391.59</v>
      </c>
      <c r="G15" s="21">
        <f>Q8+Uganda_adults_minimoto</f>
        <v>306.25</v>
      </c>
      <c r="H15" s="21">
        <f>R8+Uganda_adults_minimoto</f>
        <v>898.64</v>
      </c>
      <c r="I15" s="21">
        <f>S8+Uganda_adults_minimoto</f>
        <v>1167.6300000000001</v>
      </c>
      <c r="J15" s="21">
        <f>T8+Uganda_adults_minimoto</f>
        <v>1333.9</v>
      </c>
      <c r="L15" s="3" t="s">
        <v>8</v>
      </c>
      <c r="M15">
        <v>22</v>
      </c>
      <c r="N15">
        <v>14</v>
      </c>
      <c r="O15">
        <v>31</v>
      </c>
      <c r="P15" s="3" t="s">
        <v>8</v>
      </c>
      <c r="Q15">
        <v>15.7</v>
      </c>
      <c r="R15">
        <v>12.69</v>
      </c>
      <c r="S15">
        <v>17.579999999999998</v>
      </c>
    </row>
    <row r="16" spans="1:20" ht="29" x14ac:dyDescent="0.35">
      <c r="A16" s="20" t="s">
        <v>27</v>
      </c>
      <c r="B16" s="20" t="s">
        <v>36</v>
      </c>
      <c r="C16" s="21">
        <f>M6</f>
        <v>219.6</v>
      </c>
      <c r="D16" s="21">
        <f>N6+Uganda_adults_LPG</f>
        <v>56.95</v>
      </c>
      <c r="E16" s="21">
        <f>O6+Uganda_adults_LPG</f>
        <v>83.08</v>
      </c>
      <c r="F16" s="21">
        <f>P6+Uganda_adults_LPG</f>
        <v>93.78</v>
      </c>
      <c r="G16" s="21">
        <f>Q6+Uganda_adults_LPG</f>
        <v>86.77</v>
      </c>
      <c r="H16" s="21">
        <f>R6+Uganda_adults_LPG</f>
        <v>152.88999999999999</v>
      </c>
      <c r="I16" s="21">
        <f>S6+Uganda_adults_LPG</f>
        <v>215.75</v>
      </c>
      <c r="J16" s="21">
        <f>T6+Uganda_adults_LPG</f>
        <v>275.75</v>
      </c>
      <c r="L16" s="3" t="s">
        <v>9</v>
      </c>
      <c r="M16">
        <v>4</v>
      </c>
      <c r="N16">
        <v>2</v>
      </c>
      <c r="O16">
        <v>6</v>
      </c>
      <c r="P16" s="3" t="s">
        <v>9</v>
      </c>
      <c r="Q16">
        <v>7.28</v>
      </c>
      <c r="R16">
        <v>4.82</v>
      </c>
      <c r="S16">
        <v>9.98</v>
      </c>
    </row>
    <row r="17" spans="1:19" ht="29" x14ac:dyDescent="0.35">
      <c r="A17" s="20" t="s">
        <v>28</v>
      </c>
      <c r="B17" s="20" t="s">
        <v>36</v>
      </c>
      <c r="C17" s="21">
        <f t="shared" ref="C17:C18" si="4">M7</f>
        <v>582.70000000000005</v>
      </c>
      <c r="D17" s="21">
        <f>N7+Uganda_adults_LPG</f>
        <v>60.66</v>
      </c>
      <c r="E17" s="21">
        <f>O7+Uganda_adults_LPG</f>
        <v>124.88</v>
      </c>
      <c r="F17" s="21">
        <f>P7+Uganda_adults_LPG</f>
        <v>166.49</v>
      </c>
      <c r="G17" s="21">
        <f>Q7+Uganda_adults_LPG</f>
        <v>138.82</v>
      </c>
      <c r="H17" s="21">
        <f>R7+Uganda_adults_LPG</f>
        <v>383.4</v>
      </c>
      <c r="I17" s="21">
        <f>S7+Uganda_adults_LPG</f>
        <v>563.6</v>
      </c>
      <c r="J17" s="21">
        <f>T7+Uganda_adults_LPG</f>
        <v>707.11</v>
      </c>
      <c r="L17" s="3" t="s">
        <v>10</v>
      </c>
      <c r="M17" s="3" t="s">
        <v>11</v>
      </c>
      <c r="N17" s="3" t="s">
        <v>11</v>
      </c>
      <c r="O17" s="3" t="s">
        <v>11</v>
      </c>
      <c r="P17" s="3" t="s">
        <v>10</v>
      </c>
      <c r="Q17" s="3" t="s">
        <v>11</v>
      </c>
      <c r="R17" s="3" t="s">
        <v>11</v>
      </c>
      <c r="S17" s="3" t="s">
        <v>11</v>
      </c>
    </row>
    <row r="18" spans="1:19" ht="29" x14ac:dyDescent="0.35">
      <c r="A18" s="20" t="s">
        <v>29</v>
      </c>
      <c r="B18" s="20" t="s">
        <v>36</v>
      </c>
      <c r="C18" s="21">
        <f t="shared" si="4"/>
        <v>1167.99</v>
      </c>
      <c r="D18" s="21">
        <f>N8+Uganda_adults_LPG</f>
        <v>63.88</v>
      </c>
      <c r="E18" s="21">
        <f>O8+Uganda_adults_LPG</f>
        <v>238.11</v>
      </c>
      <c r="F18" s="21">
        <f>P8+Uganda_adults_LPG</f>
        <v>366.59</v>
      </c>
      <c r="G18" s="21">
        <f>Q8+Uganda_adults_LPG</f>
        <v>281.25</v>
      </c>
      <c r="H18" s="21">
        <f>R8+Uganda_adults_LPG</f>
        <v>873.64</v>
      </c>
      <c r="I18" s="21">
        <f>S8+Uganda_adults_LPG</f>
        <v>1142.6300000000001</v>
      </c>
      <c r="J18" s="21">
        <f>T8+Uganda_adults_LPG</f>
        <v>1308.9000000000001</v>
      </c>
    </row>
    <row r="19" spans="1:19" ht="29" x14ac:dyDescent="0.35">
      <c r="A19" s="20" t="s">
        <v>27</v>
      </c>
      <c r="B19" s="20" t="s">
        <v>60</v>
      </c>
      <c r="C19">
        <f>M6</f>
        <v>219.6</v>
      </c>
      <c r="D19">
        <f>N6</f>
        <v>50.95</v>
      </c>
      <c r="E19">
        <f t="shared" ref="E19:J21" si="5">O6</f>
        <v>77.08</v>
      </c>
      <c r="F19">
        <f t="shared" si="5"/>
        <v>87.78</v>
      </c>
      <c r="G19">
        <f t="shared" si="5"/>
        <v>80.77</v>
      </c>
      <c r="H19">
        <f t="shared" si="5"/>
        <v>146.88999999999999</v>
      </c>
      <c r="I19">
        <f t="shared" si="5"/>
        <v>209.75</v>
      </c>
      <c r="J19">
        <f t="shared" si="5"/>
        <v>269.75</v>
      </c>
    </row>
    <row r="20" spans="1:19" ht="29" x14ac:dyDescent="0.35">
      <c r="A20" s="20" t="s">
        <v>28</v>
      </c>
      <c r="B20" s="20" t="s">
        <v>60</v>
      </c>
      <c r="C20">
        <f t="shared" ref="C20:C21" si="6">M7</f>
        <v>582.70000000000005</v>
      </c>
      <c r="D20">
        <f t="shared" ref="D20:D21" si="7">N7</f>
        <v>54.66</v>
      </c>
      <c r="E20">
        <f t="shared" si="5"/>
        <v>118.88</v>
      </c>
      <c r="F20">
        <f t="shared" si="5"/>
        <v>160.49</v>
      </c>
      <c r="G20">
        <f t="shared" si="5"/>
        <v>132.82</v>
      </c>
      <c r="H20">
        <f t="shared" si="5"/>
        <v>377.4</v>
      </c>
      <c r="I20">
        <f t="shared" si="5"/>
        <v>557.6</v>
      </c>
      <c r="J20">
        <f t="shared" si="5"/>
        <v>701.11</v>
      </c>
    </row>
    <row r="21" spans="1:19" ht="29" x14ac:dyDescent="0.35">
      <c r="A21" s="20" t="s">
        <v>29</v>
      </c>
      <c r="B21" s="20" t="s">
        <v>60</v>
      </c>
      <c r="C21">
        <f t="shared" si="6"/>
        <v>1167.99</v>
      </c>
      <c r="D21">
        <f t="shared" si="7"/>
        <v>57.88</v>
      </c>
      <c r="E21">
        <f t="shared" si="5"/>
        <v>232.11</v>
      </c>
      <c r="F21">
        <f t="shared" si="5"/>
        <v>360.59</v>
      </c>
      <c r="G21">
        <f t="shared" si="5"/>
        <v>275.25</v>
      </c>
      <c r="H21">
        <f t="shared" si="5"/>
        <v>867.64</v>
      </c>
      <c r="I21">
        <f t="shared" si="5"/>
        <v>1136.6300000000001</v>
      </c>
      <c r="J21">
        <f t="shared" si="5"/>
        <v>1302.9000000000001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D30C2-1554-488A-B356-E29D0B489842}">
  <dimension ref="A2:T21"/>
  <sheetViews>
    <sheetView workbookViewId="0">
      <selection activeCell="F8" sqref="F8"/>
    </sheetView>
  </sheetViews>
  <sheetFormatPr defaultRowHeight="14.5" x14ac:dyDescent="0.35"/>
  <sheetData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K2" s="35"/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341.6</v>
      </c>
      <c r="D4" s="21">
        <f>N6+uganda_adults_trad_wood</f>
        <v>178.95</v>
      </c>
      <c r="E4" s="21">
        <f>O6+uganda_adults_trad_wood</f>
        <v>205.07999999999998</v>
      </c>
      <c r="F4" s="21">
        <f>P6+uganda_adults_trad_wood</f>
        <v>215.78</v>
      </c>
      <c r="G4" s="21">
        <f>Q6+uganda_adults_trad_wood</f>
        <v>208.76999999999998</v>
      </c>
      <c r="H4" s="21">
        <f>R6+uganda_adults_trad_wood</f>
        <v>274.89</v>
      </c>
      <c r="I4" s="21">
        <f>S6+uganda_adults_trad_wood</f>
        <v>337.75</v>
      </c>
      <c r="J4" s="21">
        <f>T6+uganda_adults_trad_wood</f>
        <v>397.75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691.7</v>
      </c>
      <c r="D5" s="21">
        <f>N7+uganda_adults_trad_wood</f>
        <v>182.66</v>
      </c>
      <c r="E5" s="21">
        <f>O7+uganda_adults_trad_wood</f>
        <v>246.88</v>
      </c>
      <c r="F5" s="21">
        <f>P7+uganda_adults_trad_wood</f>
        <v>288.49</v>
      </c>
      <c r="G5" s="21">
        <f>Q7+uganda_adults_trad_wood</f>
        <v>260.82</v>
      </c>
      <c r="H5" s="21">
        <f>R7+uganda_adults_trad_wood</f>
        <v>505.4</v>
      </c>
      <c r="I5" s="21">
        <f>S7+uganda_adults_trad_wood</f>
        <v>685.6</v>
      </c>
      <c r="J5" s="21">
        <f>T7+uganda_adults_trad_wood</f>
        <v>829.11</v>
      </c>
      <c r="L5" s="14" t="s">
        <v>26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</row>
    <row r="6" spans="1:20" ht="43.5" x14ac:dyDescent="0.35">
      <c r="A6" s="20" t="s">
        <v>29</v>
      </c>
      <c r="B6" s="20" t="s">
        <v>32</v>
      </c>
      <c r="C6" s="21">
        <f>M8+M12</f>
        <v>1289.99</v>
      </c>
      <c r="D6" s="21">
        <f>N8+uganda_adults_trad_wood</f>
        <v>185.88</v>
      </c>
      <c r="E6" s="21">
        <f>O8+uganda_adults_trad_wood</f>
        <v>360.11</v>
      </c>
      <c r="F6" s="21">
        <f>P8+uganda_adults_trad_wood</f>
        <v>488.59</v>
      </c>
      <c r="G6" s="21">
        <f>Q8+uganda_adults_trad_wood</f>
        <v>403.25</v>
      </c>
      <c r="H6" s="21">
        <f>R8+uganda_adults_trad_wood</f>
        <v>995.64</v>
      </c>
      <c r="I6" s="21">
        <f>S8+uganda_adults_trad_wood</f>
        <v>1264.6300000000001</v>
      </c>
      <c r="J6" s="21">
        <f>T8+uganda_adults_trad_wood</f>
        <v>1430.9</v>
      </c>
      <c r="L6" s="14" t="s">
        <v>27</v>
      </c>
      <c r="M6" s="15">
        <v>219.6</v>
      </c>
      <c r="N6" s="15">
        <v>50.95</v>
      </c>
      <c r="O6" s="15">
        <v>77.08</v>
      </c>
      <c r="P6" s="15">
        <v>87.78</v>
      </c>
      <c r="Q6" s="15">
        <v>80.77</v>
      </c>
      <c r="R6" s="15">
        <v>146.88999999999999</v>
      </c>
      <c r="S6" s="15">
        <v>209.75</v>
      </c>
      <c r="T6" s="15">
        <v>269.75</v>
      </c>
    </row>
    <row r="7" spans="1:20" ht="43.5" x14ac:dyDescent="0.35">
      <c r="A7" s="20" t="s">
        <v>27</v>
      </c>
      <c r="B7" s="20" t="s">
        <v>33</v>
      </c>
      <c r="C7" s="21">
        <f>M6+M13</f>
        <v>328.6</v>
      </c>
      <c r="D7" s="21">
        <f>N6+Uganda_adults_improved_wood</f>
        <v>166.95</v>
      </c>
      <c r="E7" s="21">
        <f>O6+Uganda_adults_improved_wood</f>
        <v>193.07999999999998</v>
      </c>
      <c r="F7" s="21">
        <f>P6+Uganda_adults_improved_wood</f>
        <v>203.78</v>
      </c>
      <c r="G7" s="21">
        <f>Q6+Uganda_adults_improved_wood</f>
        <v>196.76999999999998</v>
      </c>
      <c r="H7" s="21">
        <f>R6+Uganda_adults_improved_wood</f>
        <v>262.89</v>
      </c>
      <c r="I7" s="21">
        <f>S6+Uganda_adults_improved_wood</f>
        <v>325.75</v>
      </c>
      <c r="J7" s="21">
        <f>T6+Uganda_adults_improved_wood</f>
        <v>385.75</v>
      </c>
      <c r="L7" s="14" t="s">
        <v>28</v>
      </c>
      <c r="M7" s="15">
        <v>582.70000000000005</v>
      </c>
      <c r="N7" s="15">
        <v>54.66</v>
      </c>
      <c r="O7" s="15">
        <v>118.88</v>
      </c>
      <c r="P7" s="15">
        <v>160.49</v>
      </c>
      <c r="Q7" s="15">
        <v>132.82</v>
      </c>
      <c r="R7" s="15">
        <v>377.4</v>
      </c>
      <c r="S7" s="15">
        <v>557.6</v>
      </c>
      <c r="T7" s="15">
        <v>701.11</v>
      </c>
    </row>
    <row r="8" spans="1:20" ht="43.5" x14ac:dyDescent="0.35">
      <c r="A8" s="20" t="s">
        <v>28</v>
      </c>
      <c r="B8" s="20" t="s">
        <v>33</v>
      </c>
      <c r="C8" s="21">
        <f>M7+M13</f>
        <v>691.7</v>
      </c>
      <c r="D8" s="21">
        <f>N7+Uganda_adults_improved_wood</f>
        <v>170.66</v>
      </c>
      <c r="E8" s="21">
        <f>O7+Uganda_adults_improved_wood</f>
        <v>234.88</v>
      </c>
      <c r="F8" s="21">
        <f>P7+Uganda_adults_improved_wood</f>
        <v>276.49</v>
      </c>
      <c r="G8" s="21">
        <f>Q7+Uganda_adults_improved_wood</f>
        <v>248.82</v>
      </c>
      <c r="H8" s="21">
        <f>R7+Uganda_adults_improved_wood</f>
        <v>493.4</v>
      </c>
      <c r="I8" s="21">
        <f>S7+Uganda_adults_improved_wood</f>
        <v>673.6</v>
      </c>
      <c r="J8" s="21">
        <f>T7+Uganda_adults_improved_wood</f>
        <v>817.11</v>
      </c>
      <c r="L8" s="14" t="s">
        <v>29</v>
      </c>
      <c r="M8" s="15">
        <v>1167.99</v>
      </c>
      <c r="N8" s="15">
        <v>57.88</v>
      </c>
      <c r="O8" s="15">
        <v>232.11</v>
      </c>
      <c r="P8" s="15">
        <v>360.59</v>
      </c>
      <c r="Q8" s="15">
        <v>275.25</v>
      </c>
      <c r="R8" s="15">
        <v>867.64</v>
      </c>
      <c r="S8" s="15">
        <v>1136.6300000000001</v>
      </c>
      <c r="T8" s="15">
        <v>1302.9000000000001</v>
      </c>
    </row>
    <row r="9" spans="1:20" ht="43.5" x14ac:dyDescent="0.35">
      <c r="A9" s="20" t="s">
        <v>29</v>
      </c>
      <c r="B9" s="20" t="s">
        <v>33</v>
      </c>
      <c r="C9" s="21">
        <f>M8+M13</f>
        <v>1276.99</v>
      </c>
      <c r="D9" s="21">
        <f>N8+Uganda_adults_improved_wood</f>
        <v>173.88</v>
      </c>
      <c r="E9" s="21">
        <f>O8+Uganda_adults_improved_wood</f>
        <v>348.11</v>
      </c>
      <c r="F9" s="21">
        <f>P8+Uganda_adults_improved_wood</f>
        <v>476.59</v>
      </c>
      <c r="G9" s="21">
        <f>Q8+Uganda_adults_improved_wood</f>
        <v>391.25</v>
      </c>
      <c r="H9" s="21">
        <f>R8+Uganda_adults_improved_wood</f>
        <v>983.64</v>
      </c>
      <c r="I9" s="21">
        <f>S8+Uganda_adults_improved_wood</f>
        <v>1252.6300000000001</v>
      </c>
      <c r="J9" s="21">
        <f>T8+Uganda_adults_improved_wood</f>
        <v>1418.9</v>
      </c>
    </row>
    <row r="10" spans="1:20" ht="43.5" x14ac:dyDescent="0.35">
      <c r="A10" s="20" t="s">
        <v>27</v>
      </c>
      <c r="B10" s="20" t="s">
        <v>34</v>
      </c>
      <c r="C10" s="21">
        <f>M6+M14</f>
        <v>270.60000000000002</v>
      </c>
      <c r="D10" s="21">
        <f>N6+Uganda_adults_charcoal</f>
        <v>113.95</v>
      </c>
      <c r="E10" s="21">
        <f>O6+Uganda_adults_charcoal</f>
        <v>140.07999999999998</v>
      </c>
      <c r="F10" s="21">
        <f>P6+Uganda_adults_charcoal</f>
        <v>150.78</v>
      </c>
      <c r="G10" s="21">
        <f>Q6+Uganda_adults_charcoal</f>
        <v>143.76999999999998</v>
      </c>
      <c r="H10" s="21">
        <f>R6+Uganda_adults_charcoal</f>
        <v>209.89</v>
      </c>
      <c r="I10" s="21">
        <f>S6+Uganda_adults_charcoal</f>
        <v>272.75</v>
      </c>
      <c r="J10" s="21">
        <f>T6+Uganda_adults_charcoal</f>
        <v>332.75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633.70000000000005</v>
      </c>
      <c r="D11" s="21">
        <f>N7+Uganda_adults_improved_wood</f>
        <v>170.66</v>
      </c>
      <c r="E11" s="21">
        <f>O7+Uganda_adults_improved_wood</f>
        <v>234.88</v>
      </c>
      <c r="F11" s="21">
        <f>P7+Uganda_adults_improved_wood</f>
        <v>276.49</v>
      </c>
      <c r="G11" s="21">
        <f>Q7+Uganda_adults_improved_wood</f>
        <v>248.82</v>
      </c>
      <c r="H11" s="21">
        <f>R7+Uganda_adults_improved_wood</f>
        <v>493.4</v>
      </c>
      <c r="I11" s="21">
        <f>S7+Uganda_adults_improved_wood</f>
        <v>673.6</v>
      </c>
      <c r="J11" s="21">
        <f>T7+Uganda_adults_improved_wood</f>
        <v>817.11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1218.99</v>
      </c>
      <c r="D12" s="21">
        <f>M8+Uganda_adults_charcoal</f>
        <v>1230.99</v>
      </c>
      <c r="E12" s="21">
        <f>N8+Uganda_adults_charcoal</f>
        <v>120.88</v>
      </c>
      <c r="F12" s="21">
        <f>O8+Uganda_adults_charcoal</f>
        <v>295.11</v>
      </c>
      <c r="G12" s="21">
        <f>P8+Uganda_adults_charcoal</f>
        <v>423.59</v>
      </c>
      <c r="H12" s="21">
        <f>Q8+Uganda_adults_charcoal</f>
        <v>338.25</v>
      </c>
      <c r="I12" s="21">
        <f>R8+Uganda_adults_charcoal</f>
        <v>930.64</v>
      </c>
      <c r="J12" s="21">
        <f>S8+Uganda_adults_charcoal</f>
        <v>1199.6300000000001</v>
      </c>
      <c r="L12" s="3" t="s">
        <v>5</v>
      </c>
      <c r="M12">
        <v>122</v>
      </c>
      <c r="N12">
        <v>116</v>
      </c>
      <c r="O12">
        <v>128</v>
      </c>
      <c r="P12" s="3" t="s">
        <v>5</v>
      </c>
      <c r="Q12">
        <v>14.75</v>
      </c>
      <c r="R12">
        <v>15.25</v>
      </c>
      <c r="S12">
        <v>12.93</v>
      </c>
    </row>
    <row r="13" spans="1:20" ht="43.5" x14ac:dyDescent="0.35">
      <c r="A13" s="20" t="s">
        <v>27</v>
      </c>
      <c r="B13" s="20" t="s">
        <v>35</v>
      </c>
      <c r="C13" s="21">
        <f>M6+M15</f>
        <v>241.6</v>
      </c>
      <c r="D13" s="21">
        <f>N6+Uganda_adults_minimoto</f>
        <v>81.95</v>
      </c>
      <c r="E13" s="21">
        <f>O6+Uganda_adults_minimoto</f>
        <v>108.08</v>
      </c>
      <c r="F13" s="21">
        <f>P6+Uganda_adults_minimoto</f>
        <v>118.78</v>
      </c>
      <c r="G13" s="21">
        <f>Q6+Uganda_adults_minimoto</f>
        <v>111.77</v>
      </c>
      <c r="H13" s="21">
        <f>R6+Uganda_adults_minimoto</f>
        <v>177.89</v>
      </c>
      <c r="I13" s="21">
        <f>S6+Uganda_adults_minimoto</f>
        <v>240.75</v>
      </c>
      <c r="J13" s="21">
        <f>T6+Uganda_adults_minimoto</f>
        <v>300.75</v>
      </c>
      <c r="L13" s="3" t="s">
        <v>6</v>
      </c>
      <c r="M13">
        <v>109</v>
      </c>
      <c r="N13">
        <v>102</v>
      </c>
      <c r="O13">
        <v>116</v>
      </c>
      <c r="P13" s="3" t="s">
        <v>6</v>
      </c>
      <c r="Q13">
        <v>17.329999999999998</v>
      </c>
      <c r="R13">
        <v>18.12</v>
      </c>
      <c r="S13">
        <v>15.54</v>
      </c>
    </row>
    <row r="14" spans="1:20" ht="43.5" x14ac:dyDescent="0.35">
      <c r="A14" s="20" t="s">
        <v>28</v>
      </c>
      <c r="B14" s="20" t="s">
        <v>35</v>
      </c>
      <c r="C14" s="21">
        <f>M7+M15</f>
        <v>604.70000000000005</v>
      </c>
      <c r="D14" s="21">
        <f>N7+Uganda_adults_minimoto</f>
        <v>85.66</v>
      </c>
      <c r="E14" s="21">
        <f>O7+Uganda_adults_minimoto</f>
        <v>149.88</v>
      </c>
      <c r="F14" s="21">
        <f>P7+Uganda_adults_minimoto</f>
        <v>191.49</v>
      </c>
      <c r="G14" s="21">
        <f>Q7+Uganda_adults_minimoto</f>
        <v>163.82</v>
      </c>
      <c r="H14" s="21">
        <f>R7+Uganda_adults_minimoto</f>
        <v>408.4</v>
      </c>
      <c r="I14" s="21">
        <f>S7+Uganda_adults_minimoto</f>
        <v>588.6</v>
      </c>
      <c r="J14" s="21">
        <f>T7+Uganda_adults_minimoto</f>
        <v>732.11</v>
      </c>
      <c r="L14" s="3" t="s">
        <v>7</v>
      </c>
      <c r="M14">
        <v>51</v>
      </c>
      <c r="N14">
        <v>42</v>
      </c>
      <c r="O14">
        <v>63</v>
      </c>
      <c r="P14" s="3" t="s">
        <v>7</v>
      </c>
      <c r="Q14">
        <v>22.5</v>
      </c>
      <c r="R14">
        <v>20.48</v>
      </c>
      <c r="S14">
        <v>21.45</v>
      </c>
    </row>
    <row r="15" spans="1:20" ht="43.5" x14ac:dyDescent="0.35">
      <c r="A15" s="20" t="s">
        <v>29</v>
      </c>
      <c r="B15" s="20" t="s">
        <v>35</v>
      </c>
      <c r="C15" s="21">
        <f>M8+M15</f>
        <v>1189.99</v>
      </c>
      <c r="D15" s="21">
        <f>N8+Uganda_adults_minimoto</f>
        <v>88.88</v>
      </c>
      <c r="E15" s="21">
        <f>O8+Uganda_adults_minimoto</f>
        <v>263.11</v>
      </c>
      <c r="F15" s="21">
        <f>P8+Uganda_adults_minimoto</f>
        <v>391.59</v>
      </c>
      <c r="G15" s="21">
        <f>Q8+Uganda_adults_minimoto</f>
        <v>306.25</v>
      </c>
      <c r="H15" s="21">
        <f>R8+Uganda_adults_minimoto</f>
        <v>898.64</v>
      </c>
      <c r="I15" s="21">
        <f>S8+Uganda_adults_minimoto</f>
        <v>1167.6300000000001</v>
      </c>
      <c r="J15" s="21">
        <f>T8+Uganda_adults_minimoto</f>
        <v>1333.9</v>
      </c>
      <c r="L15" s="3" t="s">
        <v>8</v>
      </c>
      <c r="M15">
        <v>22</v>
      </c>
      <c r="N15">
        <v>14</v>
      </c>
      <c r="O15">
        <v>31</v>
      </c>
      <c r="P15" s="3" t="s">
        <v>8</v>
      </c>
      <c r="Q15">
        <v>15.7</v>
      </c>
      <c r="R15">
        <v>12.69</v>
      </c>
      <c r="S15">
        <v>17.579999999999998</v>
      </c>
    </row>
    <row r="16" spans="1:20" ht="29" x14ac:dyDescent="0.35">
      <c r="A16" s="20" t="s">
        <v>27</v>
      </c>
      <c r="B16" s="20" t="s">
        <v>36</v>
      </c>
      <c r="C16" s="21">
        <f>M6+M16</f>
        <v>223.6</v>
      </c>
      <c r="D16" s="21">
        <f>N6+Uganda_adults_LPG</f>
        <v>56.95</v>
      </c>
      <c r="E16" s="21">
        <f>O6+Uganda_adults_LPG</f>
        <v>83.08</v>
      </c>
      <c r="F16" s="21">
        <f>P6+Uganda_adults_LPG</f>
        <v>93.78</v>
      </c>
      <c r="G16" s="21">
        <f>Q6+Uganda_adults_LPG</f>
        <v>86.77</v>
      </c>
      <c r="H16" s="21">
        <f>R6+Uganda_adults_LPG</f>
        <v>152.88999999999999</v>
      </c>
      <c r="I16" s="21">
        <f>S6+Uganda_adults_LPG</f>
        <v>215.75</v>
      </c>
      <c r="J16" s="21">
        <f>T6+Uganda_adults_LPG</f>
        <v>275.75</v>
      </c>
      <c r="L16" s="3" t="s">
        <v>9</v>
      </c>
      <c r="M16">
        <v>4</v>
      </c>
      <c r="N16">
        <v>2</v>
      </c>
      <c r="O16">
        <v>6</v>
      </c>
      <c r="P16" s="3" t="s">
        <v>9</v>
      </c>
      <c r="Q16">
        <v>7.28</v>
      </c>
      <c r="R16">
        <v>4.82</v>
      </c>
      <c r="S16">
        <v>9.98</v>
      </c>
    </row>
    <row r="17" spans="1:19" ht="29" x14ac:dyDescent="0.35">
      <c r="A17" s="20" t="s">
        <v>28</v>
      </c>
      <c r="B17" s="20" t="s">
        <v>36</v>
      </c>
      <c r="C17" s="21">
        <f>M7+M16</f>
        <v>586.70000000000005</v>
      </c>
      <c r="D17" s="21">
        <f>N7+Uganda_adults_LPG</f>
        <v>60.66</v>
      </c>
      <c r="E17" s="21">
        <f>O7+Uganda_adults_LPG</f>
        <v>124.88</v>
      </c>
      <c r="F17" s="21">
        <f>P7+Uganda_adults_LPG</f>
        <v>166.49</v>
      </c>
      <c r="G17" s="21">
        <f>Q7+Uganda_adults_LPG</f>
        <v>138.82</v>
      </c>
      <c r="H17" s="21">
        <f>R7+Uganda_adults_LPG</f>
        <v>383.4</v>
      </c>
      <c r="I17" s="21">
        <f>S7+Uganda_adults_LPG</f>
        <v>563.6</v>
      </c>
      <c r="J17" s="21">
        <f>T7+Uganda_adults_LPG</f>
        <v>707.11</v>
      </c>
      <c r="L17" s="3" t="s">
        <v>10</v>
      </c>
      <c r="M17" s="3" t="s">
        <v>11</v>
      </c>
      <c r="N17" s="3" t="s">
        <v>11</v>
      </c>
      <c r="O17" s="3" t="s">
        <v>11</v>
      </c>
      <c r="P17" s="3" t="s">
        <v>10</v>
      </c>
      <c r="Q17" s="3" t="s">
        <v>11</v>
      </c>
      <c r="R17" s="3" t="s">
        <v>11</v>
      </c>
      <c r="S17" s="3" t="s">
        <v>11</v>
      </c>
    </row>
    <row r="18" spans="1:19" ht="29" x14ac:dyDescent="0.35">
      <c r="A18" s="20" t="s">
        <v>29</v>
      </c>
      <c r="B18" s="20" t="s">
        <v>36</v>
      </c>
      <c r="C18" s="21">
        <f>M8+M16</f>
        <v>1171.99</v>
      </c>
      <c r="D18" s="21">
        <f>N8+Uganda_adults_LPG</f>
        <v>63.88</v>
      </c>
      <c r="E18" s="21">
        <f>O8+Uganda_adults_LPG</f>
        <v>238.11</v>
      </c>
      <c r="F18" s="21">
        <f>P8+Uganda_adults_LPG</f>
        <v>366.59</v>
      </c>
      <c r="G18" s="21">
        <f>Q8+Uganda_adults_LPG</f>
        <v>281.25</v>
      </c>
      <c r="H18" s="21">
        <f>R8+Uganda_adults_LPG</f>
        <v>873.64</v>
      </c>
      <c r="I18" s="21">
        <f>S8+Uganda_adults_LPG</f>
        <v>1142.6300000000001</v>
      </c>
      <c r="J18" s="21">
        <f>T8+Uganda_adults_LPG</f>
        <v>1308.9000000000001</v>
      </c>
    </row>
    <row r="19" spans="1:19" ht="29" x14ac:dyDescent="0.35">
      <c r="A19" s="20" t="s">
        <v>27</v>
      </c>
      <c r="B19" s="20" t="s">
        <v>60</v>
      </c>
      <c r="C19">
        <f>M6</f>
        <v>219.6</v>
      </c>
      <c r="D19">
        <f>N6</f>
        <v>50.95</v>
      </c>
      <c r="E19">
        <f t="shared" ref="E19:J21" si="0">O6</f>
        <v>77.08</v>
      </c>
      <c r="F19">
        <f t="shared" si="0"/>
        <v>87.78</v>
      </c>
      <c r="G19">
        <f t="shared" si="0"/>
        <v>80.77</v>
      </c>
      <c r="H19">
        <f t="shared" si="0"/>
        <v>146.88999999999999</v>
      </c>
      <c r="I19">
        <f t="shared" si="0"/>
        <v>209.75</v>
      </c>
      <c r="J19">
        <f t="shared" si="0"/>
        <v>269.75</v>
      </c>
    </row>
    <row r="20" spans="1:19" ht="29" x14ac:dyDescent="0.35">
      <c r="A20" s="20" t="s">
        <v>28</v>
      </c>
      <c r="B20" s="20" t="s">
        <v>60</v>
      </c>
      <c r="C20">
        <f>M7</f>
        <v>582.70000000000005</v>
      </c>
      <c r="D20">
        <f t="shared" ref="D20:D21" si="1">N7</f>
        <v>54.66</v>
      </c>
      <c r="E20">
        <f t="shared" si="0"/>
        <v>118.88</v>
      </c>
      <c r="F20">
        <f t="shared" si="0"/>
        <v>160.49</v>
      </c>
      <c r="G20">
        <f t="shared" si="0"/>
        <v>132.82</v>
      </c>
      <c r="H20">
        <f t="shared" si="0"/>
        <v>377.4</v>
      </c>
      <c r="I20">
        <f t="shared" si="0"/>
        <v>557.6</v>
      </c>
      <c r="J20">
        <f t="shared" si="0"/>
        <v>701.11</v>
      </c>
    </row>
    <row r="21" spans="1:19" ht="29" x14ac:dyDescent="0.35">
      <c r="A21" s="20" t="s">
        <v>29</v>
      </c>
      <c r="B21" s="20" t="s">
        <v>60</v>
      </c>
      <c r="C21">
        <f>M8</f>
        <v>1167.99</v>
      </c>
      <c r="D21">
        <f t="shared" si="1"/>
        <v>57.88</v>
      </c>
      <c r="E21">
        <f t="shared" si="0"/>
        <v>232.11</v>
      </c>
      <c r="F21">
        <f t="shared" si="0"/>
        <v>360.59</v>
      </c>
      <c r="G21">
        <f t="shared" si="0"/>
        <v>275.25</v>
      </c>
      <c r="H21">
        <f t="shared" si="0"/>
        <v>867.64</v>
      </c>
      <c r="I21">
        <f t="shared" si="0"/>
        <v>1136.6300000000001</v>
      </c>
      <c r="J21">
        <f t="shared" si="0"/>
        <v>1302.9000000000001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9A6DB-D75A-4F90-99BD-A53BB4272F8A}">
  <dimension ref="A2:T21"/>
  <sheetViews>
    <sheetView topLeftCell="D1" workbookViewId="0">
      <selection sqref="A1:T21"/>
    </sheetView>
  </sheetViews>
  <sheetFormatPr defaultRowHeight="14.5" x14ac:dyDescent="0.35"/>
  <sheetData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269.95999999999998</v>
      </c>
      <c r="D4" s="21">
        <f>N6+Uganda_child_traditional_wood</f>
        <v>215.26</v>
      </c>
      <c r="E4" s="21">
        <f>O6+Uganda_child_traditional_wood</f>
        <v>224.82999999999998</v>
      </c>
      <c r="F4" s="21">
        <f>P6+Uganda_child_traditional_wood</f>
        <v>229.48</v>
      </c>
      <c r="G4" s="21">
        <f>Q6+Uganda_child_traditional_wood</f>
        <v>226.41</v>
      </c>
      <c r="H4" s="21">
        <f>R6+Uganda_child_traditional_wood</f>
        <v>250.5</v>
      </c>
      <c r="I4" s="21">
        <f>S6+Uganda_child_traditional_wood</f>
        <v>269.14</v>
      </c>
      <c r="J4" s="21">
        <f>T6+Uganda_child_traditional_wood</f>
        <v>286.2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370.40999999999997</v>
      </c>
      <c r="D5" s="21">
        <f>N7+Uganda_child_traditional_wood</f>
        <v>215.59</v>
      </c>
      <c r="E5" s="21">
        <f>O7+Uganda_child_traditional_wood</f>
        <v>235.1</v>
      </c>
      <c r="F5" s="21">
        <f>P7+Uganda_child_traditional_wood</f>
        <v>247.86</v>
      </c>
      <c r="G5" s="21">
        <f>Q7+Uganda_child_traditional_wood</f>
        <v>239.25</v>
      </c>
      <c r="H5" s="21">
        <f>R7+Uganda_child_traditional_wood</f>
        <v>315.32</v>
      </c>
      <c r="I5" s="21">
        <f>S7+Uganda_child_traditional_wood</f>
        <v>372.2</v>
      </c>
      <c r="J5" s="21">
        <f>T7+Uganda_child_traditional_wood</f>
        <v>420.26</v>
      </c>
      <c r="L5" s="14" t="s">
        <v>26</v>
      </c>
      <c r="M5" s="15">
        <f>'Uganda child water DALYs'!B3</f>
        <v>0</v>
      </c>
      <c r="N5" s="15">
        <f>'Uganda child water DALYs'!C3</f>
        <v>0</v>
      </c>
      <c r="O5" s="15">
        <f>'Uganda child water DALYs'!D3</f>
        <v>0</v>
      </c>
      <c r="P5" s="15">
        <f>'Uganda child water DALYs'!E3</f>
        <v>0</v>
      </c>
      <c r="Q5" s="15">
        <f>'Uganda child water DALYs'!F3</f>
        <v>0</v>
      </c>
      <c r="R5" s="15">
        <f>'Uganda child water DALYs'!G3</f>
        <v>0</v>
      </c>
      <c r="S5" s="15">
        <f>'Uganda child water DALYs'!H3</f>
        <v>0</v>
      </c>
      <c r="T5" s="15">
        <f>'Uganda child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585.21</v>
      </c>
      <c r="D6" s="21">
        <f>N8+Uganda_child_traditional_wood</f>
        <v>218.76</v>
      </c>
      <c r="E6" s="21">
        <f>O8+Uganda_child_traditional_wood</f>
        <v>264.27999999999997</v>
      </c>
      <c r="F6" s="21">
        <f>P8+Uganda_child_traditional_wood</f>
        <v>301.44</v>
      </c>
      <c r="G6" s="21">
        <f>Q8+Uganda_child_traditional_wood</f>
        <v>276.55</v>
      </c>
      <c r="H6" s="21">
        <f>R8+Uganda_child_traditional_wood</f>
        <v>472.35</v>
      </c>
      <c r="I6" s="21">
        <f>S8+Uganda_child_traditional_wood</f>
        <v>574.76</v>
      </c>
      <c r="J6" s="21">
        <f>T8+Uganda_child_traditional_wood</f>
        <v>641.88</v>
      </c>
      <c r="L6" s="14" t="s">
        <v>27</v>
      </c>
      <c r="M6" s="15">
        <f>'Uganda child water DALYs'!B4</f>
        <v>75.959999999999994</v>
      </c>
      <c r="N6" s="15">
        <f>'Uganda child water DALYs'!C4</f>
        <v>19.260000000000002</v>
      </c>
      <c r="O6" s="15">
        <f>'Uganda child water DALYs'!D4</f>
        <v>28.83</v>
      </c>
      <c r="P6" s="15">
        <f>'Uganda child water DALYs'!E4</f>
        <v>33.479999999999997</v>
      </c>
      <c r="Q6" s="15">
        <f>'Uganda child water DALYs'!F4</f>
        <v>30.41</v>
      </c>
      <c r="R6" s="15">
        <f>'Uganda child water DALYs'!G4</f>
        <v>54.5</v>
      </c>
      <c r="S6" s="15">
        <f>'Uganda child water DALYs'!H4</f>
        <v>73.14</v>
      </c>
      <c r="T6" s="15">
        <f>'Uganda child water DALYs'!I4</f>
        <v>90.2</v>
      </c>
    </row>
    <row r="7" spans="1:20" ht="43.5" x14ac:dyDescent="0.35">
      <c r="A7" s="20" t="s">
        <v>27</v>
      </c>
      <c r="B7" s="20" t="s">
        <v>33</v>
      </c>
      <c r="C7" s="21">
        <f>M6+M13</f>
        <v>261.95999999999998</v>
      </c>
      <c r="D7" s="21">
        <f>N6+Uganda_child_improved_wood</f>
        <v>210.26</v>
      </c>
      <c r="E7" s="21">
        <f>O6+Uganda_child_improved_wood</f>
        <v>219.82999999999998</v>
      </c>
      <c r="F7" s="21">
        <f>P6+Uganda_child_improved_wood</f>
        <v>224.48</v>
      </c>
      <c r="G7" s="21">
        <f>Q6+Uganda_child_improved_wood</f>
        <v>221.41</v>
      </c>
      <c r="H7" s="21">
        <f>R6+Uganda_child_improved_wood</f>
        <v>245.5</v>
      </c>
      <c r="I7" s="21">
        <f>S6+Uganda_child_improved_wood</f>
        <v>264.14</v>
      </c>
      <c r="J7" s="21">
        <f>T6+Uganda_child_improved_wood</f>
        <v>281.2</v>
      </c>
      <c r="L7" s="14" t="s">
        <v>28</v>
      </c>
      <c r="M7" s="15">
        <f>'Uganda child water DALYs'!B5</f>
        <v>184.41</v>
      </c>
      <c r="N7" s="15">
        <f>'Uganda child water DALYs'!C5</f>
        <v>19.59</v>
      </c>
      <c r="O7" s="15">
        <f>'Uganda child water DALYs'!D5</f>
        <v>39.1</v>
      </c>
      <c r="P7" s="15">
        <f>'Uganda child water DALYs'!E5</f>
        <v>51.86</v>
      </c>
      <c r="Q7" s="15">
        <f>'Uganda child water DALYs'!F5</f>
        <v>43.25</v>
      </c>
      <c r="R7" s="15">
        <f>'Uganda child water DALYs'!G5</f>
        <v>119.32</v>
      </c>
      <c r="S7" s="15">
        <f>'Uganda child water DALYs'!H5</f>
        <v>176.2</v>
      </c>
      <c r="T7" s="15">
        <f>'Uganda child water DALYs'!I5</f>
        <v>224.26</v>
      </c>
    </row>
    <row r="8" spans="1:20" ht="43.5" x14ac:dyDescent="0.35">
      <c r="A8" s="20" t="s">
        <v>28</v>
      </c>
      <c r="B8" s="20" t="s">
        <v>33</v>
      </c>
      <c r="C8" s="21">
        <f>M7+M13</f>
        <v>370.40999999999997</v>
      </c>
      <c r="D8" s="21">
        <f>N7+Uganda_child_improved_wood</f>
        <v>210.59</v>
      </c>
      <c r="E8" s="21">
        <f>O7+Uganda_child_improved_wood</f>
        <v>230.1</v>
      </c>
      <c r="F8" s="21">
        <f>P7+Uganda_child_improved_wood</f>
        <v>242.86</v>
      </c>
      <c r="G8" s="21">
        <f>Q7+Uganda_child_improved_wood</f>
        <v>234.25</v>
      </c>
      <c r="H8" s="21">
        <f>R7+Uganda_child_improved_wood</f>
        <v>310.32</v>
      </c>
      <c r="I8" s="21">
        <f>S7+Uganda_child_improved_wood</f>
        <v>367.2</v>
      </c>
      <c r="J8" s="21">
        <f>T7+Uganda_child_improved_wood</f>
        <v>415.26</v>
      </c>
      <c r="L8" s="14" t="s">
        <v>29</v>
      </c>
      <c r="M8" s="15">
        <f>'Uganda child water DALYs'!B6</f>
        <v>391.21</v>
      </c>
      <c r="N8" s="15">
        <f>'Uganda child water DALYs'!C6</f>
        <v>22.76</v>
      </c>
      <c r="O8" s="15">
        <f>'Uganda child water DALYs'!D6</f>
        <v>68.28</v>
      </c>
      <c r="P8" s="15">
        <f>'Uganda child water DALYs'!E6</f>
        <v>105.44</v>
      </c>
      <c r="Q8" s="15">
        <f>'Uganda child water DALYs'!F6</f>
        <v>80.55</v>
      </c>
      <c r="R8" s="15">
        <f>'Uganda child water DALYs'!G6</f>
        <v>276.35000000000002</v>
      </c>
      <c r="S8" s="15">
        <f>'Uganda child water DALYs'!H6</f>
        <v>378.76</v>
      </c>
      <c r="T8" s="15">
        <f>'Uganda child water DALYs'!I6</f>
        <v>445.88</v>
      </c>
    </row>
    <row r="9" spans="1:20" ht="43.5" x14ac:dyDescent="0.35">
      <c r="A9" s="20" t="s">
        <v>29</v>
      </c>
      <c r="B9" s="20" t="s">
        <v>33</v>
      </c>
      <c r="C9" s="21">
        <f>M8+M13</f>
        <v>577.21</v>
      </c>
      <c r="D9" s="21">
        <f>N8+Uganda_child_improved_wood</f>
        <v>213.76</v>
      </c>
      <c r="E9" s="21">
        <f>O8+Uganda_child_improved_wood</f>
        <v>259.27999999999997</v>
      </c>
      <c r="F9" s="21">
        <f>P8+Uganda_child_improved_wood</f>
        <v>296.44</v>
      </c>
      <c r="G9" s="21">
        <f>Q8+Uganda_child_improved_wood</f>
        <v>271.55</v>
      </c>
      <c r="H9" s="21">
        <f>R8+Uganda_child_improved_wood</f>
        <v>467.35</v>
      </c>
      <c r="I9" s="21">
        <f>S8+Uganda_child_improved_wood</f>
        <v>569.76</v>
      </c>
      <c r="J9" s="21">
        <f>T8+Uganda_child_improved_wood</f>
        <v>636.88</v>
      </c>
    </row>
    <row r="10" spans="1:20" ht="43.5" x14ac:dyDescent="0.35">
      <c r="A10" s="20" t="s">
        <v>27</v>
      </c>
      <c r="B10" s="20" t="s">
        <v>34</v>
      </c>
      <c r="C10" s="21">
        <f>M6+M14</f>
        <v>141.95999999999998</v>
      </c>
      <c r="D10" s="21">
        <f>N6+Uganda_child_charcoal</f>
        <v>111.26</v>
      </c>
      <c r="E10" s="21">
        <f>O6+Uganda_child_charcoal</f>
        <v>120.83</v>
      </c>
      <c r="F10" s="21">
        <f>P6+Uganda_child_charcoal</f>
        <v>125.47999999999999</v>
      </c>
      <c r="G10" s="21">
        <f>Q6+Uganda_child_charcoal</f>
        <v>122.41</v>
      </c>
      <c r="H10" s="21">
        <f>R6+Uganda_child_charcoal</f>
        <v>146.5</v>
      </c>
      <c r="I10" s="21">
        <f>S6+Uganda_child_charcoal</f>
        <v>165.14</v>
      </c>
      <c r="J10" s="21">
        <f>T6+Uganda_child_charcoal</f>
        <v>182.2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250.41</v>
      </c>
      <c r="D11" s="21">
        <f>N7+Uganda_child_charcoal</f>
        <v>111.59</v>
      </c>
      <c r="E11" s="21">
        <f>O7+Uganda_child_charcoal</f>
        <v>131.1</v>
      </c>
      <c r="F11" s="21">
        <f>P7+Uganda_child_charcoal</f>
        <v>143.86000000000001</v>
      </c>
      <c r="G11" s="21">
        <f>Q7+Uganda_child_charcoal</f>
        <v>135.25</v>
      </c>
      <c r="H11" s="21">
        <f>R7+Uganda_child_charcoal</f>
        <v>211.32</v>
      </c>
      <c r="I11" s="21">
        <f>S7+Uganda_child_charcoal</f>
        <v>268.2</v>
      </c>
      <c r="J11" s="21">
        <f>T7+Uganda_child_charcoal</f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457.21</v>
      </c>
      <c r="D12" s="21">
        <f>N8+Uganda_child_charcoal</f>
        <v>114.76</v>
      </c>
      <c r="E12" s="21">
        <f>O8+Uganda_child_charcoal</f>
        <v>160.28</v>
      </c>
      <c r="F12" s="21">
        <f>P8+Uganda_child_charcoal</f>
        <v>197.44</v>
      </c>
      <c r="G12" s="21">
        <f>Q8+Uganda_child_charcoal</f>
        <v>172.55</v>
      </c>
      <c r="H12" s="21">
        <f>R8+Uganda_child_charcoal</f>
        <v>368.35</v>
      </c>
      <c r="I12" s="21">
        <f>S8+Uganda_child_charcoal</f>
        <v>470.76</v>
      </c>
      <c r="J12" s="21">
        <f>T8+Uganda_child_charcoal</f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5" x14ac:dyDescent="0.35">
      <c r="A13" s="20" t="s">
        <v>27</v>
      </c>
      <c r="B13" s="20" t="s">
        <v>35</v>
      </c>
      <c r="C13" s="21">
        <f>M6+M15</f>
        <v>95.96</v>
      </c>
      <c r="D13" s="21">
        <f>N6+Uganda_child_gasifier</f>
        <v>49.260000000000005</v>
      </c>
      <c r="E13" s="21">
        <f>O6+Uganda_child_gasifier</f>
        <v>58.83</v>
      </c>
      <c r="F13" s="21">
        <f>P6+Uganda_child_gasifier</f>
        <v>63.48</v>
      </c>
      <c r="G13" s="21">
        <f>Q6+Uganda_child_gasifier</f>
        <v>60.41</v>
      </c>
      <c r="H13" s="21">
        <f>R6+Uganda_child_gasifier</f>
        <v>84.5</v>
      </c>
      <c r="I13" s="21">
        <f>S6+Uganda_child_gasifier</f>
        <v>103.14</v>
      </c>
      <c r="J13" s="21">
        <f>T6+Uganda_child_gasifier</f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5" x14ac:dyDescent="0.35">
      <c r="A14" s="20" t="s">
        <v>28</v>
      </c>
      <c r="B14" s="20" t="s">
        <v>35</v>
      </c>
      <c r="C14" s="21">
        <f>M7+M15</f>
        <v>204.41</v>
      </c>
      <c r="D14" s="21">
        <f>N7+Uganda_child_gasifier</f>
        <v>49.59</v>
      </c>
      <c r="E14" s="21">
        <f>O7+Uganda_child_gasifier</f>
        <v>69.099999999999994</v>
      </c>
      <c r="F14" s="21">
        <f>P7+Uganda_child_gasifier</f>
        <v>81.86</v>
      </c>
      <c r="G14" s="21">
        <f>Q7+Uganda_child_gasifier</f>
        <v>73.25</v>
      </c>
      <c r="H14" s="21">
        <f>R7+Uganda_child_gasifier</f>
        <v>149.32</v>
      </c>
      <c r="I14" s="21">
        <f>S7+Uganda_child_gasifier</f>
        <v>206.2</v>
      </c>
      <c r="J14" s="21">
        <f>T7+Uganda_child_gasifier</f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5" x14ac:dyDescent="0.35">
      <c r="A15" s="20" t="s">
        <v>29</v>
      </c>
      <c r="B15" s="20" t="s">
        <v>35</v>
      </c>
      <c r="C15" s="21">
        <f>M8+M15</f>
        <v>411.21</v>
      </c>
      <c r="D15" s="21">
        <f>N8+Uganda_child_gasifier</f>
        <v>52.760000000000005</v>
      </c>
      <c r="E15" s="21">
        <f>O8+Uganda_child_gasifier</f>
        <v>98.28</v>
      </c>
      <c r="F15" s="21">
        <f>P8+Uganda_child_gasifier</f>
        <v>135.44</v>
      </c>
      <c r="G15" s="21">
        <f>Q8+Uganda_child_gasifier</f>
        <v>110.55</v>
      </c>
      <c r="H15" s="21">
        <f>R8+Uganda_child_gasifier</f>
        <v>306.35000000000002</v>
      </c>
      <c r="I15" s="21">
        <f>S8+Uganda_child_gasifier</f>
        <v>408.76</v>
      </c>
      <c r="J15" s="21">
        <f>T8+Uganda_child_gasifier</f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9" x14ac:dyDescent="0.35">
      <c r="A16" s="20" t="s">
        <v>27</v>
      </c>
      <c r="B16" s="20" t="s">
        <v>36</v>
      </c>
      <c r="C16" s="21">
        <f>M6+M16</f>
        <v>79.959999999999994</v>
      </c>
      <c r="D16" s="21">
        <f>N6+Uganda_child_LPG</f>
        <v>25.26</v>
      </c>
      <c r="E16" s="21">
        <f>O6+Uganda_child_LPG</f>
        <v>34.83</v>
      </c>
      <c r="F16" s="21">
        <f>P6+Uganda_child_LPG</f>
        <v>39.479999999999997</v>
      </c>
      <c r="G16" s="21">
        <f>Q6+Uganda_child_LPG</f>
        <v>36.409999999999997</v>
      </c>
      <c r="H16" s="21">
        <f>R6+Uganda_child_LPG</f>
        <v>60.5</v>
      </c>
      <c r="I16" s="21">
        <f>S6+Uganda_child_LPG</f>
        <v>79.14</v>
      </c>
      <c r="J16" s="21">
        <f>T6+Uganda_child_LPG</f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9" x14ac:dyDescent="0.35">
      <c r="A17" s="20" t="s">
        <v>28</v>
      </c>
      <c r="B17" s="20" t="s">
        <v>36</v>
      </c>
      <c r="C17" s="21">
        <f>M7+M16</f>
        <v>188.41</v>
      </c>
      <c r="D17" s="21">
        <f>N7+Uganda_child_LPG</f>
        <v>25.59</v>
      </c>
      <c r="E17" s="21">
        <f>O7+Uganda_child_LPG</f>
        <v>45.1</v>
      </c>
      <c r="F17" s="21">
        <f>P7+Uganda_child_LPG</f>
        <v>57.86</v>
      </c>
      <c r="G17" s="21">
        <f>Q7+Uganda_child_LPG</f>
        <v>49.25</v>
      </c>
      <c r="H17" s="21">
        <f>R7+Uganda_child_LPG</f>
        <v>125.32</v>
      </c>
      <c r="I17" s="21">
        <f>S7+Uganda_child_LPG</f>
        <v>182.2</v>
      </c>
      <c r="J17" s="21">
        <f>T7+Uganda_child_LPG</f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9" x14ac:dyDescent="0.35">
      <c r="A18" s="20" t="s">
        <v>29</v>
      </c>
      <c r="B18" s="20" t="s">
        <v>36</v>
      </c>
      <c r="C18" s="21">
        <f>M8+M16</f>
        <v>395.21</v>
      </c>
      <c r="D18" s="21">
        <f>N8+Uganda_child_LPG</f>
        <v>28.76</v>
      </c>
      <c r="E18" s="21">
        <f>O8+Uganda_child_LPG</f>
        <v>74.28</v>
      </c>
      <c r="F18" s="21">
        <f>P8+Uganda_child_LPG</f>
        <v>111.44</v>
      </c>
      <c r="G18" s="21">
        <f>Q8+Uganda_child_LPG</f>
        <v>86.55</v>
      </c>
      <c r="H18" s="21">
        <f>R8+Uganda_child_LPG</f>
        <v>282.35000000000002</v>
      </c>
      <c r="I18" s="21">
        <f>S8+Uganda_child_LPG</f>
        <v>384.76</v>
      </c>
      <c r="J18" s="21">
        <f>T8+Uganda_child_LPG</f>
        <v>451.88</v>
      </c>
    </row>
    <row r="19" spans="1:19" ht="29" x14ac:dyDescent="0.35">
      <c r="A19" s="20" t="s">
        <v>27</v>
      </c>
      <c r="B19" s="20" t="s">
        <v>60</v>
      </c>
      <c r="C19">
        <f>M6</f>
        <v>75.959999999999994</v>
      </c>
      <c r="D19">
        <f>N6</f>
        <v>19.260000000000002</v>
      </c>
      <c r="E19">
        <f t="shared" ref="E19:J21" si="0">O6</f>
        <v>28.83</v>
      </c>
      <c r="F19">
        <f t="shared" si="0"/>
        <v>33.479999999999997</v>
      </c>
      <c r="G19">
        <f t="shared" si="0"/>
        <v>30.41</v>
      </c>
      <c r="H19">
        <f t="shared" si="0"/>
        <v>54.5</v>
      </c>
      <c r="I19">
        <f t="shared" si="0"/>
        <v>73.14</v>
      </c>
      <c r="J19">
        <f t="shared" si="0"/>
        <v>90.2</v>
      </c>
    </row>
    <row r="20" spans="1:19" ht="29" x14ac:dyDescent="0.35">
      <c r="A20" s="20" t="s">
        <v>28</v>
      </c>
      <c r="B20" s="20" t="s">
        <v>60</v>
      </c>
      <c r="C20">
        <f>M7</f>
        <v>184.41</v>
      </c>
      <c r="D20">
        <f t="shared" ref="D20:D21" si="1">N7</f>
        <v>19.59</v>
      </c>
      <c r="E20">
        <f t="shared" si="0"/>
        <v>39.1</v>
      </c>
      <c r="F20">
        <f t="shared" si="0"/>
        <v>51.86</v>
      </c>
      <c r="G20">
        <f t="shared" si="0"/>
        <v>43.25</v>
      </c>
      <c r="H20">
        <f t="shared" si="0"/>
        <v>119.32</v>
      </c>
      <c r="I20">
        <f t="shared" si="0"/>
        <v>176.2</v>
      </c>
      <c r="J20">
        <f t="shared" si="0"/>
        <v>224.26</v>
      </c>
    </row>
    <row r="21" spans="1:19" ht="29" x14ac:dyDescent="0.35">
      <c r="A21" s="20" t="s">
        <v>29</v>
      </c>
      <c r="B21" s="20" t="s">
        <v>60</v>
      </c>
      <c r="C21">
        <f>M8</f>
        <v>391.21</v>
      </c>
      <c r="D21">
        <f t="shared" si="1"/>
        <v>22.76</v>
      </c>
      <c r="E21">
        <f t="shared" si="0"/>
        <v>68.28</v>
      </c>
      <c r="F21">
        <f t="shared" si="0"/>
        <v>105.44</v>
      </c>
      <c r="G21">
        <f t="shared" si="0"/>
        <v>80.55</v>
      </c>
      <c r="H21">
        <f t="shared" si="0"/>
        <v>276.35000000000002</v>
      </c>
      <c r="I21">
        <f t="shared" si="0"/>
        <v>378.76</v>
      </c>
      <c r="J21">
        <f t="shared" si="0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56DC-3B2F-48B0-9A3A-A5EBBD98BDEA}">
  <dimension ref="A2:T21"/>
  <sheetViews>
    <sheetView topLeftCell="D1" workbookViewId="0">
      <selection sqref="A1:T21"/>
    </sheetView>
  </sheetViews>
  <sheetFormatPr defaultRowHeight="14.5" x14ac:dyDescent="0.35"/>
  <sheetData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269.95999999999998</v>
      </c>
      <c r="D4" s="21">
        <f>N6+Uganda_child_traditional_wood</f>
        <v>215.26</v>
      </c>
      <c r="E4" s="21">
        <f>O6+Uganda_child_traditional_wood</f>
        <v>224.82999999999998</v>
      </c>
      <c r="F4" s="21">
        <f>P6+Uganda_child_traditional_wood</f>
        <v>229.48</v>
      </c>
      <c r="G4" s="21">
        <f>Q6+Uganda_child_traditional_wood</f>
        <v>226.41</v>
      </c>
      <c r="H4" s="21">
        <f>R6+Uganda_child_traditional_wood</f>
        <v>250.5</v>
      </c>
      <c r="I4" s="21">
        <f>S6+Uganda_child_traditional_wood</f>
        <v>269.14</v>
      </c>
      <c r="J4" s="21">
        <f>T6+Uganda_child_traditional_wood</f>
        <v>286.2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370.40999999999997</v>
      </c>
      <c r="D5" s="21">
        <f>N7+Uganda_child_traditional_wood</f>
        <v>215.59</v>
      </c>
      <c r="E5" s="21">
        <f>O7+Uganda_child_traditional_wood</f>
        <v>235.1</v>
      </c>
      <c r="F5" s="21">
        <f>P7+Uganda_child_traditional_wood</f>
        <v>247.86</v>
      </c>
      <c r="G5" s="21">
        <f>Q7+Uganda_child_traditional_wood</f>
        <v>239.25</v>
      </c>
      <c r="H5" s="21">
        <f>R7+Uganda_child_traditional_wood</f>
        <v>315.32</v>
      </c>
      <c r="I5" s="21">
        <f>S7+Uganda_child_traditional_wood</f>
        <v>372.2</v>
      </c>
      <c r="J5" s="21">
        <f>T7+Uganda_child_traditional_wood</f>
        <v>420.26</v>
      </c>
      <c r="L5" s="14" t="s">
        <v>26</v>
      </c>
      <c r="M5" s="15">
        <f>'Uganda child water DALYs'!B3</f>
        <v>0</v>
      </c>
      <c r="N5" s="15">
        <f>'Uganda child water DALYs'!C3</f>
        <v>0</v>
      </c>
      <c r="O5" s="15">
        <f>'Uganda child water DALYs'!D3</f>
        <v>0</v>
      </c>
      <c r="P5" s="15">
        <f>'Uganda child water DALYs'!E3</f>
        <v>0</v>
      </c>
      <c r="Q5" s="15">
        <f>'Uganda child water DALYs'!F3</f>
        <v>0</v>
      </c>
      <c r="R5" s="15">
        <f>'Uganda child water DALYs'!G3</f>
        <v>0</v>
      </c>
      <c r="S5" s="15">
        <f>'Uganda child water DALYs'!H3</f>
        <v>0</v>
      </c>
      <c r="T5" s="15">
        <f>'Uganda child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585.21</v>
      </c>
      <c r="D6" s="21">
        <f>N8+Uganda_child_traditional_wood</f>
        <v>218.76</v>
      </c>
      <c r="E6" s="21">
        <f>O8+Uganda_child_traditional_wood</f>
        <v>264.27999999999997</v>
      </c>
      <c r="F6" s="21">
        <f>P8+Uganda_child_traditional_wood</f>
        <v>301.44</v>
      </c>
      <c r="G6" s="21">
        <f>Q8+Uganda_child_traditional_wood</f>
        <v>276.55</v>
      </c>
      <c r="H6" s="21">
        <f>R8+Uganda_child_traditional_wood</f>
        <v>472.35</v>
      </c>
      <c r="I6" s="21">
        <f>S8+Uganda_child_traditional_wood</f>
        <v>574.76</v>
      </c>
      <c r="J6" s="21">
        <f>T8+Uganda_child_traditional_wood</f>
        <v>641.88</v>
      </c>
      <c r="L6" s="14" t="s">
        <v>27</v>
      </c>
      <c r="M6" s="15">
        <f>'Uganda child water DALYs'!B4</f>
        <v>75.959999999999994</v>
      </c>
      <c r="N6" s="15">
        <f>'Uganda child water DALYs'!C4</f>
        <v>19.260000000000002</v>
      </c>
      <c r="O6" s="15">
        <f>'Uganda child water DALYs'!D4</f>
        <v>28.83</v>
      </c>
      <c r="P6" s="15">
        <f>'Uganda child water DALYs'!E4</f>
        <v>33.479999999999997</v>
      </c>
      <c r="Q6" s="15">
        <f>'Uganda child water DALYs'!F4</f>
        <v>30.41</v>
      </c>
      <c r="R6" s="15">
        <f>'Uganda child water DALYs'!G4</f>
        <v>54.5</v>
      </c>
      <c r="S6" s="15">
        <f>'Uganda child water DALYs'!H4</f>
        <v>73.14</v>
      </c>
      <c r="T6" s="15">
        <f>'Uganda child water DALYs'!I4</f>
        <v>90.2</v>
      </c>
    </row>
    <row r="7" spans="1:20" ht="43.5" x14ac:dyDescent="0.35">
      <c r="A7" s="20" t="s">
        <v>27</v>
      </c>
      <c r="B7" s="20" t="s">
        <v>33</v>
      </c>
      <c r="C7" s="21">
        <f>M6+M13</f>
        <v>261.95999999999998</v>
      </c>
      <c r="D7" s="21">
        <f>N6+Uganda_child_improved_wood</f>
        <v>210.26</v>
      </c>
      <c r="E7" s="21">
        <f>O6+Uganda_child_improved_wood</f>
        <v>219.82999999999998</v>
      </c>
      <c r="F7" s="21">
        <f>P6+Uganda_child_improved_wood</f>
        <v>224.48</v>
      </c>
      <c r="G7" s="21">
        <f>Q6+Uganda_child_improved_wood</f>
        <v>221.41</v>
      </c>
      <c r="H7" s="21">
        <f>R6+Uganda_child_improved_wood</f>
        <v>245.5</v>
      </c>
      <c r="I7" s="21">
        <f>S6+Uganda_child_improved_wood</f>
        <v>264.14</v>
      </c>
      <c r="J7" s="21">
        <f>T6+Uganda_child_improved_wood</f>
        <v>281.2</v>
      </c>
      <c r="L7" s="14" t="s">
        <v>28</v>
      </c>
      <c r="M7" s="15">
        <f>'Uganda child water DALYs'!B5</f>
        <v>184.41</v>
      </c>
      <c r="N7" s="15">
        <f>'Uganda child water DALYs'!C5</f>
        <v>19.59</v>
      </c>
      <c r="O7" s="15">
        <f>'Uganda child water DALYs'!D5</f>
        <v>39.1</v>
      </c>
      <c r="P7" s="15">
        <f>'Uganda child water DALYs'!E5</f>
        <v>51.86</v>
      </c>
      <c r="Q7" s="15">
        <f>'Uganda child water DALYs'!F5</f>
        <v>43.25</v>
      </c>
      <c r="R7" s="15">
        <f>'Uganda child water DALYs'!G5</f>
        <v>119.32</v>
      </c>
      <c r="S7" s="15">
        <f>'Uganda child water DALYs'!H5</f>
        <v>176.2</v>
      </c>
      <c r="T7" s="15">
        <f>'Uganda child water DALYs'!I5</f>
        <v>224.26</v>
      </c>
    </row>
    <row r="8" spans="1:20" ht="43.5" x14ac:dyDescent="0.35">
      <c r="A8" s="20" t="s">
        <v>28</v>
      </c>
      <c r="B8" s="20" t="s">
        <v>33</v>
      </c>
      <c r="C8" s="21">
        <f>M7+M13</f>
        <v>370.40999999999997</v>
      </c>
      <c r="D8" s="21">
        <f>N7+Uganda_child_improved_wood</f>
        <v>210.59</v>
      </c>
      <c r="E8" s="21">
        <f>O7+Uganda_child_improved_wood</f>
        <v>230.1</v>
      </c>
      <c r="F8" s="21">
        <f>P7+Uganda_child_improved_wood</f>
        <v>242.86</v>
      </c>
      <c r="G8" s="21">
        <f>Q7+Uganda_child_improved_wood</f>
        <v>234.25</v>
      </c>
      <c r="H8" s="21">
        <f>R7+Uganda_child_improved_wood</f>
        <v>310.32</v>
      </c>
      <c r="I8" s="21">
        <f>S7+Uganda_child_improved_wood</f>
        <v>367.2</v>
      </c>
      <c r="J8" s="21">
        <f>T7+Uganda_child_improved_wood</f>
        <v>415.26</v>
      </c>
      <c r="L8" s="14" t="s">
        <v>29</v>
      </c>
      <c r="M8" s="15">
        <f>'Uganda child water DALYs'!B6</f>
        <v>391.21</v>
      </c>
      <c r="N8" s="15">
        <f>'Uganda child water DALYs'!C6</f>
        <v>22.76</v>
      </c>
      <c r="O8" s="15">
        <f>'Uganda child water DALYs'!D6</f>
        <v>68.28</v>
      </c>
      <c r="P8" s="15">
        <f>'Uganda child water DALYs'!E6</f>
        <v>105.44</v>
      </c>
      <c r="Q8" s="15">
        <f>'Uganda child water DALYs'!F6</f>
        <v>80.55</v>
      </c>
      <c r="R8" s="15">
        <f>'Uganda child water DALYs'!G6</f>
        <v>276.35000000000002</v>
      </c>
      <c r="S8" s="15">
        <f>'Uganda child water DALYs'!H6</f>
        <v>378.76</v>
      </c>
      <c r="T8" s="15">
        <f>'Uganda child water DALYs'!I6</f>
        <v>445.88</v>
      </c>
    </row>
    <row r="9" spans="1:20" ht="43.5" x14ac:dyDescent="0.35">
      <c r="A9" s="20" t="s">
        <v>29</v>
      </c>
      <c r="B9" s="20" t="s">
        <v>33</v>
      </c>
      <c r="C9" s="21">
        <f>M8+M13</f>
        <v>577.21</v>
      </c>
      <c r="D9" s="21">
        <f>N8+Uganda_child_improved_wood</f>
        <v>213.76</v>
      </c>
      <c r="E9" s="21">
        <f>O8+Uganda_child_improved_wood</f>
        <v>259.27999999999997</v>
      </c>
      <c r="F9" s="21">
        <f>P8+Uganda_child_improved_wood</f>
        <v>296.44</v>
      </c>
      <c r="G9" s="21">
        <f>Q8+Uganda_child_improved_wood</f>
        <v>271.55</v>
      </c>
      <c r="H9" s="21">
        <f>R8+Uganda_child_improved_wood</f>
        <v>467.35</v>
      </c>
      <c r="I9" s="21">
        <f>S8+Uganda_child_improved_wood</f>
        <v>569.76</v>
      </c>
      <c r="J9" s="21">
        <f>T8+Uganda_child_improved_wood</f>
        <v>636.88</v>
      </c>
    </row>
    <row r="10" spans="1:20" ht="43.5" x14ac:dyDescent="0.35">
      <c r="A10" s="20" t="s">
        <v>27</v>
      </c>
      <c r="B10" s="20" t="s">
        <v>34</v>
      </c>
      <c r="C10" s="21">
        <f>M6+M14</f>
        <v>141.95999999999998</v>
      </c>
      <c r="D10" s="21">
        <f>N6+Uganda_child_charcoal</f>
        <v>111.26</v>
      </c>
      <c r="E10" s="21">
        <f>O6+Uganda_child_charcoal</f>
        <v>120.83</v>
      </c>
      <c r="F10" s="21">
        <f>P6+Uganda_child_charcoal</f>
        <v>125.47999999999999</v>
      </c>
      <c r="G10" s="21">
        <f>Q6+Uganda_child_charcoal</f>
        <v>122.41</v>
      </c>
      <c r="H10" s="21">
        <f>R6+Uganda_child_charcoal</f>
        <v>146.5</v>
      </c>
      <c r="I10" s="21">
        <f>S6+Uganda_child_charcoal</f>
        <v>165.14</v>
      </c>
      <c r="J10" s="21">
        <f>T6+Uganda_child_charcoal</f>
        <v>182.2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250.41</v>
      </c>
      <c r="D11" s="21">
        <f>N7+Uganda_child_charcoal</f>
        <v>111.59</v>
      </c>
      <c r="E11" s="21">
        <f>O7+Uganda_child_charcoal</f>
        <v>131.1</v>
      </c>
      <c r="F11" s="21">
        <f>P7+Uganda_child_charcoal</f>
        <v>143.86000000000001</v>
      </c>
      <c r="G11" s="21">
        <f>Q7+Uganda_child_charcoal</f>
        <v>135.25</v>
      </c>
      <c r="H11" s="21">
        <f>R7+Uganda_child_charcoal</f>
        <v>211.32</v>
      </c>
      <c r="I11" s="21">
        <f>S7+Uganda_child_charcoal</f>
        <v>268.2</v>
      </c>
      <c r="J11" s="21">
        <f>T7+Uganda_child_charcoal</f>
        <v>316.26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457.21</v>
      </c>
      <c r="D12" s="21">
        <f>N8+Uganda_child_charcoal</f>
        <v>114.76</v>
      </c>
      <c r="E12" s="21">
        <f>O8+Uganda_child_charcoal</f>
        <v>160.28</v>
      </c>
      <c r="F12" s="21">
        <f>P8+Uganda_child_charcoal</f>
        <v>197.44</v>
      </c>
      <c r="G12" s="21">
        <f>Q8+Uganda_child_charcoal</f>
        <v>172.55</v>
      </c>
      <c r="H12" s="21">
        <f>R8+Uganda_child_charcoal</f>
        <v>368.35</v>
      </c>
      <c r="I12" s="21">
        <f>S8+Uganda_child_charcoal</f>
        <v>470.76</v>
      </c>
      <c r="J12" s="21">
        <f>T8+Uganda_child_charcoal</f>
        <v>537.88</v>
      </c>
      <c r="L12" s="3" t="s">
        <v>5</v>
      </c>
      <c r="M12">
        <f>'Uganda Child PM DALYs'!B3</f>
        <v>194</v>
      </c>
      <c r="N12">
        <f>'Uganda Child PM DALYs'!C3</f>
        <v>192</v>
      </c>
      <c r="O12">
        <f>'Uganda Child PM DALYs'!D3</f>
        <v>196</v>
      </c>
      <c r="P12" t="str">
        <f>'Uganda Child PM DALYs'!E3</f>
        <v>Traditional wood</v>
      </c>
      <c r="Q12">
        <f>'Uganda Child PM DALYs'!F3</f>
        <v>33.630000000000003</v>
      </c>
      <c r="R12">
        <f>'Uganda Child PM DALYs'!G3</f>
        <v>34.159999999999997</v>
      </c>
      <c r="S12">
        <f>'Uganda Child PM DALYs'!H3</f>
        <v>35.22</v>
      </c>
    </row>
    <row r="13" spans="1:20" ht="43.5" x14ac:dyDescent="0.35">
      <c r="A13" s="20" t="s">
        <v>27</v>
      </c>
      <c r="B13" s="20" t="s">
        <v>35</v>
      </c>
      <c r="C13" s="21">
        <f>M6+M15</f>
        <v>95.96</v>
      </c>
      <c r="D13" s="21">
        <f>N6+Uganda_child_gasifier</f>
        <v>49.260000000000005</v>
      </c>
      <c r="E13" s="21">
        <f>O6+Uganda_child_gasifier</f>
        <v>58.83</v>
      </c>
      <c r="F13" s="21">
        <f>P6+Uganda_child_gasifier</f>
        <v>63.48</v>
      </c>
      <c r="G13" s="21">
        <f>Q6+Uganda_child_gasifier</f>
        <v>60.41</v>
      </c>
      <c r="H13" s="21">
        <f>R6+Uganda_child_gasifier</f>
        <v>84.5</v>
      </c>
      <c r="I13" s="21">
        <f>S6+Uganda_child_gasifier</f>
        <v>103.14</v>
      </c>
      <c r="J13" s="21">
        <f>T6+Uganda_child_gasifier</f>
        <v>120.2</v>
      </c>
      <c r="L13" s="3" t="s">
        <v>6</v>
      </c>
      <c r="M13">
        <f>'Uganda Child PM DALYs'!B4</f>
        <v>186</v>
      </c>
      <c r="N13">
        <f>'Uganda Child PM DALYs'!C4</f>
        <v>178</v>
      </c>
      <c r="O13">
        <f>'Uganda Child PM DALYs'!D4</f>
        <v>191</v>
      </c>
      <c r="P13" t="str">
        <f>'Uganda Child PM DALYs'!E4</f>
        <v>Improved Wood</v>
      </c>
      <c r="Q13">
        <f>'Uganda Child PM DALYs'!F4</f>
        <v>36.32</v>
      </c>
      <c r="R13">
        <f>'Uganda Child PM DALYs'!G4</f>
        <v>37.299999999999997</v>
      </c>
      <c r="S13">
        <f>'Uganda Child PM DALYs'!H4</f>
        <v>35.32</v>
      </c>
    </row>
    <row r="14" spans="1:20" ht="43.5" x14ac:dyDescent="0.35">
      <c r="A14" s="20" t="s">
        <v>28</v>
      </c>
      <c r="B14" s="20" t="s">
        <v>35</v>
      </c>
      <c r="C14" s="21">
        <f>M7+M15</f>
        <v>204.41</v>
      </c>
      <c r="D14" s="21">
        <f>N7+Uganda_child_gasifier</f>
        <v>49.59</v>
      </c>
      <c r="E14" s="21">
        <f>O7+Uganda_child_gasifier</f>
        <v>69.099999999999994</v>
      </c>
      <c r="F14" s="21">
        <f>P7+Uganda_child_gasifier</f>
        <v>81.86</v>
      </c>
      <c r="G14" s="21">
        <f>Q7+Uganda_child_gasifier</f>
        <v>73.25</v>
      </c>
      <c r="H14" s="21">
        <f>R7+Uganda_child_gasifier</f>
        <v>149.32</v>
      </c>
      <c r="I14" s="21">
        <f>S7+Uganda_child_gasifier</f>
        <v>206.2</v>
      </c>
      <c r="J14" s="21">
        <f>T7+Uganda_child_gasifier</f>
        <v>254.26</v>
      </c>
      <c r="L14" s="3" t="s">
        <v>7</v>
      </c>
      <c r="M14">
        <f>'Uganda Child PM DALYs'!B5</f>
        <v>66</v>
      </c>
      <c r="N14">
        <f>'Uganda Child PM DALYs'!C5</f>
        <v>46</v>
      </c>
      <c r="O14">
        <f>'Uganda Child PM DALYs'!D5</f>
        <v>92</v>
      </c>
      <c r="P14" t="str">
        <f>'Uganda Child PM DALYs'!E5</f>
        <v>Charcoal</v>
      </c>
      <c r="Q14">
        <f>'Uganda Child PM DALYs'!F5</f>
        <v>44.66</v>
      </c>
      <c r="R14">
        <f>'Uganda Child PM DALYs'!G5</f>
        <v>33.35</v>
      </c>
      <c r="S14">
        <f>'Uganda Child PM DALYs'!H5</f>
        <v>47.41</v>
      </c>
    </row>
    <row r="15" spans="1:20" ht="43.5" x14ac:dyDescent="0.35">
      <c r="A15" s="20" t="s">
        <v>29</v>
      </c>
      <c r="B15" s="20" t="s">
        <v>35</v>
      </c>
      <c r="C15" s="21">
        <f>M8+M15</f>
        <v>411.21</v>
      </c>
      <c r="D15" s="21">
        <f>N8+Uganda_child_gasifier</f>
        <v>52.760000000000005</v>
      </c>
      <c r="E15" s="21">
        <f>O8+Uganda_child_gasifier</f>
        <v>98.28</v>
      </c>
      <c r="F15" s="21">
        <f>P8+Uganda_child_gasifier</f>
        <v>135.44</v>
      </c>
      <c r="G15" s="21">
        <f>Q8+Uganda_child_gasifier</f>
        <v>110.55</v>
      </c>
      <c r="H15" s="21">
        <f>R8+Uganda_child_gasifier</f>
        <v>306.35000000000002</v>
      </c>
      <c r="I15" s="21">
        <f>S8+Uganda_child_gasifier</f>
        <v>408.76</v>
      </c>
      <c r="J15" s="21">
        <f>T8+Uganda_child_gasifier</f>
        <v>475.88</v>
      </c>
      <c r="L15" s="3" t="s">
        <v>8</v>
      </c>
      <c r="M15">
        <f>'Uganda Child PM DALYs'!B6</f>
        <v>20</v>
      </c>
      <c r="N15">
        <f>'Uganda Child PM DALYs'!C6</f>
        <v>12</v>
      </c>
      <c r="O15">
        <f>'Uganda Child PM DALYs'!D6</f>
        <v>30</v>
      </c>
      <c r="P15" t="str">
        <f>'Uganda Child PM DALYs'!E6</f>
        <v>Gasifier (Minimoto)</v>
      </c>
      <c r="Q15">
        <f>'Uganda Child PM DALYs'!F6</f>
        <v>19.350000000000001</v>
      </c>
      <c r="R15">
        <f>'Uganda Child PM DALYs'!G6</f>
        <v>12.08</v>
      </c>
      <c r="S15">
        <f>'Uganda Child PM DALYs'!H6</f>
        <v>25.7</v>
      </c>
    </row>
    <row r="16" spans="1:20" ht="29" x14ac:dyDescent="0.35">
      <c r="A16" s="20" t="s">
        <v>27</v>
      </c>
      <c r="B16" s="20" t="s">
        <v>36</v>
      </c>
      <c r="C16" s="21">
        <f>M6+M16</f>
        <v>79.959999999999994</v>
      </c>
      <c r="D16" s="21">
        <f>N6+Uganda_child_LPG</f>
        <v>25.26</v>
      </c>
      <c r="E16" s="21">
        <f>O6+Uganda_child_LPG</f>
        <v>34.83</v>
      </c>
      <c r="F16" s="21">
        <f>P6+Uganda_child_LPG</f>
        <v>39.479999999999997</v>
      </c>
      <c r="G16" s="21">
        <f>Q6+Uganda_child_LPG</f>
        <v>36.409999999999997</v>
      </c>
      <c r="H16" s="21">
        <f>R6+Uganda_child_LPG</f>
        <v>60.5</v>
      </c>
      <c r="I16" s="21">
        <f>S6+Uganda_child_LPG</f>
        <v>79.14</v>
      </c>
      <c r="J16" s="21">
        <f>T6+Uganda_child_LPG</f>
        <v>96.2</v>
      </c>
      <c r="L16" s="3" t="s">
        <v>9</v>
      </c>
      <c r="M16">
        <f>'Uganda Child PM DALYs'!B7</f>
        <v>4</v>
      </c>
      <c r="N16">
        <f>'Uganda Child PM DALYs'!C7</f>
        <v>3</v>
      </c>
      <c r="O16">
        <f>'Uganda Child PM DALYs'!D7</f>
        <v>6</v>
      </c>
      <c r="P16" t="str">
        <f>'Uganda Child PM DALYs'!E7</f>
        <v>LPG</v>
      </c>
      <c r="Q16">
        <f>'Uganda Child PM DALYs'!F7</f>
        <v>6.52</v>
      </c>
      <c r="R16">
        <f>'Uganda Child PM DALYs'!G7</f>
        <v>4.0999999999999996</v>
      </c>
      <c r="S16">
        <f>'Uganda Child PM DALYs'!H7</f>
        <v>8.9499999999999993</v>
      </c>
    </row>
    <row r="17" spans="1:19" ht="29" x14ac:dyDescent="0.35">
      <c r="A17" s="20" t="s">
        <v>28</v>
      </c>
      <c r="B17" s="20" t="s">
        <v>36</v>
      </c>
      <c r="C17" s="21">
        <f>M7+M16</f>
        <v>188.41</v>
      </c>
      <c r="D17" s="21">
        <f>N7+Uganda_child_LPG</f>
        <v>25.59</v>
      </c>
      <c r="E17" s="21">
        <f>O7+Uganda_child_LPG</f>
        <v>45.1</v>
      </c>
      <c r="F17" s="21">
        <f>P7+Uganda_child_LPG</f>
        <v>57.86</v>
      </c>
      <c r="G17" s="21">
        <f>Q7+Uganda_child_LPG</f>
        <v>49.25</v>
      </c>
      <c r="H17" s="21">
        <f>R7+Uganda_child_LPG</f>
        <v>125.32</v>
      </c>
      <c r="I17" s="21">
        <f>S7+Uganda_child_LPG</f>
        <v>182.2</v>
      </c>
      <c r="J17" s="21">
        <f>T7+Uganda_child_LPG</f>
        <v>230.26</v>
      </c>
      <c r="L17" s="3" t="s">
        <v>10</v>
      </c>
      <c r="M17">
        <f>'Uganda Child PM DALYs'!B8</f>
        <v>1</v>
      </c>
      <c r="N17">
        <f>'Uganda Child PM DALYs'!C8</f>
        <v>1</v>
      </c>
      <c r="O17">
        <f>'Uganda Child PM DALYs'!D8</f>
        <v>1</v>
      </c>
      <c r="P17" t="str">
        <f>'Uganda Child PM DALYs'!E8</f>
        <v>Electric</v>
      </c>
      <c r="Q17">
        <f>'Uganda Child PM DALYs'!F8</f>
        <v>2.3199999999999998</v>
      </c>
      <c r="R17">
        <f>'Uganda Child PM DALYs'!G8</f>
        <v>2.4900000000000002</v>
      </c>
      <c r="S17">
        <f>'Uganda Child PM DALYs'!H8</f>
        <v>2.27</v>
      </c>
    </row>
    <row r="18" spans="1:19" ht="29" x14ac:dyDescent="0.35">
      <c r="A18" s="20" t="s">
        <v>29</v>
      </c>
      <c r="B18" s="20" t="s">
        <v>36</v>
      </c>
      <c r="C18" s="21">
        <f>M8+M16</f>
        <v>395.21</v>
      </c>
      <c r="D18" s="21">
        <f>N8+Uganda_child_LPG</f>
        <v>28.76</v>
      </c>
      <c r="E18" s="21">
        <f>O8+Uganda_child_LPG</f>
        <v>74.28</v>
      </c>
      <c r="F18" s="21">
        <f>P8+Uganda_child_LPG</f>
        <v>111.44</v>
      </c>
      <c r="G18" s="21">
        <f>Q8+Uganda_child_LPG</f>
        <v>86.55</v>
      </c>
      <c r="H18" s="21">
        <f>R8+Uganda_child_LPG</f>
        <v>282.35000000000002</v>
      </c>
      <c r="I18" s="21">
        <f>S8+Uganda_child_LPG</f>
        <v>384.76</v>
      </c>
      <c r="J18" s="21">
        <f>T8+Uganda_child_LPG</f>
        <v>451.88</v>
      </c>
    </row>
    <row r="19" spans="1:19" ht="29" x14ac:dyDescent="0.35">
      <c r="A19" s="20" t="s">
        <v>27</v>
      </c>
      <c r="B19" s="20" t="s">
        <v>60</v>
      </c>
      <c r="C19">
        <f>M6</f>
        <v>75.959999999999994</v>
      </c>
      <c r="D19">
        <f>N6</f>
        <v>19.260000000000002</v>
      </c>
      <c r="E19">
        <f t="shared" ref="E19:J21" si="0">O6</f>
        <v>28.83</v>
      </c>
      <c r="F19">
        <f t="shared" si="0"/>
        <v>33.479999999999997</v>
      </c>
      <c r="G19">
        <f t="shared" si="0"/>
        <v>30.41</v>
      </c>
      <c r="H19">
        <f t="shared" si="0"/>
        <v>54.5</v>
      </c>
      <c r="I19">
        <f t="shared" si="0"/>
        <v>73.14</v>
      </c>
      <c r="J19">
        <f t="shared" si="0"/>
        <v>90.2</v>
      </c>
    </row>
    <row r="20" spans="1:19" ht="29" x14ac:dyDescent="0.35">
      <c r="A20" s="20" t="s">
        <v>28</v>
      </c>
      <c r="B20" s="20" t="s">
        <v>60</v>
      </c>
      <c r="C20">
        <f>M7</f>
        <v>184.41</v>
      </c>
      <c r="D20">
        <f t="shared" ref="D20:D21" si="1">N7</f>
        <v>19.59</v>
      </c>
      <c r="E20">
        <f t="shared" si="0"/>
        <v>39.1</v>
      </c>
      <c r="F20">
        <f t="shared" si="0"/>
        <v>51.86</v>
      </c>
      <c r="G20">
        <f t="shared" si="0"/>
        <v>43.25</v>
      </c>
      <c r="H20">
        <f t="shared" si="0"/>
        <v>119.32</v>
      </c>
      <c r="I20">
        <f t="shared" si="0"/>
        <v>176.2</v>
      </c>
      <c r="J20">
        <f t="shared" si="0"/>
        <v>224.26</v>
      </c>
    </row>
    <row r="21" spans="1:19" ht="29" x14ac:dyDescent="0.35">
      <c r="A21" s="20" t="s">
        <v>29</v>
      </c>
      <c r="B21" s="20" t="s">
        <v>60</v>
      </c>
      <c r="C21">
        <f>M8</f>
        <v>391.21</v>
      </c>
      <c r="D21">
        <f t="shared" si="1"/>
        <v>22.76</v>
      </c>
      <c r="E21">
        <f t="shared" si="0"/>
        <v>68.28</v>
      </c>
      <c r="F21">
        <f t="shared" si="0"/>
        <v>105.44</v>
      </c>
      <c r="G21">
        <f t="shared" si="0"/>
        <v>80.55</v>
      </c>
      <c r="H21">
        <f t="shared" si="0"/>
        <v>276.35000000000002</v>
      </c>
      <c r="I21">
        <f t="shared" si="0"/>
        <v>378.76</v>
      </c>
      <c r="J21">
        <f t="shared" si="0"/>
        <v>445.88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0D972-B71F-404B-B5A4-2B3EF4B9E5B9}">
  <dimension ref="A2:T21"/>
  <sheetViews>
    <sheetView workbookViewId="0">
      <selection activeCell="M5" sqref="M5"/>
    </sheetView>
  </sheetViews>
  <sheetFormatPr defaultRowHeight="14.5" x14ac:dyDescent="0.35"/>
  <sheetData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503.65999999999997</v>
      </c>
      <c r="D4" s="21">
        <f>N6+Vietnam_adult_trad_wood</f>
        <v>331.8</v>
      </c>
      <c r="E4" s="21">
        <f>O6+Vietnam_adult_trad_wood</f>
        <v>367.34000000000003</v>
      </c>
      <c r="F4" s="21">
        <f>P6+Vietnam_adult_trad_wood</f>
        <v>379.76</v>
      </c>
      <c r="G4" s="21">
        <f>Q6+Vietnam_adult_trad_wood</f>
        <v>371.7</v>
      </c>
      <c r="H4" s="21">
        <f>R6+Vietnam_adult_trad_wood</f>
        <v>445.25</v>
      </c>
      <c r="I4" s="21">
        <f>S6+Vietnam_adult_trad_wood</f>
        <v>509.69</v>
      </c>
      <c r="J4" s="21">
        <f>T6+Vietnam_adult_trad_wood</f>
        <v>570.55999999999995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809.03</v>
      </c>
      <c r="D5" s="21">
        <f>N7+Vietnam_adult_trad_wood</f>
        <v>334.40999999999997</v>
      </c>
      <c r="E5" s="21">
        <f>O7+Vietnam_adult_trad_wood</f>
        <v>400.29</v>
      </c>
      <c r="F5" s="21">
        <f>P7+Vietnam_adult_trad_wood</f>
        <v>436.35</v>
      </c>
      <c r="G5" s="21">
        <f>Q7+Vietnam_adult_trad_wood</f>
        <v>412.02</v>
      </c>
      <c r="H5" s="21">
        <f>R7+Vietnam_adult_trad_wood</f>
        <v>650.72</v>
      </c>
      <c r="I5" s="21">
        <f>S7+Vietnam_adult_trad_wood</f>
        <v>834.39</v>
      </c>
      <c r="J5" s="21">
        <f>T7+Vietnam_adult_trad_wood</f>
        <v>981.25</v>
      </c>
      <c r="L5" s="14" t="s">
        <v>26</v>
      </c>
      <c r="M5" s="15">
        <f>'Vietnam adult water DALYs'!B3</f>
        <v>0</v>
      </c>
      <c r="N5" s="15">
        <f>'Vietnam adult water DALYs'!C3</f>
        <v>0</v>
      </c>
      <c r="O5" s="15">
        <f>'Vietnam adult water DALYs'!D3</f>
        <v>0</v>
      </c>
      <c r="P5" s="15">
        <f>'Vietnam adult water DALYs'!E3</f>
        <v>0</v>
      </c>
      <c r="Q5" s="15">
        <f>'Vietnam adult water DALYs'!F3</f>
        <v>0</v>
      </c>
      <c r="R5" s="15">
        <f>'Vietnam adult water DALYs'!G3</f>
        <v>0</v>
      </c>
      <c r="S5" s="15">
        <f>'Vietnam adult water DALYs'!H3</f>
        <v>0</v>
      </c>
      <c r="T5" s="15">
        <f>'Vietnam adult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1525.85</v>
      </c>
      <c r="D6" s="21">
        <f>N8+Vietnam_adult_trad_wood</f>
        <v>341.57</v>
      </c>
      <c r="E6" s="21">
        <f>O8+Vietnam_adult_trad_wood</f>
        <v>506.83000000000004</v>
      </c>
      <c r="F6" s="21">
        <f>P8+Vietnam_adult_trad_wood</f>
        <v>646.47</v>
      </c>
      <c r="G6" s="21">
        <f>Q8+Vietnam_adult_trad_wood</f>
        <v>553.27</v>
      </c>
      <c r="H6" s="21">
        <f>R8+Vietnam_adult_trad_wood</f>
        <v>1209.1500000000001</v>
      </c>
      <c r="I6" s="21">
        <f>S8+Vietnam_adult_trad_wood</f>
        <v>1507.37</v>
      </c>
      <c r="J6" s="21">
        <f>T8+Vietnam_adult_trad_wood</f>
        <v>1687.86</v>
      </c>
      <c r="L6" s="14" t="s">
        <v>27</v>
      </c>
      <c r="M6" s="15">
        <f>'Vietnam adult water DALYs'!B4</f>
        <v>242.66</v>
      </c>
      <c r="N6" s="15">
        <f>'Vietnam adult water DALYs'!C4</f>
        <v>54.8</v>
      </c>
      <c r="O6" s="15">
        <f>'Vietnam adult water DALYs'!D4</f>
        <v>90.34</v>
      </c>
      <c r="P6" s="15">
        <f>'Vietnam adult water DALYs'!E4</f>
        <v>102.76</v>
      </c>
      <c r="Q6" s="15">
        <f>'Vietnam adult water DALYs'!F4</f>
        <v>94.7</v>
      </c>
      <c r="R6" s="15">
        <f>'Vietnam adult water DALYs'!G4</f>
        <v>168.25</v>
      </c>
      <c r="S6" s="15">
        <f>'Vietnam adult water DALYs'!H4</f>
        <v>232.69</v>
      </c>
      <c r="T6" s="15">
        <f>'Vietnam adult water DALYs'!I4</f>
        <v>293.56</v>
      </c>
    </row>
    <row r="7" spans="1:20" ht="43.5" x14ac:dyDescent="0.35">
      <c r="A7" s="20" t="s">
        <v>27</v>
      </c>
      <c r="B7" s="20" t="s">
        <v>33</v>
      </c>
      <c r="C7" s="21">
        <f>M6+M13</f>
        <v>468.65999999999997</v>
      </c>
      <c r="D7" s="21">
        <f>N6+Vietnam_adult_improved_wood</f>
        <v>300.8</v>
      </c>
      <c r="E7" s="21">
        <f>O6+Vietnam_adult_improved_wood</f>
        <v>336.34000000000003</v>
      </c>
      <c r="F7" s="21">
        <f>P6+Vietnam_adult_improved_wood</f>
        <v>348.76</v>
      </c>
      <c r="G7" s="21">
        <f>Q6+Vietnam_adult_improved_wood</f>
        <v>340.7</v>
      </c>
      <c r="H7" s="21">
        <f>R6+Vietnam_adult_improved_wood</f>
        <v>414.25</v>
      </c>
      <c r="I7" s="21">
        <f>S6+Vietnam_adult_improved_wood</f>
        <v>478.69</v>
      </c>
      <c r="J7" s="21">
        <f>T6+Vietnam_adult_improved_wood</f>
        <v>539.55999999999995</v>
      </c>
      <c r="L7" s="14" t="s">
        <v>28</v>
      </c>
      <c r="M7" s="15">
        <f>'Vietnam adult water DALYs'!B5</f>
        <v>583.03</v>
      </c>
      <c r="N7" s="15">
        <f>'Vietnam adult water DALYs'!C5</f>
        <v>57.41</v>
      </c>
      <c r="O7" s="15">
        <f>'Vietnam adult water DALYs'!D5</f>
        <v>123.29</v>
      </c>
      <c r="P7" s="15">
        <f>'Vietnam adult water DALYs'!E5</f>
        <v>159.35</v>
      </c>
      <c r="Q7" s="15">
        <f>'Vietnam adult water DALYs'!F5</f>
        <v>135.02000000000001</v>
      </c>
      <c r="R7" s="15">
        <f>'Vietnam adult water DALYs'!G5</f>
        <v>373.72</v>
      </c>
      <c r="S7" s="15">
        <f>'Vietnam adult water DALYs'!H5</f>
        <v>557.39</v>
      </c>
      <c r="T7" s="15">
        <f>'Vietnam adult water DALYs'!I5</f>
        <v>704.25</v>
      </c>
    </row>
    <row r="8" spans="1:20" ht="43.5" x14ac:dyDescent="0.35">
      <c r="A8" s="20" t="s">
        <v>28</v>
      </c>
      <c r="B8" s="20" t="s">
        <v>33</v>
      </c>
      <c r="C8" s="21">
        <f>M7+M13</f>
        <v>809.03</v>
      </c>
      <c r="D8" s="21">
        <f>N7+Vietnam_adult_improved_wood</f>
        <v>303.40999999999997</v>
      </c>
      <c r="E8" s="21">
        <f>O7+Vietnam_adult_improved_wood</f>
        <v>369.29</v>
      </c>
      <c r="F8" s="21">
        <f>P7+Vietnam_adult_improved_wood</f>
        <v>405.35</v>
      </c>
      <c r="G8" s="21">
        <f>Q7+Vietnam_adult_improved_wood</f>
        <v>381.02</v>
      </c>
      <c r="H8" s="21">
        <f>R7+Vietnam_adult_improved_wood</f>
        <v>619.72</v>
      </c>
      <c r="I8" s="21">
        <f>S7+Vietnam_adult_improved_wood</f>
        <v>803.39</v>
      </c>
      <c r="J8" s="21">
        <f>T7+Vietnam_adult_improved_wood</f>
        <v>950.25</v>
      </c>
      <c r="L8" s="14" t="s">
        <v>29</v>
      </c>
      <c r="M8" s="15">
        <f>'Vietnam adult water DALYs'!B6</f>
        <v>1264.8499999999999</v>
      </c>
      <c r="N8" s="15">
        <f>'Vietnam adult water DALYs'!C6</f>
        <v>64.569999999999993</v>
      </c>
      <c r="O8" s="15">
        <f>'Vietnam adult water DALYs'!D6</f>
        <v>229.83</v>
      </c>
      <c r="P8" s="15">
        <f>'Vietnam adult water DALYs'!E6</f>
        <v>369.47</v>
      </c>
      <c r="Q8" s="15">
        <f>'Vietnam adult water DALYs'!F6</f>
        <v>276.27</v>
      </c>
      <c r="R8" s="15">
        <f>'Vietnam adult water DALYs'!G6</f>
        <v>932.15</v>
      </c>
      <c r="S8" s="15">
        <f>'Vietnam adult water DALYs'!H6</f>
        <v>1230.3699999999999</v>
      </c>
      <c r="T8" s="15">
        <f>'Vietnam adult water DALYs'!I6</f>
        <v>1410.86</v>
      </c>
    </row>
    <row r="9" spans="1:20" ht="43.5" x14ac:dyDescent="0.35">
      <c r="A9" s="20" t="s">
        <v>29</v>
      </c>
      <c r="B9" s="20" t="s">
        <v>33</v>
      </c>
      <c r="C9" s="21">
        <f>M8+M13</f>
        <v>1490.85</v>
      </c>
      <c r="D9" s="21">
        <f>N8+Vietnam_adult_improved_wood</f>
        <v>310.57</v>
      </c>
      <c r="E9" s="21">
        <f>O8+Vietnam_adult_improved_wood</f>
        <v>475.83000000000004</v>
      </c>
      <c r="F9" s="21">
        <f>P8+Vietnam_adult_improved_wood</f>
        <v>615.47</v>
      </c>
      <c r="G9" s="21">
        <f>Q8+Vietnam_adult_improved_wood</f>
        <v>522.27</v>
      </c>
      <c r="H9" s="21">
        <f>R8+Vietnam_adult_improved_wood</f>
        <v>1178.1500000000001</v>
      </c>
      <c r="I9" s="21">
        <f>S8+Vietnam_adult_improved_wood</f>
        <v>1476.37</v>
      </c>
      <c r="J9" s="21">
        <f>T8+Vietnam_adult_improved_wood</f>
        <v>1656.86</v>
      </c>
    </row>
    <row r="10" spans="1:20" ht="43.5" x14ac:dyDescent="0.35">
      <c r="A10" s="20" t="s">
        <v>27</v>
      </c>
      <c r="B10" s="20" t="s">
        <v>34</v>
      </c>
      <c r="C10" s="21">
        <f>M6+M14</f>
        <v>339.65999999999997</v>
      </c>
      <c r="D10" s="21">
        <f>N6+Vietnam_adult_charcoal</f>
        <v>175.8</v>
      </c>
      <c r="E10" s="21">
        <f>O6+Vietnam_adult_charcoal</f>
        <v>211.34</v>
      </c>
      <c r="F10" s="21">
        <f>P6+Vietnam_adult_charcoal</f>
        <v>223.76</v>
      </c>
      <c r="G10" s="21">
        <f>Q6+Vietnam_adult_charcoal</f>
        <v>215.7</v>
      </c>
      <c r="H10" s="21">
        <f>R6+Vietnam_adult_charcoal</f>
        <v>289.25</v>
      </c>
      <c r="I10" s="21">
        <f>S6+Vietnam_adult_charcoal</f>
        <v>353.69</v>
      </c>
      <c r="J10" s="21">
        <f>T6+Vietnam_adult_charcoal</f>
        <v>414.56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680.03</v>
      </c>
      <c r="D11" s="21">
        <f>N7+Vietnam_adult_charcoal</f>
        <v>178.41</v>
      </c>
      <c r="E11" s="21">
        <f>O7+Vietnam_adult_charcoal</f>
        <v>244.29000000000002</v>
      </c>
      <c r="F11" s="21">
        <f>P7+Vietnam_adult_charcoal</f>
        <v>280.35000000000002</v>
      </c>
      <c r="G11" s="21">
        <f>Q7+Vietnam_adult_charcoal</f>
        <v>256.02</v>
      </c>
      <c r="H11" s="21">
        <f>R7+Vietnam_adult_charcoal</f>
        <v>494.72</v>
      </c>
      <c r="I11" s="21">
        <f>S7+Vietnam_adult_charcoal</f>
        <v>678.39</v>
      </c>
      <c r="J11" s="21">
        <f>T7+Vietnam_adult_charcoal</f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1361.85</v>
      </c>
      <c r="D12" s="21">
        <f>N8+Vietnam_adult_charcoal</f>
        <v>185.57</v>
      </c>
      <c r="E12" s="21">
        <f>O8+Vietnam_adult_charcoal</f>
        <v>350.83000000000004</v>
      </c>
      <c r="F12" s="21">
        <f>P8+Vietnam_adult_charcoal</f>
        <v>490.47</v>
      </c>
      <c r="G12" s="21">
        <f>Q8+Vietnam_adult_charcoal</f>
        <v>397.27</v>
      </c>
      <c r="H12" s="21">
        <f>R8+Vietnam_adult_charcoal</f>
        <v>1053.1500000000001</v>
      </c>
      <c r="I12" s="21">
        <f>S8+Vietnam_adult_charcoal</f>
        <v>1351.37</v>
      </c>
      <c r="J12" s="21">
        <f>T8+Vietnam_adult_charcoal</f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5" x14ac:dyDescent="0.35">
      <c r="A13" s="20" t="s">
        <v>27</v>
      </c>
      <c r="B13" s="20" t="s">
        <v>35</v>
      </c>
      <c r="C13" s="21">
        <f>M6+M15</f>
        <v>275.65999999999997</v>
      </c>
      <c r="D13" s="21">
        <f>N6+Vietnam_adult_gas</f>
        <v>104.8</v>
      </c>
      <c r="E13" s="21">
        <f>O6+Vietnam_adult_gas</f>
        <v>140.34</v>
      </c>
      <c r="F13" s="21">
        <f>P6+Vietnam_adult_gas</f>
        <v>152.76</v>
      </c>
      <c r="G13" s="21">
        <f>Q6+Vietnam_adult_gas</f>
        <v>144.69999999999999</v>
      </c>
      <c r="H13" s="21">
        <f>R6+Vietnam_adult_gas</f>
        <v>218.25</v>
      </c>
      <c r="I13" s="21">
        <f>S6+Vietnam_adult_gas</f>
        <v>282.69</v>
      </c>
      <c r="J13" s="21">
        <f>T6+Vietnam_adult_gas</f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5" x14ac:dyDescent="0.35">
      <c r="A14" s="20" t="s">
        <v>28</v>
      </c>
      <c r="B14" s="20" t="s">
        <v>35</v>
      </c>
      <c r="C14" s="21">
        <f>M7+M15</f>
        <v>616.03</v>
      </c>
      <c r="D14" s="21">
        <f>N7+Vietnam_adult_gas</f>
        <v>107.41</v>
      </c>
      <c r="E14" s="21">
        <f>O7+Vietnam_adult_gas</f>
        <v>173.29000000000002</v>
      </c>
      <c r="F14" s="21">
        <f>P7+Vietnam_adult_gas</f>
        <v>209.35</v>
      </c>
      <c r="G14" s="21">
        <f>Q7+Vietnam_adult_gas</f>
        <v>185.02</v>
      </c>
      <c r="H14" s="21">
        <f>R7+Vietnam_adult_gas</f>
        <v>423.72</v>
      </c>
      <c r="I14" s="21">
        <f>S7+Vietnam_adult_gas</f>
        <v>607.39</v>
      </c>
      <c r="J14" s="21">
        <f>T7+Vietnam_adult_gas</f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5" x14ac:dyDescent="0.35">
      <c r="A15" s="20" t="s">
        <v>29</v>
      </c>
      <c r="B15" s="20" t="s">
        <v>35</v>
      </c>
      <c r="C15" s="21">
        <f>M8+M15</f>
        <v>1297.8499999999999</v>
      </c>
      <c r="D15" s="21">
        <f>N8+Vietnam_adult_gas</f>
        <v>114.57</v>
      </c>
      <c r="E15" s="21">
        <f>O8+Vietnam_adult_gas</f>
        <v>279.83000000000004</v>
      </c>
      <c r="F15" s="21">
        <f>P8+Vietnam_adult_gas</f>
        <v>419.47</v>
      </c>
      <c r="G15" s="21">
        <f>Q8+Vietnam_adult_gas</f>
        <v>326.27</v>
      </c>
      <c r="H15" s="21">
        <f>R8+Vietnam_adult_gas</f>
        <v>982.15</v>
      </c>
      <c r="I15" s="21">
        <f>S8+Vietnam_adult_gas</f>
        <v>1280.3699999999999</v>
      </c>
      <c r="J15" s="21">
        <f>T8+Vietnam_adult_gas</f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9" x14ac:dyDescent="0.35">
      <c r="A16" s="20" t="s">
        <v>27</v>
      </c>
      <c r="B16" s="20" t="s">
        <v>36</v>
      </c>
      <c r="C16" s="21">
        <f>M6+M16</f>
        <v>246.66</v>
      </c>
      <c r="D16" s="21">
        <f>N6+Vietnam_adult_LPG</f>
        <v>62.8</v>
      </c>
      <c r="E16" s="21">
        <f>O6+Vietnam_adult_LPG</f>
        <v>98.34</v>
      </c>
      <c r="F16" s="21">
        <f>P6+Vietnam_adult_LPG</f>
        <v>110.76</v>
      </c>
      <c r="G16" s="21">
        <f>Q6+Vietnam_adult_LPG</f>
        <v>102.7</v>
      </c>
      <c r="H16" s="21">
        <f>R6+Vietnam_adult_LPG</f>
        <v>176.25</v>
      </c>
      <c r="I16" s="21">
        <f>S6+Vietnam_adult_LPG</f>
        <v>240.69</v>
      </c>
      <c r="J16" s="21">
        <f>T6+Vietnam_adult_LPG</f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9" x14ac:dyDescent="0.35">
      <c r="A17" s="20" t="s">
        <v>28</v>
      </c>
      <c r="B17" s="20" t="s">
        <v>36</v>
      </c>
      <c r="C17" s="21">
        <f>M7+M16</f>
        <v>587.03</v>
      </c>
      <c r="D17" s="21">
        <f>N7+Vietnam_adult_LPG</f>
        <v>65.41</v>
      </c>
      <c r="E17" s="21">
        <f>O7+Vietnam_adult_LPG</f>
        <v>131.29000000000002</v>
      </c>
      <c r="F17" s="21">
        <f>P7+Vietnam_adult_LPG</f>
        <v>167.35</v>
      </c>
      <c r="G17" s="21">
        <f>Q7+Vietnam_adult_LPG</f>
        <v>143.02000000000001</v>
      </c>
      <c r="H17" s="21">
        <f>R7+Vietnam_adult_LPG</f>
        <v>381.72</v>
      </c>
      <c r="I17" s="21">
        <f>S7+Vietnam_adult_LPG</f>
        <v>565.39</v>
      </c>
      <c r="J17" s="21">
        <f>T7+Vietnam_adult_LPG</f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9" x14ac:dyDescent="0.35">
      <c r="A18" s="20" t="s">
        <v>29</v>
      </c>
      <c r="B18" s="20" t="s">
        <v>36</v>
      </c>
      <c r="C18" s="21">
        <f>M8+M16</f>
        <v>1268.8499999999999</v>
      </c>
      <c r="D18" s="21">
        <f>N8+Vietnam_adult_LPG</f>
        <v>72.569999999999993</v>
      </c>
      <c r="E18" s="21">
        <f>O8+Vietnam_adult_LPG</f>
        <v>237.83</v>
      </c>
      <c r="F18" s="21">
        <f>P8+Vietnam_adult_LPG</f>
        <v>377.47</v>
      </c>
      <c r="G18" s="21">
        <f>Q8+Vietnam_adult_LPG</f>
        <v>284.27</v>
      </c>
      <c r="H18" s="21">
        <f>R8+Vietnam_adult_LPG</f>
        <v>940.15</v>
      </c>
      <c r="I18" s="21">
        <f>S8+Vietnam_adult_LPG</f>
        <v>1238.3699999999999</v>
      </c>
      <c r="J18" s="21">
        <f>T8+Vietnam_adult_LPG</f>
        <v>1418.86</v>
      </c>
    </row>
    <row r="19" spans="1:19" ht="29" x14ac:dyDescent="0.35">
      <c r="A19" s="20" t="s">
        <v>27</v>
      </c>
      <c r="B19" s="20" t="s">
        <v>60</v>
      </c>
      <c r="C19">
        <f>M6</f>
        <v>242.66</v>
      </c>
      <c r="D19">
        <f>N6</f>
        <v>54.8</v>
      </c>
      <c r="E19">
        <f t="shared" ref="E19:J21" si="0">O6</f>
        <v>90.34</v>
      </c>
      <c r="F19">
        <f t="shared" si="0"/>
        <v>102.76</v>
      </c>
      <c r="G19">
        <f t="shared" si="0"/>
        <v>94.7</v>
      </c>
      <c r="H19">
        <f t="shared" si="0"/>
        <v>168.25</v>
      </c>
      <c r="I19">
        <f t="shared" si="0"/>
        <v>232.69</v>
      </c>
      <c r="J19">
        <f t="shared" si="0"/>
        <v>293.56</v>
      </c>
    </row>
    <row r="20" spans="1:19" ht="29" x14ac:dyDescent="0.35">
      <c r="A20" s="20" t="s">
        <v>28</v>
      </c>
      <c r="B20" s="20" t="s">
        <v>60</v>
      </c>
      <c r="C20">
        <f>M7</f>
        <v>583.03</v>
      </c>
      <c r="D20">
        <f t="shared" ref="D20:D21" si="1">N7</f>
        <v>57.41</v>
      </c>
      <c r="E20">
        <f t="shared" si="0"/>
        <v>123.29</v>
      </c>
      <c r="F20">
        <f t="shared" si="0"/>
        <v>159.35</v>
      </c>
      <c r="G20">
        <f t="shared" si="0"/>
        <v>135.02000000000001</v>
      </c>
      <c r="H20">
        <f t="shared" si="0"/>
        <v>373.72</v>
      </c>
      <c r="I20">
        <f t="shared" si="0"/>
        <v>557.39</v>
      </c>
      <c r="J20">
        <f t="shared" si="0"/>
        <v>704.25</v>
      </c>
    </row>
    <row r="21" spans="1:19" ht="29" x14ac:dyDescent="0.35">
      <c r="A21" s="20" t="s">
        <v>29</v>
      </c>
      <c r="B21" s="20" t="s">
        <v>60</v>
      </c>
      <c r="C21">
        <f>M8</f>
        <v>1264.8499999999999</v>
      </c>
      <c r="D21">
        <f t="shared" si="1"/>
        <v>64.569999999999993</v>
      </c>
      <c r="E21">
        <f t="shared" si="0"/>
        <v>229.83</v>
      </c>
      <c r="F21">
        <f t="shared" si="0"/>
        <v>369.47</v>
      </c>
      <c r="G21">
        <f t="shared" si="0"/>
        <v>276.27</v>
      </c>
      <c r="H21">
        <f t="shared" si="0"/>
        <v>932.15</v>
      </c>
      <c r="I21">
        <f t="shared" si="0"/>
        <v>1230.3699999999999</v>
      </c>
      <c r="J21">
        <f t="shared" si="0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746DD-85BB-4B55-9497-A810518D9BAC}">
  <dimension ref="A2:T21"/>
  <sheetViews>
    <sheetView workbookViewId="0">
      <selection activeCell="D20" sqref="D20"/>
    </sheetView>
  </sheetViews>
  <sheetFormatPr defaultRowHeight="14.5" x14ac:dyDescent="0.35"/>
  <sheetData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503.65999999999997</v>
      </c>
      <c r="D4" s="21">
        <f>N6+Vietnam_adult_trad_wood</f>
        <v>331.8</v>
      </c>
      <c r="E4" s="21">
        <f>O6+Vietnam_adult_trad_wood</f>
        <v>367.34000000000003</v>
      </c>
      <c r="F4" s="21">
        <f>P6+Vietnam_adult_trad_wood</f>
        <v>379.76</v>
      </c>
      <c r="G4" s="21">
        <f>Q6+Vietnam_adult_trad_wood</f>
        <v>371.7</v>
      </c>
      <c r="H4" s="21">
        <f>R6+Vietnam_adult_trad_wood</f>
        <v>445.25</v>
      </c>
      <c r="I4" s="21">
        <f>S6+Vietnam_adult_trad_wood</f>
        <v>509.69</v>
      </c>
      <c r="J4" s="21">
        <f>T6+Vietnam_adult_trad_wood</f>
        <v>570.55999999999995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809.03</v>
      </c>
      <c r="D5" s="21">
        <f>N7+Vietnam_adult_trad_wood</f>
        <v>334.40999999999997</v>
      </c>
      <c r="E5" s="21">
        <f>O7+Vietnam_adult_trad_wood</f>
        <v>400.29</v>
      </c>
      <c r="F5" s="21">
        <f>P7+Vietnam_adult_trad_wood</f>
        <v>436.35</v>
      </c>
      <c r="G5" s="21">
        <f>Q7+Vietnam_adult_trad_wood</f>
        <v>412.02</v>
      </c>
      <c r="H5" s="21">
        <f>R7+Vietnam_adult_trad_wood</f>
        <v>650.72</v>
      </c>
      <c r="I5" s="21">
        <f>S7+Vietnam_adult_trad_wood</f>
        <v>834.39</v>
      </c>
      <c r="J5" s="21">
        <f>T7+Vietnam_adult_trad_wood</f>
        <v>981.25</v>
      </c>
      <c r="L5" s="14" t="s">
        <v>26</v>
      </c>
      <c r="M5" s="15">
        <f>'Vietnam adult water DALYs'!B3</f>
        <v>0</v>
      </c>
      <c r="N5" s="15">
        <f>'Vietnam adult water DALYs'!C3</f>
        <v>0</v>
      </c>
      <c r="O5" s="15">
        <f>'Vietnam adult water DALYs'!D3</f>
        <v>0</v>
      </c>
      <c r="P5" s="15">
        <f>'Vietnam adult water DALYs'!E3</f>
        <v>0</v>
      </c>
      <c r="Q5" s="15">
        <f>'Vietnam adult water DALYs'!F3</f>
        <v>0</v>
      </c>
      <c r="R5" s="15">
        <f>'Vietnam adult water DALYs'!G3</f>
        <v>0</v>
      </c>
      <c r="S5" s="15">
        <f>'Vietnam adult water DALYs'!H3</f>
        <v>0</v>
      </c>
      <c r="T5" s="15">
        <f>'Vietnam adult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1525.85</v>
      </c>
      <c r="D6" s="21">
        <f>N8+Vietnam_adult_trad_wood</f>
        <v>341.57</v>
      </c>
      <c r="E6" s="21">
        <f>O8+Vietnam_adult_trad_wood</f>
        <v>506.83000000000004</v>
      </c>
      <c r="F6" s="21">
        <f>P8+Vietnam_adult_trad_wood</f>
        <v>646.47</v>
      </c>
      <c r="G6" s="21">
        <f>Q8+Vietnam_adult_trad_wood</f>
        <v>553.27</v>
      </c>
      <c r="H6" s="21">
        <f>R8+Vietnam_adult_trad_wood</f>
        <v>1209.1500000000001</v>
      </c>
      <c r="I6" s="21">
        <f>S8+Vietnam_adult_trad_wood</f>
        <v>1507.37</v>
      </c>
      <c r="J6" s="21">
        <f>T8+Vietnam_adult_trad_wood</f>
        <v>1687.86</v>
      </c>
      <c r="L6" s="14" t="s">
        <v>27</v>
      </c>
      <c r="M6" s="15">
        <f>'Vietnam adult water DALYs'!B4</f>
        <v>242.66</v>
      </c>
      <c r="N6" s="15">
        <f>'Vietnam adult water DALYs'!C4</f>
        <v>54.8</v>
      </c>
      <c r="O6" s="15">
        <f>'Vietnam adult water DALYs'!D4</f>
        <v>90.34</v>
      </c>
      <c r="P6" s="15">
        <f>'Vietnam adult water DALYs'!E4</f>
        <v>102.76</v>
      </c>
      <c r="Q6" s="15">
        <f>'Vietnam adult water DALYs'!F4</f>
        <v>94.7</v>
      </c>
      <c r="R6" s="15">
        <f>'Vietnam adult water DALYs'!G4</f>
        <v>168.25</v>
      </c>
      <c r="S6" s="15">
        <f>'Vietnam adult water DALYs'!H4</f>
        <v>232.69</v>
      </c>
      <c r="T6" s="15">
        <f>'Vietnam adult water DALYs'!I4</f>
        <v>293.56</v>
      </c>
    </row>
    <row r="7" spans="1:20" ht="43.5" x14ac:dyDescent="0.35">
      <c r="A7" s="20" t="s">
        <v>27</v>
      </c>
      <c r="B7" s="20" t="s">
        <v>33</v>
      </c>
      <c r="C7" s="21">
        <f>M6+M13</f>
        <v>468.65999999999997</v>
      </c>
      <c r="D7" s="21">
        <f>N6+Vietnam_adult_improved_wood</f>
        <v>300.8</v>
      </c>
      <c r="E7" s="21">
        <f>O6+Vietnam_adult_improved_wood</f>
        <v>336.34000000000003</v>
      </c>
      <c r="F7" s="21">
        <f>P6+Vietnam_adult_improved_wood</f>
        <v>348.76</v>
      </c>
      <c r="G7" s="21">
        <f>Q6+Vietnam_adult_improved_wood</f>
        <v>340.7</v>
      </c>
      <c r="H7" s="21">
        <f>R6+Vietnam_adult_improved_wood</f>
        <v>414.25</v>
      </c>
      <c r="I7" s="21">
        <f>S6+Vietnam_adult_improved_wood</f>
        <v>478.69</v>
      </c>
      <c r="J7" s="21">
        <f>T6+Vietnam_adult_improved_wood</f>
        <v>539.55999999999995</v>
      </c>
      <c r="L7" s="14" t="s">
        <v>28</v>
      </c>
      <c r="M7" s="15">
        <f>'Vietnam adult water DALYs'!B5</f>
        <v>583.03</v>
      </c>
      <c r="N7" s="15">
        <f>'Vietnam adult water DALYs'!C5</f>
        <v>57.41</v>
      </c>
      <c r="O7" s="15">
        <f>'Vietnam adult water DALYs'!D5</f>
        <v>123.29</v>
      </c>
      <c r="P7" s="15">
        <f>'Vietnam adult water DALYs'!E5</f>
        <v>159.35</v>
      </c>
      <c r="Q7" s="15">
        <f>'Vietnam adult water DALYs'!F5</f>
        <v>135.02000000000001</v>
      </c>
      <c r="R7" s="15">
        <f>'Vietnam adult water DALYs'!G5</f>
        <v>373.72</v>
      </c>
      <c r="S7" s="15">
        <f>'Vietnam adult water DALYs'!H5</f>
        <v>557.39</v>
      </c>
      <c r="T7" s="15">
        <f>'Vietnam adult water DALYs'!I5</f>
        <v>704.25</v>
      </c>
    </row>
    <row r="8" spans="1:20" ht="43.5" x14ac:dyDescent="0.35">
      <c r="A8" s="20" t="s">
        <v>28</v>
      </c>
      <c r="B8" s="20" t="s">
        <v>33</v>
      </c>
      <c r="C8" s="21">
        <f>M7+M13</f>
        <v>809.03</v>
      </c>
      <c r="D8" s="21">
        <f>N7+Vietnam_adult_improved_wood</f>
        <v>303.40999999999997</v>
      </c>
      <c r="E8" s="21">
        <f>O7+Vietnam_adult_improved_wood</f>
        <v>369.29</v>
      </c>
      <c r="F8" s="21">
        <f>P7+Vietnam_adult_improved_wood</f>
        <v>405.35</v>
      </c>
      <c r="G8" s="21">
        <f>Q7+Vietnam_adult_improved_wood</f>
        <v>381.02</v>
      </c>
      <c r="H8" s="21">
        <f>R7+Vietnam_adult_improved_wood</f>
        <v>619.72</v>
      </c>
      <c r="I8" s="21">
        <f>S7+Vietnam_adult_improved_wood</f>
        <v>803.39</v>
      </c>
      <c r="J8" s="21">
        <f>T7+Vietnam_adult_improved_wood</f>
        <v>950.25</v>
      </c>
      <c r="L8" s="14" t="s">
        <v>29</v>
      </c>
      <c r="M8" s="15">
        <f>'Vietnam adult water DALYs'!B6</f>
        <v>1264.8499999999999</v>
      </c>
      <c r="N8" s="15">
        <f>'Vietnam adult water DALYs'!C6</f>
        <v>64.569999999999993</v>
      </c>
      <c r="O8" s="15">
        <f>'Vietnam adult water DALYs'!D6</f>
        <v>229.83</v>
      </c>
      <c r="P8" s="15">
        <f>'Vietnam adult water DALYs'!E6</f>
        <v>369.47</v>
      </c>
      <c r="Q8" s="15">
        <f>'Vietnam adult water DALYs'!F6</f>
        <v>276.27</v>
      </c>
      <c r="R8" s="15">
        <f>'Vietnam adult water DALYs'!G6</f>
        <v>932.15</v>
      </c>
      <c r="S8" s="15">
        <f>'Vietnam adult water DALYs'!H6</f>
        <v>1230.3699999999999</v>
      </c>
      <c r="T8" s="15">
        <f>'Vietnam adult water DALYs'!I6</f>
        <v>1410.86</v>
      </c>
    </row>
    <row r="9" spans="1:20" ht="43.5" x14ac:dyDescent="0.35">
      <c r="A9" s="20" t="s">
        <v>29</v>
      </c>
      <c r="B9" s="20" t="s">
        <v>33</v>
      </c>
      <c r="C9" s="21">
        <f>M8+M13</f>
        <v>1490.85</v>
      </c>
      <c r="D9" s="21">
        <f>N8+Vietnam_adult_improved_wood</f>
        <v>310.57</v>
      </c>
      <c r="E9" s="21">
        <f>O8+Vietnam_adult_improved_wood</f>
        <v>475.83000000000004</v>
      </c>
      <c r="F9" s="21">
        <f>P8+Vietnam_adult_improved_wood</f>
        <v>615.47</v>
      </c>
      <c r="G9" s="21">
        <f>Q8+Vietnam_adult_improved_wood</f>
        <v>522.27</v>
      </c>
      <c r="H9" s="21">
        <f>R8+Vietnam_adult_improved_wood</f>
        <v>1178.1500000000001</v>
      </c>
      <c r="I9" s="21">
        <f>S8+Vietnam_adult_improved_wood</f>
        <v>1476.37</v>
      </c>
      <c r="J9" s="21">
        <f>T8+Vietnam_adult_improved_wood</f>
        <v>1656.86</v>
      </c>
    </row>
    <row r="10" spans="1:20" ht="43.5" x14ac:dyDescent="0.35">
      <c r="A10" s="20" t="s">
        <v>27</v>
      </c>
      <c r="B10" s="20" t="s">
        <v>34</v>
      </c>
      <c r="C10" s="21">
        <f>M6+M14</f>
        <v>339.65999999999997</v>
      </c>
      <c r="D10" s="21">
        <f>N6+Vietnam_adult_charcoal</f>
        <v>175.8</v>
      </c>
      <c r="E10" s="21">
        <f>O6+Vietnam_adult_charcoal</f>
        <v>211.34</v>
      </c>
      <c r="F10" s="21">
        <f>P6+Vietnam_adult_charcoal</f>
        <v>223.76</v>
      </c>
      <c r="G10" s="21">
        <f>Q6+Vietnam_adult_charcoal</f>
        <v>215.7</v>
      </c>
      <c r="H10" s="21">
        <f>R6+Vietnam_adult_charcoal</f>
        <v>289.25</v>
      </c>
      <c r="I10" s="21">
        <f>S6+Vietnam_adult_charcoal</f>
        <v>353.69</v>
      </c>
      <c r="J10" s="21">
        <f>T6+Vietnam_adult_charcoal</f>
        <v>414.56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680.03</v>
      </c>
      <c r="D11" s="21">
        <f>N7+Vietnam_adult_charcoal</f>
        <v>178.41</v>
      </c>
      <c r="E11" s="21">
        <f>O7+Vietnam_adult_charcoal</f>
        <v>244.29000000000002</v>
      </c>
      <c r="F11" s="21">
        <f>P7+Vietnam_adult_charcoal</f>
        <v>280.35000000000002</v>
      </c>
      <c r="G11" s="21">
        <f>Q7+Vietnam_adult_charcoal</f>
        <v>256.02</v>
      </c>
      <c r="H11" s="21">
        <f>R7+Vietnam_adult_charcoal</f>
        <v>494.72</v>
      </c>
      <c r="I11" s="21">
        <f>S7+Vietnam_adult_charcoal</f>
        <v>678.39</v>
      </c>
      <c r="J11" s="21">
        <f>T7+Vietnam_adult_charcoal</f>
        <v>825.25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1361.85</v>
      </c>
      <c r="D12" s="21">
        <f>N8+Vietnam_adult_charcoal</f>
        <v>185.57</v>
      </c>
      <c r="E12" s="21">
        <f>O8+Vietnam_adult_charcoal</f>
        <v>350.83000000000004</v>
      </c>
      <c r="F12" s="21">
        <f>P8+Vietnam_adult_charcoal</f>
        <v>490.47</v>
      </c>
      <c r="G12" s="21">
        <f>Q8+Vietnam_adult_charcoal</f>
        <v>397.27</v>
      </c>
      <c r="H12" s="21">
        <f>R8+Vietnam_adult_charcoal</f>
        <v>1053.1500000000001</v>
      </c>
      <c r="I12" s="21">
        <f>S8+Vietnam_adult_charcoal</f>
        <v>1351.37</v>
      </c>
      <c r="J12" s="21">
        <f>T8+Vietnam_adult_charcoal</f>
        <v>1531.86</v>
      </c>
      <c r="L12" s="3" t="s">
        <v>5</v>
      </c>
      <c r="M12">
        <f>'Vietnam Adults PM DALYs'!B3</f>
        <v>261</v>
      </c>
      <c r="N12">
        <f>'Vietnam Adults PM DALYs'!C3</f>
        <v>244</v>
      </c>
      <c r="O12">
        <f>'Vietnam Adults PM DALYs'!D3</f>
        <v>277</v>
      </c>
      <c r="P12" t="str">
        <f>'Vietnam Adults PM DALYs'!E3</f>
        <v>Traditional wood</v>
      </c>
      <c r="Q12">
        <f>'Vietnam Adults PM DALYs'!F3</f>
        <v>38.19</v>
      </c>
      <c r="R12">
        <f>'Vietnam Adults PM DALYs'!G3</f>
        <v>38.61</v>
      </c>
      <c r="S12">
        <f>'Vietnam Adults PM DALYs'!H3</f>
        <v>34.08</v>
      </c>
    </row>
    <row r="13" spans="1:20" ht="43.5" x14ac:dyDescent="0.35">
      <c r="A13" s="20" t="s">
        <v>27</v>
      </c>
      <c r="B13" s="20" t="s">
        <v>35</v>
      </c>
      <c r="C13" s="21">
        <f>M6+M15</f>
        <v>275.65999999999997</v>
      </c>
      <c r="D13" s="21">
        <f>N6+Vietnam_adult_gas</f>
        <v>104.8</v>
      </c>
      <c r="E13" s="21">
        <f>O6+Vietnam_adult_gas</f>
        <v>140.34</v>
      </c>
      <c r="F13" s="21">
        <f>P6+Vietnam_adult_gas</f>
        <v>152.76</v>
      </c>
      <c r="G13" s="21">
        <f>Q6+Vietnam_adult_gas</f>
        <v>144.69999999999999</v>
      </c>
      <c r="H13" s="21">
        <f>R6+Vietnam_adult_gas</f>
        <v>218.25</v>
      </c>
      <c r="I13" s="21">
        <f>S6+Vietnam_adult_gas</f>
        <v>282.69</v>
      </c>
      <c r="J13" s="21">
        <f>T6+Vietnam_adult_gas</f>
        <v>343.56</v>
      </c>
      <c r="L13" s="3" t="s">
        <v>6</v>
      </c>
      <c r="M13">
        <f>'Vietnam Adults PM DALYs'!B4</f>
        <v>226</v>
      </c>
      <c r="N13">
        <f>'Vietnam Adults PM DALYs'!C4</f>
        <v>213</v>
      </c>
      <c r="O13">
        <f>'Vietnam Adults PM DALYs'!D4</f>
        <v>246</v>
      </c>
      <c r="P13" t="str">
        <f>'Vietnam Adults PM DALYs'!E4</f>
        <v>Improved Wood</v>
      </c>
      <c r="Q13">
        <f>'Vietnam Adults PM DALYs'!F4</f>
        <v>43.36</v>
      </c>
      <c r="R13">
        <f>'Vietnam Adults PM DALYs'!G4</f>
        <v>42.41</v>
      </c>
      <c r="S13">
        <f>'Vietnam Adults PM DALYs'!H4</f>
        <v>38.909999999999997</v>
      </c>
    </row>
    <row r="14" spans="1:20" ht="43.5" x14ac:dyDescent="0.35">
      <c r="A14" s="20" t="s">
        <v>28</v>
      </c>
      <c r="B14" s="20" t="s">
        <v>35</v>
      </c>
      <c r="C14" s="21">
        <f>M7+M15</f>
        <v>616.03</v>
      </c>
      <c r="D14" s="21">
        <f>N7+Vietnam_adult_gas</f>
        <v>107.41</v>
      </c>
      <c r="E14" s="21">
        <f>O7+Vietnam_adult_gas</f>
        <v>173.29000000000002</v>
      </c>
      <c r="F14" s="21">
        <f>P7+Vietnam_adult_gas</f>
        <v>209.35</v>
      </c>
      <c r="G14" s="21">
        <f>Q7+Vietnam_adult_gas</f>
        <v>185.02</v>
      </c>
      <c r="H14" s="21">
        <f>R7+Vietnam_adult_gas</f>
        <v>423.72</v>
      </c>
      <c r="I14" s="21">
        <f>S7+Vietnam_adult_gas</f>
        <v>607.39</v>
      </c>
      <c r="J14" s="21">
        <f>T7+Vietnam_adult_gas</f>
        <v>754.25</v>
      </c>
      <c r="L14" s="3" t="s">
        <v>7</v>
      </c>
      <c r="M14">
        <f>'Vietnam Adults PM DALYs'!B5</f>
        <v>97</v>
      </c>
      <c r="N14">
        <f>'Vietnam Adults PM DALYs'!C5</f>
        <v>71</v>
      </c>
      <c r="O14">
        <f>'Vietnam Adults PM DALYs'!D5</f>
        <v>121</v>
      </c>
      <c r="P14" t="str">
        <f>'Vietnam Adults PM DALYs'!E5</f>
        <v>Charcoal</v>
      </c>
      <c r="Q14">
        <f>'Vietnam Adults PM DALYs'!F5</f>
        <v>53.73</v>
      </c>
      <c r="R14">
        <f>'Vietnam Adults PM DALYs'!G5</f>
        <v>42.74</v>
      </c>
      <c r="S14">
        <f>'Vietnam Adults PM DALYs'!H5</f>
        <v>51.96</v>
      </c>
    </row>
    <row r="15" spans="1:20" ht="43.5" x14ac:dyDescent="0.35">
      <c r="A15" s="20" t="s">
        <v>29</v>
      </c>
      <c r="B15" s="20" t="s">
        <v>35</v>
      </c>
      <c r="C15" s="21">
        <f>M8+M15</f>
        <v>1297.8499999999999</v>
      </c>
      <c r="D15" s="21">
        <f>N8+Vietnam_adult_gas</f>
        <v>114.57</v>
      </c>
      <c r="E15" s="21">
        <f>O8+Vietnam_adult_gas</f>
        <v>279.83000000000004</v>
      </c>
      <c r="F15" s="21">
        <f>P8+Vietnam_adult_gas</f>
        <v>419.47</v>
      </c>
      <c r="G15" s="21">
        <f>Q8+Vietnam_adult_gas</f>
        <v>326.27</v>
      </c>
      <c r="H15" s="21">
        <f>R8+Vietnam_adult_gas</f>
        <v>982.15</v>
      </c>
      <c r="I15" s="21">
        <f>S8+Vietnam_adult_gas</f>
        <v>1280.3699999999999</v>
      </c>
      <c r="J15" s="21">
        <f>T8+Vietnam_adult_gas</f>
        <v>1460.86</v>
      </c>
      <c r="L15" s="3" t="s">
        <v>8</v>
      </c>
      <c r="M15">
        <f>'Vietnam Adults PM DALYs'!B6</f>
        <v>33</v>
      </c>
      <c r="N15">
        <f>'Vietnam Adults PM DALYs'!C6</f>
        <v>19</v>
      </c>
      <c r="O15">
        <f>'Vietnam Adults PM DALYs'!D6</f>
        <v>50</v>
      </c>
      <c r="P15" t="str">
        <f>'Vietnam Adults PM DALYs'!E6</f>
        <v>Gasifier (Minimoto)</v>
      </c>
      <c r="Q15">
        <f>'Vietnam Adults PM DALYs'!F6</f>
        <v>29.66</v>
      </c>
      <c r="R15">
        <f>'Vietnam Adults PM DALYs'!G6</f>
        <v>19.45</v>
      </c>
      <c r="S15">
        <f>'Vietnam Adults PM DALYs'!H6</f>
        <v>35.89</v>
      </c>
    </row>
    <row r="16" spans="1:20" ht="29" x14ac:dyDescent="0.35">
      <c r="A16" s="20" t="s">
        <v>27</v>
      </c>
      <c r="B16" s="20" t="s">
        <v>36</v>
      </c>
      <c r="C16" s="21">
        <f>M6+M16</f>
        <v>246.66</v>
      </c>
      <c r="D16" s="21">
        <f>N6+Vietnam_adult_LPG</f>
        <v>62.8</v>
      </c>
      <c r="E16" s="21">
        <f>O6+Vietnam_adult_LPG</f>
        <v>98.34</v>
      </c>
      <c r="F16" s="21">
        <f>P6+Vietnam_adult_LPG</f>
        <v>110.76</v>
      </c>
      <c r="G16" s="21">
        <f>Q6+Vietnam_adult_LPG</f>
        <v>102.7</v>
      </c>
      <c r="H16" s="21">
        <f>R6+Vietnam_adult_LPG</f>
        <v>176.25</v>
      </c>
      <c r="I16" s="21">
        <f>S6+Vietnam_adult_LPG</f>
        <v>240.69</v>
      </c>
      <c r="J16" s="21">
        <f>T6+Vietnam_adult_LPG</f>
        <v>301.56</v>
      </c>
      <c r="L16" s="3" t="s">
        <v>9</v>
      </c>
      <c r="M16">
        <f>'Vietnam Adults PM DALYs'!B7</f>
        <v>4</v>
      </c>
      <c r="N16">
        <f>'Vietnam Adults PM DALYs'!C7</f>
        <v>2</v>
      </c>
      <c r="O16">
        <f>'Vietnam Adults PM DALYs'!D7</f>
        <v>8</v>
      </c>
      <c r="P16" t="str">
        <f>'Vietnam Adults PM DALYs'!E7</f>
        <v>LPG</v>
      </c>
      <c r="Q16">
        <f>'Vietnam Adults PM DALYs'!F7</f>
        <v>8.75</v>
      </c>
      <c r="R16">
        <f>'Vietnam Adults PM DALYs'!G7</f>
        <v>4.9800000000000004</v>
      </c>
      <c r="S16">
        <f>'Vietnam Adults PM DALYs'!H7</f>
        <v>12.9</v>
      </c>
    </row>
    <row r="17" spans="1:19" ht="29" x14ac:dyDescent="0.35">
      <c r="A17" s="20" t="s">
        <v>28</v>
      </c>
      <c r="B17" s="20" t="s">
        <v>36</v>
      </c>
      <c r="C17" s="21">
        <f>M7+M16</f>
        <v>587.03</v>
      </c>
      <c r="D17" s="21">
        <f>N7+Vietnam_adult_LPG</f>
        <v>65.41</v>
      </c>
      <c r="E17" s="21">
        <f>O7+Vietnam_adult_LPG</f>
        <v>131.29000000000002</v>
      </c>
      <c r="F17" s="21">
        <f>P7+Vietnam_adult_LPG</f>
        <v>167.35</v>
      </c>
      <c r="G17" s="21">
        <f>Q7+Vietnam_adult_LPG</f>
        <v>143.02000000000001</v>
      </c>
      <c r="H17" s="21">
        <f>R7+Vietnam_adult_LPG</f>
        <v>381.72</v>
      </c>
      <c r="I17" s="21">
        <f>S7+Vietnam_adult_LPG</f>
        <v>565.39</v>
      </c>
      <c r="J17" s="21">
        <f>T7+Vietnam_adult_LPG</f>
        <v>712.25</v>
      </c>
      <c r="L17" s="3" t="s">
        <v>10</v>
      </c>
      <c r="M17" t="str">
        <f>'Vietnam Adults PM DALYs'!B8</f>
        <v>0 </v>
      </c>
      <c r="N17" t="str">
        <f>'Vietnam Adults PM DALYs'!C8</f>
        <v>0 </v>
      </c>
      <c r="O17" t="str">
        <f>'Vietnam Adults PM DALYs'!D8</f>
        <v>0 </v>
      </c>
      <c r="P17" t="str">
        <f>'Vietnam Adults PM DALYs'!E8</f>
        <v>Electric</v>
      </c>
      <c r="Q17" t="str">
        <f>'Vietnam Adults PM DALYs'!F8</f>
        <v>0 </v>
      </c>
      <c r="R17" t="str">
        <f>'Vietnam Adults PM DALYs'!G8</f>
        <v>0 </v>
      </c>
      <c r="S17" t="str">
        <f>'Vietnam Adults PM DALYs'!H8</f>
        <v>0 </v>
      </c>
    </row>
    <row r="18" spans="1:19" ht="29" x14ac:dyDescent="0.35">
      <c r="A18" s="20" t="s">
        <v>29</v>
      </c>
      <c r="B18" s="20" t="s">
        <v>36</v>
      </c>
      <c r="C18" s="21">
        <f>M8+M16</f>
        <v>1268.8499999999999</v>
      </c>
      <c r="D18" s="21">
        <f>N8+Vietnam_adult_LPG</f>
        <v>72.569999999999993</v>
      </c>
      <c r="E18" s="21">
        <f>O8+Vietnam_adult_LPG</f>
        <v>237.83</v>
      </c>
      <c r="F18" s="21">
        <f>P8+Vietnam_adult_LPG</f>
        <v>377.47</v>
      </c>
      <c r="G18" s="21">
        <f>Q8+Vietnam_adult_LPG</f>
        <v>284.27</v>
      </c>
      <c r="H18" s="21">
        <f>R8+Vietnam_adult_LPG</f>
        <v>940.15</v>
      </c>
      <c r="I18" s="21">
        <f>S8+Vietnam_adult_LPG</f>
        <v>1238.3699999999999</v>
      </c>
      <c r="J18" s="21">
        <f>T8+Vietnam_adult_LPG</f>
        <v>1418.86</v>
      </c>
    </row>
    <row r="19" spans="1:19" ht="29" x14ac:dyDescent="0.35">
      <c r="A19" s="20" t="s">
        <v>27</v>
      </c>
      <c r="B19" s="20" t="s">
        <v>60</v>
      </c>
      <c r="C19">
        <f>M6</f>
        <v>242.66</v>
      </c>
      <c r="D19">
        <f>N6</f>
        <v>54.8</v>
      </c>
      <c r="E19">
        <f t="shared" ref="E19:J21" si="0">O6</f>
        <v>90.34</v>
      </c>
      <c r="F19">
        <f t="shared" si="0"/>
        <v>102.76</v>
      </c>
      <c r="G19">
        <f t="shared" si="0"/>
        <v>94.7</v>
      </c>
      <c r="H19">
        <f t="shared" si="0"/>
        <v>168.25</v>
      </c>
      <c r="I19">
        <f t="shared" si="0"/>
        <v>232.69</v>
      </c>
      <c r="J19">
        <f t="shared" si="0"/>
        <v>293.56</v>
      </c>
    </row>
    <row r="20" spans="1:19" ht="29" x14ac:dyDescent="0.35">
      <c r="A20" s="20" t="s">
        <v>28</v>
      </c>
      <c r="B20" s="20" t="s">
        <v>60</v>
      </c>
      <c r="C20">
        <f>M7</f>
        <v>583.03</v>
      </c>
      <c r="D20">
        <f t="shared" ref="D20:D21" si="1">N7</f>
        <v>57.41</v>
      </c>
      <c r="E20">
        <f t="shared" si="0"/>
        <v>123.29</v>
      </c>
      <c r="F20">
        <f t="shared" si="0"/>
        <v>159.35</v>
      </c>
      <c r="G20">
        <f t="shared" si="0"/>
        <v>135.02000000000001</v>
      </c>
      <c r="H20">
        <f t="shared" si="0"/>
        <v>373.72</v>
      </c>
      <c r="I20">
        <f t="shared" si="0"/>
        <v>557.39</v>
      </c>
      <c r="J20">
        <f t="shared" si="0"/>
        <v>704.25</v>
      </c>
    </row>
    <row r="21" spans="1:19" ht="29" x14ac:dyDescent="0.35">
      <c r="A21" s="20" t="s">
        <v>29</v>
      </c>
      <c r="B21" s="20" t="s">
        <v>60</v>
      </c>
      <c r="C21">
        <f>M8</f>
        <v>1264.8499999999999</v>
      </c>
      <c r="D21">
        <f t="shared" si="1"/>
        <v>64.569999999999993</v>
      </c>
      <c r="E21">
        <f t="shared" si="0"/>
        <v>229.83</v>
      </c>
      <c r="F21">
        <f t="shared" si="0"/>
        <v>369.47</v>
      </c>
      <c r="G21">
        <f t="shared" si="0"/>
        <v>276.27</v>
      </c>
      <c r="H21">
        <f t="shared" si="0"/>
        <v>932.15</v>
      </c>
      <c r="I21">
        <f t="shared" si="0"/>
        <v>1230.3699999999999</v>
      </c>
      <c r="J21">
        <f t="shared" si="0"/>
        <v>1410.86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C479A-8E97-46A1-886D-99C3F5CCD0BA}">
  <dimension ref="A1:T21"/>
  <sheetViews>
    <sheetView topLeftCell="A18" workbookViewId="0">
      <selection activeCell="A24" sqref="A24:J43"/>
    </sheetView>
  </sheetViews>
  <sheetFormatPr defaultRowHeight="14.5" x14ac:dyDescent="0.35"/>
  <sheetData>
    <row r="1" spans="1:20" x14ac:dyDescent="0.35">
      <c r="A1" t="s">
        <v>61</v>
      </c>
    </row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53.58</v>
      </c>
      <c r="D4" s="21">
        <f>N6+Vietnam_child_trad_wood</f>
        <v>29.66</v>
      </c>
      <c r="E4" s="21">
        <f>O6+Vietnam_child_trad_wood</f>
        <v>34.090000000000003</v>
      </c>
      <c r="F4" s="21">
        <f>P6+Vietnam_child_trad_wood</f>
        <v>35.630000000000003</v>
      </c>
      <c r="G4" s="21">
        <f>Q6+Vietnam_child_trad_wood</f>
        <v>34.630000000000003</v>
      </c>
      <c r="H4" s="21">
        <f>R6+Vietnam_child_trad_wood</f>
        <v>44.04</v>
      </c>
      <c r="I4" s="21">
        <f>S6+Vietnam_child_trad_wood</f>
        <v>52.32</v>
      </c>
      <c r="J4" s="21">
        <f>T6+Vietnam_child_trad_wood</f>
        <v>59.93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97.95</v>
      </c>
      <c r="D5" s="21">
        <f>N7+Vietnam_child_trad_wood</f>
        <v>30.39</v>
      </c>
      <c r="E5" s="21">
        <f>O7+Vietnam_child_trad_wood</f>
        <v>37.760000000000005</v>
      </c>
      <c r="F5" s="21">
        <f>P7+Vietnam_child_trad_wood</f>
        <v>42.96</v>
      </c>
      <c r="G5" s="21">
        <f>Q7+Vietnam_child_trad_wood</f>
        <v>39.44</v>
      </c>
      <c r="H5" s="21">
        <f>R7+Vietnam_child_trad_wood</f>
        <v>71.72</v>
      </c>
      <c r="I5" s="21">
        <f>S7+Vietnam_child_trad_wood</f>
        <v>96.39</v>
      </c>
      <c r="J5" s="21">
        <f>T7+Vietnam_child_trad_wood</f>
        <v>117.24</v>
      </c>
      <c r="L5" s="14" t="s">
        <v>26</v>
      </c>
      <c r="M5" s="15">
        <f>'Vietnam children water DALYs'!B3</f>
        <v>0</v>
      </c>
      <c r="N5" s="15">
        <f>'Vietnam children water DALYs'!C3</f>
        <v>0</v>
      </c>
      <c r="O5" s="15">
        <f>'Vietnam children water DALYs'!D3</f>
        <v>0</v>
      </c>
      <c r="P5" s="15">
        <f>'Vietnam children water DALYs'!E3</f>
        <v>0</v>
      </c>
      <c r="Q5" s="15">
        <f>'Vietnam children water DALYs'!F3</f>
        <v>0</v>
      </c>
      <c r="R5" s="15">
        <f>'Vietnam children water DALYs'!G3</f>
        <v>0</v>
      </c>
      <c r="S5" s="15">
        <f>'Vietnam children water DALYs'!H3</f>
        <v>0</v>
      </c>
      <c r="T5" s="15">
        <f>'Vietnam children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197.94</v>
      </c>
      <c r="D6" s="21">
        <f>N8+Vietnam_child_trad_wood</f>
        <v>30.92</v>
      </c>
      <c r="E6" s="21">
        <f>O8+Vietnam_child_trad_wood</f>
        <v>55.82</v>
      </c>
      <c r="F6" s="21">
        <f>P8+Vietnam_child_trad_wood</f>
        <v>73.180000000000007</v>
      </c>
      <c r="G6" s="21">
        <f>Q8+Vietnam_child_trad_wood</f>
        <v>61.74</v>
      </c>
      <c r="H6" s="21">
        <f>R8+Vietnam_child_trad_wood</f>
        <v>146.82</v>
      </c>
      <c r="I6" s="21">
        <f>S8+Vietnam_child_trad_wood</f>
        <v>192.31</v>
      </c>
      <c r="J6" s="21">
        <f>T8+Vietnam_child_trad_wood</f>
        <v>222.77</v>
      </c>
      <c r="L6" s="14" t="s">
        <v>27</v>
      </c>
      <c r="M6" s="15">
        <f>'Vietnam children water DALYs'!B4</f>
        <v>32.58</v>
      </c>
      <c r="N6" s="15">
        <f>'Vietnam children water DALYs'!C4</f>
        <v>8.66</v>
      </c>
      <c r="O6" s="15">
        <f>'Vietnam children water DALYs'!D4</f>
        <v>13.09</v>
      </c>
      <c r="P6" s="15">
        <f>'Vietnam children water DALYs'!E4</f>
        <v>14.63</v>
      </c>
      <c r="Q6" s="15">
        <f>'Vietnam children water DALYs'!F4</f>
        <v>13.63</v>
      </c>
      <c r="R6" s="15">
        <f>'Vietnam children water DALYs'!G4</f>
        <v>23.04</v>
      </c>
      <c r="S6" s="15">
        <f>'Vietnam children water DALYs'!H4</f>
        <v>31.32</v>
      </c>
      <c r="T6" s="15">
        <f>'Vietnam children water DALYs'!I4</f>
        <v>38.93</v>
      </c>
    </row>
    <row r="7" spans="1:20" ht="43.5" x14ac:dyDescent="0.35">
      <c r="A7" s="20" t="s">
        <v>27</v>
      </c>
      <c r="B7" s="20" t="s">
        <v>33</v>
      </c>
      <c r="C7" s="21">
        <f>M6+M13</f>
        <v>51.58</v>
      </c>
      <c r="D7" s="21">
        <f>N6+Vietnam_child_improved_wood</f>
        <v>28.66</v>
      </c>
      <c r="E7" s="21">
        <f>O6+Vietnam_child_improved_wood</f>
        <v>33.090000000000003</v>
      </c>
      <c r="F7" s="21">
        <f>P6+Vietnam_child_improved_wood</f>
        <v>34.630000000000003</v>
      </c>
      <c r="G7" s="21">
        <f>Q6+Vietnam_child_improved_wood</f>
        <v>33.630000000000003</v>
      </c>
      <c r="H7" s="21">
        <f>R6+Vietnam_child_improved_wood</f>
        <v>43.04</v>
      </c>
      <c r="I7" s="21">
        <f>S6+Vietnam_child_improved_wood</f>
        <v>51.32</v>
      </c>
      <c r="J7" s="21">
        <f>T6+Vietnam_child_improved_wood</f>
        <v>58.93</v>
      </c>
      <c r="L7" s="14" t="s">
        <v>28</v>
      </c>
      <c r="M7" s="15">
        <f>'Vietnam children water DALYs'!B5</f>
        <v>78.95</v>
      </c>
      <c r="N7" s="15">
        <f>'Vietnam children water DALYs'!C5</f>
        <v>9.39</v>
      </c>
      <c r="O7" s="15">
        <f>'Vietnam children water DALYs'!D5</f>
        <v>16.760000000000002</v>
      </c>
      <c r="P7" s="15">
        <f>'Vietnam children water DALYs'!E5</f>
        <v>21.96</v>
      </c>
      <c r="Q7" s="15">
        <f>'Vietnam children water DALYs'!F5</f>
        <v>18.440000000000001</v>
      </c>
      <c r="R7" s="15">
        <f>'Vietnam children water DALYs'!G5</f>
        <v>50.72</v>
      </c>
      <c r="S7" s="15">
        <f>'Vietnam children water DALYs'!H5</f>
        <v>75.39</v>
      </c>
      <c r="T7" s="15">
        <f>'Vietnam children water DALYs'!I5</f>
        <v>96.24</v>
      </c>
    </row>
    <row r="8" spans="1:20" ht="43.5" x14ac:dyDescent="0.35">
      <c r="A8" s="20" t="s">
        <v>28</v>
      </c>
      <c r="B8" s="20" t="s">
        <v>33</v>
      </c>
      <c r="C8" s="21">
        <f>M7+M13</f>
        <v>97.95</v>
      </c>
      <c r="D8" s="21">
        <f>N7+Vietnam_child_improved_wood</f>
        <v>29.39</v>
      </c>
      <c r="E8" s="21">
        <f>O7+Vietnam_child_improved_wood</f>
        <v>36.760000000000005</v>
      </c>
      <c r="F8" s="21">
        <f>P7+Vietnam_child_improved_wood</f>
        <v>41.96</v>
      </c>
      <c r="G8" s="21">
        <f>Q7+Vietnam_child_improved_wood</f>
        <v>38.44</v>
      </c>
      <c r="H8" s="21">
        <f>R7+Vietnam_child_improved_wood</f>
        <v>70.72</v>
      </c>
      <c r="I8" s="21">
        <f>S7+Vietnam_child_improved_wood</f>
        <v>95.39</v>
      </c>
      <c r="J8" s="21">
        <f>T7+Vietnam_child_improved_wood</f>
        <v>116.24</v>
      </c>
      <c r="L8" s="14" t="s">
        <v>29</v>
      </c>
      <c r="M8" s="15">
        <f>'Vietnam children water DALYs'!B6</f>
        <v>176.94</v>
      </c>
      <c r="N8" s="15">
        <f>'Vietnam children water DALYs'!C6</f>
        <v>9.92</v>
      </c>
      <c r="O8" s="15">
        <f>'Vietnam children water DALYs'!D6</f>
        <v>34.82</v>
      </c>
      <c r="P8" s="15">
        <f>'Vietnam children water DALYs'!E6</f>
        <v>52.18</v>
      </c>
      <c r="Q8" s="15">
        <f>'Vietnam children water DALYs'!F6</f>
        <v>40.74</v>
      </c>
      <c r="R8" s="15">
        <f>'Vietnam children water DALYs'!G6</f>
        <v>125.82</v>
      </c>
      <c r="S8" s="15">
        <f>'Vietnam children water DALYs'!H6</f>
        <v>171.31</v>
      </c>
      <c r="T8" s="15">
        <f>'Vietnam children water DALYs'!I6</f>
        <v>201.77</v>
      </c>
    </row>
    <row r="9" spans="1:20" ht="43.5" x14ac:dyDescent="0.35">
      <c r="A9" s="20" t="s">
        <v>29</v>
      </c>
      <c r="B9" s="20" t="s">
        <v>33</v>
      </c>
      <c r="C9" s="21">
        <f>M8+M13</f>
        <v>195.94</v>
      </c>
      <c r="D9" s="21">
        <f>N8+Vietnam_child_improved_wood</f>
        <v>29.92</v>
      </c>
      <c r="E9" s="21">
        <f>O8+Vietnam_child_improved_wood</f>
        <v>54.82</v>
      </c>
      <c r="F9" s="21">
        <f>P8+Vietnam_child_improved_wood</f>
        <v>72.180000000000007</v>
      </c>
      <c r="G9" s="21">
        <f>Q8+Vietnam_child_improved_wood</f>
        <v>60.74</v>
      </c>
      <c r="H9" s="21">
        <f>R8+Vietnam_child_improved_wood</f>
        <v>145.82</v>
      </c>
      <c r="I9" s="21">
        <f>S8+Vietnam_child_improved_wood</f>
        <v>191.31</v>
      </c>
      <c r="J9" s="21">
        <f>T8+Vietnam_child_improved_wood</f>
        <v>221.77</v>
      </c>
    </row>
    <row r="10" spans="1:20" ht="43.5" x14ac:dyDescent="0.35">
      <c r="A10" s="20" t="s">
        <v>27</v>
      </c>
      <c r="B10" s="20" t="s">
        <v>34</v>
      </c>
      <c r="C10" s="21">
        <f>M6+M14</f>
        <v>38.58</v>
      </c>
      <c r="D10" s="21">
        <f>N6+Vietnam_child_charcoal</f>
        <v>16.66</v>
      </c>
      <c r="E10" s="21">
        <f>O6+Vietnam_child_charcoal</f>
        <v>21.09</v>
      </c>
      <c r="F10" s="21">
        <f>P6+Vietnam_child_charcoal</f>
        <v>22.630000000000003</v>
      </c>
      <c r="G10" s="21">
        <f>Q6+Vietnam_child_charcoal</f>
        <v>21.630000000000003</v>
      </c>
      <c r="H10" s="21">
        <f>R6+Vietnam_child_charcoal</f>
        <v>31.04</v>
      </c>
      <c r="I10" s="21">
        <f>S6+Vietnam_child_charcoal</f>
        <v>39.32</v>
      </c>
      <c r="J10" s="21">
        <f>T6+Vietnam_child_charcoal</f>
        <v>46.93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84.95</v>
      </c>
      <c r="D11" s="21">
        <f>N7+Vietnam_child_charcoal</f>
        <v>17.39</v>
      </c>
      <c r="E11" s="21">
        <f>O7+Vietnam_child_charcoal</f>
        <v>24.76</v>
      </c>
      <c r="F11" s="21">
        <f>P7+Vietnam_child_charcoal</f>
        <v>29.96</v>
      </c>
      <c r="G11" s="21">
        <f>Q7+Vietnam_child_charcoal</f>
        <v>26.44</v>
      </c>
      <c r="H11" s="21">
        <f>R7+Vietnam_child_charcoal</f>
        <v>58.72</v>
      </c>
      <c r="I11" s="21">
        <f>S7+Vietnam_child_charcoal</f>
        <v>83.39</v>
      </c>
      <c r="J11" s="21">
        <f>T7+Vietnam_child_charcoal</f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182.94</v>
      </c>
      <c r="D12" s="21">
        <f>N8+Vietnam_child_charcoal</f>
        <v>17.920000000000002</v>
      </c>
      <c r="E12" s="21">
        <f>O8+Vietnam_child_charcoal</f>
        <v>42.82</v>
      </c>
      <c r="F12" s="21">
        <f>P8+Vietnam_child_charcoal</f>
        <v>60.18</v>
      </c>
      <c r="G12" s="21">
        <f>Q8+Vietnam_child_charcoal</f>
        <v>48.74</v>
      </c>
      <c r="H12" s="21">
        <f>R8+Vietnam_child_charcoal</f>
        <v>133.82</v>
      </c>
      <c r="I12" s="21">
        <f>S8+Vietnam_child_charcoal</f>
        <v>179.31</v>
      </c>
      <c r="J12" s="21">
        <f>T8+Vietnam_child_charcoal</f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5" x14ac:dyDescent="0.35">
      <c r="A13" s="20" t="s">
        <v>27</v>
      </c>
      <c r="B13" s="20" t="s">
        <v>35</v>
      </c>
      <c r="C13" s="21">
        <f>M6+M15</f>
        <v>34.58</v>
      </c>
      <c r="D13" s="21">
        <f>N6+Vietnam_child_minimoto</f>
        <v>11.66</v>
      </c>
      <c r="E13" s="21">
        <f>O6+Vietnam_child_minimoto</f>
        <v>16.09</v>
      </c>
      <c r="F13" s="21">
        <f>P6+Vietnam_child_minimoto</f>
        <v>17.630000000000003</v>
      </c>
      <c r="G13" s="21">
        <f>Q6+Vietnam_child_minimoto</f>
        <v>16.630000000000003</v>
      </c>
      <c r="H13" s="21">
        <f>R6+Vietnam_child_minimoto</f>
        <v>26.04</v>
      </c>
      <c r="I13" s="21">
        <f>S6+Vietnam_child_minimoto</f>
        <v>34.32</v>
      </c>
      <c r="J13" s="21">
        <f>T6+Vietnam_child_minimoto</f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5" x14ac:dyDescent="0.35">
      <c r="A14" s="20" t="s">
        <v>28</v>
      </c>
      <c r="B14" s="20" t="s">
        <v>35</v>
      </c>
      <c r="C14" s="21">
        <f>M7+M15</f>
        <v>80.95</v>
      </c>
      <c r="D14" s="21">
        <f>N7+Vietnam_child_minimoto</f>
        <v>12.39</v>
      </c>
      <c r="E14" s="21">
        <f>O7+Vietnam_child_minimoto</f>
        <v>19.760000000000002</v>
      </c>
      <c r="F14" s="21">
        <f>P7+Vietnam_child_minimoto</f>
        <v>24.96</v>
      </c>
      <c r="G14" s="21">
        <f>Q7+Vietnam_child_minimoto</f>
        <v>21.44</v>
      </c>
      <c r="H14" s="21">
        <f>R7+Vietnam_child_minimoto</f>
        <v>53.72</v>
      </c>
      <c r="I14" s="21">
        <f>S7+Vietnam_child_minimoto</f>
        <v>78.39</v>
      </c>
      <c r="J14" s="21">
        <f>T7+Vietnam_child_minimoto</f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5" x14ac:dyDescent="0.35">
      <c r="A15" s="20" t="s">
        <v>29</v>
      </c>
      <c r="B15" s="20" t="s">
        <v>35</v>
      </c>
      <c r="C15" s="21">
        <f>M8+M15</f>
        <v>178.94</v>
      </c>
      <c r="D15" s="21">
        <f>N8+Vietnam_child_minimoto</f>
        <v>12.92</v>
      </c>
      <c r="E15" s="21">
        <f>O8+Vietnam_child_minimoto</f>
        <v>37.82</v>
      </c>
      <c r="F15" s="21">
        <f>P8+Vietnam_child_minimoto</f>
        <v>55.18</v>
      </c>
      <c r="G15" s="21">
        <f>Q8+Vietnam_child_minimoto</f>
        <v>43.74</v>
      </c>
      <c r="H15" s="21">
        <f>R8+Vietnam_child_minimoto</f>
        <v>128.82</v>
      </c>
      <c r="I15" s="21">
        <f>S8+Vietnam_child_minimoto</f>
        <v>174.31</v>
      </c>
      <c r="J15" s="21">
        <f>T8+Vietnam_child_minimoto</f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9" x14ac:dyDescent="0.35">
      <c r="A16" s="20" t="s">
        <v>27</v>
      </c>
      <c r="B16" s="20" t="s">
        <v>36</v>
      </c>
      <c r="C16" s="21">
        <f>M6+M16</f>
        <v>32.58</v>
      </c>
      <c r="D16" s="21">
        <f>N6+Vietnam_child_LPG</f>
        <v>8.66</v>
      </c>
      <c r="E16" s="21">
        <f>O6+Vietnam_child_LPG</f>
        <v>13.09</v>
      </c>
      <c r="F16" s="21">
        <f>P6+Vietnam_child_LPG</f>
        <v>14.63</v>
      </c>
      <c r="G16" s="21">
        <f>Q6+Vietnam_child_LPG</f>
        <v>13.63</v>
      </c>
      <c r="H16" s="21">
        <f>R6+Vietnam_child_LPG</f>
        <v>23.04</v>
      </c>
      <c r="I16" s="21">
        <f>S6+Vietnam_child_LPG</f>
        <v>31.32</v>
      </c>
      <c r="J16" s="21">
        <f>T6+Vietnam_child_LPG</f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9" x14ac:dyDescent="0.35">
      <c r="A17" s="20" t="s">
        <v>28</v>
      </c>
      <c r="B17" s="20" t="s">
        <v>36</v>
      </c>
      <c r="C17" s="21">
        <f>M7+M16</f>
        <v>78.95</v>
      </c>
      <c r="D17" s="21">
        <f>N7+Vietnam_child_LPG</f>
        <v>9.39</v>
      </c>
      <c r="E17" s="21">
        <f>O7+Vietnam_child_LPG</f>
        <v>16.760000000000002</v>
      </c>
      <c r="F17" s="21">
        <f>P7+Vietnam_child_LPG</f>
        <v>21.96</v>
      </c>
      <c r="G17" s="21">
        <f>Q7+Vietnam_child_LPG</f>
        <v>18.440000000000001</v>
      </c>
      <c r="H17" s="21">
        <f>R7+Vietnam_child_LPG</f>
        <v>50.72</v>
      </c>
      <c r="I17" s="21">
        <f>S7+Vietnam_child_LPG</f>
        <v>75.39</v>
      </c>
      <c r="J17" s="21">
        <f>T7+Vietnam_child_LPG</f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9" x14ac:dyDescent="0.35">
      <c r="A18" s="20" t="s">
        <v>29</v>
      </c>
      <c r="B18" s="20" t="s">
        <v>36</v>
      </c>
      <c r="C18" s="21">
        <f>M8+M16</f>
        <v>176.94</v>
      </c>
      <c r="D18" s="21">
        <f>N8+Vietnam_child_LPG</f>
        <v>9.92</v>
      </c>
      <c r="E18" s="21">
        <f>O8+Vietnam_child_LPG</f>
        <v>34.82</v>
      </c>
      <c r="F18" s="21">
        <f>P8+Vietnam_child_LPG</f>
        <v>52.18</v>
      </c>
      <c r="G18" s="21">
        <f>Q8+Vietnam_child_LPG</f>
        <v>40.74</v>
      </c>
      <c r="H18" s="21">
        <f>R8+Vietnam_child_LPG</f>
        <v>125.82</v>
      </c>
      <c r="I18" s="21">
        <f>S8+Vietnam_child_LPG</f>
        <v>171.31</v>
      </c>
      <c r="J18" s="21">
        <f>T8+Vietnam_child_LPG</f>
        <v>201.77</v>
      </c>
    </row>
    <row r="19" spans="1:19" ht="29" x14ac:dyDescent="0.35">
      <c r="A19" s="20" t="s">
        <v>27</v>
      </c>
      <c r="B19" s="20" t="s">
        <v>60</v>
      </c>
      <c r="C19">
        <f>M6</f>
        <v>32.58</v>
      </c>
      <c r="D19">
        <f>N6</f>
        <v>8.66</v>
      </c>
      <c r="E19">
        <f t="shared" ref="E19:J21" si="0">O6</f>
        <v>13.09</v>
      </c>
      <c r="F19">
        <f t="shared" si="0"/>
        <v>14.63</v>
      </c>
      <c r="G19">
        <f t="shared" si="0"/>
        <v>13.63</v>
      </c>
      <c r="H19">
        <f t="shared" si="0"/>
        <v>23.04</v>
      </c>
      <c r="I19">
        <f t="shared" si="0"/>
        <v>31.32</v>
      </c>
      <c r="J19">
        <f t="shared" si="0"/>
        <v>38.93</v>
      </c>
    </row>
    <row r="20" spans="1:19" ht="29" x14ac:dyDescent="0.35">
      <c r="A20" s="20" t="s">
        <v>28</v>
      </c>
      <c r="B20" s="20" t="s">
        <v>60</v>
      </c>
      <c r="C20">
        <f>M7</f>
        <v>78.95</v>
      </c>
      <c r="D20">
        <f t="shared" ref="D20:D21" si="1">N7</f>
        <v>9.39</v>
      </c>
      <c r="E20">
        <f t="shared" si="0"/>
        <v>16.760000000000002</v>
      </c>
      <c r="F20">
        <f t="shared" si="0"/>
        <v>21.96</v>
      </c>
      <c r="G20">
        <f t="shared" si="0"/>
        <v>18.440000000000001</v>
      </c>
      <c r="H20">
        <f t="shared" si="0"/>
        <v>50.72</v>
      </c>
      <c r="I20">
        <f t="shared" si="0"/>
        <v>75.39</v>
      </c>
      <c r="J20">
        <f t="shared" si="0"/>
        <v>96.24</v>
      </c>
    </row>
    <row r="21" spans="1:19" ht="29" x14ac:dyDescent="0.35">
      <c r="A21" s="20" t="s">
        <v>29</v>
      </c>
      <c r="B21" s="20" t="s">
        <v>60</v>
      </c>
      <c r="C21">
        <f>M8</f>
        <v>176.94</v>
      </c>
      <c r="D21">
        <f t="shared" si="1"/>
        <v>9.92</v>
      </c>
      <c r="E21">
        <f t="shared" si="0"/>
        <v>34.82</v>
      </c>
      <c r="F21">
        <f t="shared" si="0"/>
        <v>52.18</v>
      </c>
      <c r="G21">
        <f t="shared" si="0"/>
        <v>40.74</v>
      </c>
      <c r="H21">
        <f t="shared" si="0"/>
        <v>125.82</v>
      </c>
      <c r="I21">
        <f t="shared" si="0"/>
        <v>171.31</v>
      </c>
      <c r="J21">
        <f t="shared" si="0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AE515-8CE2-41DA-AF75-D14DDB354EC1}">
  <dimension ref="A1:T21"/>
  <sheetViews>
    <sheetView topLeftCell="A17" workbookViewId="0">
      <selection activeCell="A24" sqref="A24:J43"/>
    </sheetView>
  </sheetViews>
  <sheetFormatPr defaultRowHeight="14.5" x14ac:dyDescent="0.35"/>
  <sheetData>
    <row r="1" spans="1:20" x14ac:dyDescent="0.35">
      <c r="A1" t="s">
        <v>61</v>
      </c>
    </row>
    <row r="2" spans="1:20" ht="43.5" x14ac:dyDescent="0.35">
      <c r="A2" s="20" t="s">
        <v>17</v>
      </c>
      <c r="B2" s="20" t="s">
        <v>31</v>
      </c>
      <c r="C2" s="35" t="s">
        <v>52</v>
      </c>
      <c r="D2" s="35" t="s">
        <v>53</v>
      </c>
      <c r="E2" s="35" t="s">
        <v>54</v>
      </c>
      <c r="F2" s="35" t="s">
        <v>55</v>
      </c>
      <c r="G2" s="35" t="s">
        <v>56</v>
      </c>
      <c r="H2" s="35" t="s">
        <v>57</v>
      </c>
      <c r="I2" s="35" t="s">
        <v>58</v>
      </c>
      <c r="J2" s="35" t="s">
        <v>59</v>
      </c>
      <c r="L2" s="18" t="s">
        <v>13</v>
      </c>
      <c r="M2" s="18"/>
      <c r="N2" s="18"/>
      <c r="O2" s="18"/>
      <c r="P2" s="18"/>
      <c r="Q2" s="18"/>
      <c r="R2" s="18"/>
      <c r="S2" s="18"/>
      <c r="T2" s="18"/>
    </row>
    <row r="3" spans="1:20" ht="43.5" x14ac:dyDescent="0.35">
      <c r="A3" s="20"/>
      <c r="B3" s="20"/>
      <c r="C3" s="20"/>
      <c r="D3" s="20"/>
      <c r="E3" s="20"/>
      <c r="F3" s="20"/>
      <c r="G3" s="20"/>
      <c r="H3" s="36"/>
      <c r="I3" s="33"/>
      <c r="L3" s="15"/>
      <c r="M3" s="35" t="s">
        <v>52</v>
      </c>
      <c r="N3" s="35" t="s">
        <v>53</v>
      </c>
      <c r="O3" s="35" t="s">
        <v>54</v>
      </c>
      <c r="P3" s="35" t="s">
        <v>55</v>
      </c>
      <c r="Q3" s="35" t="s">
        <v>56</v>
      </c>
      <c r="R3" s="35" t="s">
        <v>57</v>
      </c>
      <c r="S3" s="35" t="s">
        <v>58</v>
      </c>
      <c r="T3" s="35" t="s">
        <v>59</v>
      </c>
    </row>
    <row r="4" spans="1:20" ht="58" x14ac:dyDescent="0.35">
      <c r="A4" s="20" t="s">
        <v>27</v>
      </c>
      <c r="B4" s="20" t="s">
        <v>32</v>
      </c>
      <c r="C4" s="21">
        <f>M6+M12</f>
        <v>53.58</v>
      </c>
      <c r="D4" s="21">
        <f>N6+Vietnam_child_trad_wood</f>
        <v>29.66</v>
      </c>
      <c r="E4" s="21">
        <f>O6+Vietnam_child_trad_wood</f>
        <v>34.090000000000003</v>
      </c>
      <c r="F4" s="21">
        <f>P6+Vietnam_child_trad_wood</f>
        <v>35.630000000000003</v>
      </c>
      <c r="G4" s="21">
        <f>Q6+Vietnam_child_trad_wood</f>
        <v>34.630000000000003</v>
      </c>
      <c r="H4" s="21">
        <f>R6+Vietnam_child_trad_wood</f>
        <v>44.04</v>
      </c>
      <c r="I4" s="21">
        <f>S6+Vietnam_child_trad_wood</f>
        <v>52.32</v>
      </c>
      <c r="J4" s="21">
        <f>T6+Vietnam_child_trad_wood</f>
        <v>59.93</v>
      </c>
      <c r="L4" s="14" t="s">
        <v>17</v>
      </c>
      <c r="M4" s="14" t="s">
        <v>18</v>
      </c>
      <c r="N4" s="14" t="s">
        <v>19</v>
      </c>
      <c r="O4" s="14" t="s">
        <v>20</v>
      </c>
      <c r="P4" s="14" t="s">
        <v>21</v>
      </c>
      <c r="Q4" s="14" t="s">
        <v>22</v>
      </c>
      <c r="R4" s="14" t="s">
        <v>23</v>
      </c>
      <c r="S4" s="14" t="s">
        <v>24</v>
      </c>
      <c r="T4" s="14" t="s">
        <v>25</v>
      </c>
    </row>
    <row r="5" spans="1:20" ht="43.5" x14ac:dyDescent="0.35">
      <c r="A5" s="20" t="s">
        <v>28</v>
      </c>
      <c r="B5" s="20" t="s">
        <v>32</v>
      </c>
      <c r="C5" s="21">
        <f>M7+M13</f>
        <v>97.95</v>
      </c>
      <c r="D5" s="21">
        <f>N7+Vietnam_child_trad_wood</f>
        <v>30.39</v>
      </c>
      <c r="E5" s="21">
        <f>O7+Vietnam_child_trad_wood</f>
        <v>37.760000000000005</v>
      </c>
      <c r="F5" s="21">
        <f>P7+Vietnam_child_trad_wood</f>
        <v>42.96</v>
      </c>
      <c r="G5" s="21">
        <f>Q7+Vietnam_child_trad_wood</f>
        <v>39.44</v>
      </c>
      <c r="H5" s="21">
        <f>R7+Vietnam_child_trad_wood</f>
        <v>71.72</v>
      </c>
      <c r="I5" s="21">
        <f>S7+Vietnam_child_trad_wood</f>
        <v>96.39</v>
      </c>
      <c r="J5" s="21">
        <f>T7+Vietnam_child_trad_wood</f>
        <v>117.24</v>
      </c>
      <c r="L5" s="14" t="s">
        <v>26</v>
      </c>
      <c r="M5" s="15">
        <f>'Vietnam children water DALYs'!B3</f>
        <v>0</v>
      </c>
      <c r="N5" s="15">
        <f>'Vietnam children water DALYs'!C3</f>
        <v>0</v>
      </c>
      <c r="O5" s="15">
        <f>'Vietnam children water DALYs'!D3</f>
        <v>0</v>
      </c>
      <c r="P5" s="15">
        <f>'Vietnam children water DALYs'!E3</f>
        <v>0</v>
      </c>
      <c r="Q5" s="15">
        <f>'Vietnam children water DALYs'!F3</f>
        <v>0</v>
      </c>
      <c r="R5" s="15">
        <f>'Vietnam children water DALYs'!G3</f>
        <v>0</v>
      </c>
      <c r="S5" s="15">
        <f>'Vietnam children water DALYs'!H3</f>
        <v>0</v>
      </c>
      <c r="T5" s="15">
        <f>'Vietnam children water DALYs'!I3</f>
        <v>0</v>
      </c>
    </row>
    <row r="6" spans="1:20" ht="43.5" x14ac:dyDescent="0.35">
      <c r="A6" s="20" t="s">
        <v>29</v>
      </c>
      <c r="B6" s="20" t="s">
        <v>32</v>
      </c>
      <c r="C6" s="21">
        <f>M8+M12</f>
        <v>197.94</v>
      </c>
      <c r="D6" s="21">
        <f>N8+Vietnam_child_trad_wood</f>
        <v>30.92</v>
      </c>
      <c r="E6" s="21">
        <f>O8+Vietnam_child_trad_wood</f>
        <v>55.82</v>
      </c>
      <c r="F6" s="21">
        <f>P8+Vietnam_child_trad_wood</f>
        <v>73.180000000000007</v>
      </c>
      <c r="G6" s="21">
        <f>Q8+Vietnam_child_trad_wood</f>
        <v>61.74</v>
      </c>
      <c r="H6" s="21">
        <f>R8+Vietnam_child_trad_wood</f>
        <v>146.82</v>
      </c>
      <c r="I6" s="21">
        <f>S8+Vietnam_child_trad_wood</f>
        <v>192.31</v>
      </c>
      <c r="J6" s="21">
        <f>T8+Vietnam_child_trad_wood</f>
        <v>222.77</v>
      </c>
      <c r="L6" s="14" t="s">
        <v>27</v>
      </c>
      <c r="M6" s="15">
        <f>'Vietnam children water DALYs'!B4</f>
        <v>32.58</v>
      </c>
      <c r="N6" s="15">
        <f>'Vietnam children water DALYs'!C4</f>
        <v>8.66</v>
      </c>
      <c r="O6" s="15">
        <f>'Vietnam children water DALYs'!D4</f>
        <v>13.09</v>
      </c>
      <c r="P6" s="15">
        <f>'Vietnam children water DALYs'!E4</f>
        <v>14.63</v>
      </c>
      <c r="Q6" s="15">
        <f>'Vietnam children water DALYs'!F4</f>
        <v>13.63</v>
      </c>
      <c r="R6" s="15">
        <f>'Vietnam children water DALYs'!G4</f>
        <v>23.04</v>
      </c>
      <c r="S6" s="15">
        <f>'Vietnam children water DALYs'!H4</f>
        <v>31.32</v>
      </c>
      <c r="T6" s="15">
        <f>'Vietnam children water DALYs'!I4</f>
        <v>38.93</v>
      </c>
    </row>
    <row r="7" spans="1:20" ht="43.5" x14ac:dyDescent="0.35">
      <c r="A7" s="20" t="s">
        <v>27</v>
      </c>
      <c r="B7" s="20" t="s">
        <v>33</v>
      </c>
      <c r="C7" s="21">
        <f>M6+M13</f>
        <v>51.58</v>
      </c>
      <c r="D7" s="21">
        <f>N6+Vietnam_child_improved_wood</f>
        <v>28.66</v>
      </c>
      <c r="E7" s="21">
        <f>O6+Vietnam_child_improved_wood</f>
        <v>33.090000000000003</v>
      </c>
      <c r="F7" s="21">
        <f>P6+Vietnam_child_improved_wood</f>
        <v>34.630000000000003</v>
      </c>
      <c r="G7" s="21">
        <f>Q6+Vietnam_child_improved_wood</f>
        <v>33.630000000000003</v>
      </c>
      <c r="H7" s="21">
        <f>R6+Vietnam_child_improved_wood</f>
        <v>43.04</v>
      </c>
      <c r="I7" s="21">
        <f>S6+Vietnam_child_improved_wood</f>
        <v>51.32</v>
      </c>
      <c r="J7" s="21">
        <f>T6+Vietnam_child_improved_wood</f>
        <v>58.93</v>
      </c>
      <c r="L7" s="14" t="s">
        <v>28</v>
      </c>
      <c r="M7" s="15">
        <f>'Vietnam children water DALYs'!B5</f>
        <v>78.95</v>
      </c>
      <c r="N7" s="15">
        <f>'Vietnam children water DALYs'!C5</f>
        <v>9.39</v>
      </c>
      <c r="O7" s="15">
        <f>'Vietnam children water DALYs'!D5</f>
        <v>16.760000000000002</v>
      </c>
      <c r="P7" s="15">
        <f>'Vietnam children water DALYs'!E5</f>
        <v>21.96</v>
      </c>
      <c r="Q7" s="15">
        <f>'Vietnam children water DALYs'!F5</f>
        <v>18.440000000000001</v>
      </c>
      <c r="R7" s="15">
        <f>'Vietnam children water DALYs'!G5</f>
        <v>50.72</v>
      </c>
      <c r="S7" s="15">
        <f>'Vietnam children water DALYs'!H5</f>
        <v>75.39</v>
      </c>
      <c r="T7" s="15">
        <f>'Vietnam children water DALYs'!I5</f>
        <v>96.24</v>
      </c>
    </row>
    <row r="8" spans="1:20" ht="43.5" x14ac:dyDescent="0.35">
      <c r="A8" s="20" t="s">
        <v>28</v>
      </c>
      <c r="B8" s="20" t="s">
        <v>33</v>
      </c>
      <c r="C8" s="21">
        <f>M7+M13</f>
        <v>97.95</v>
      </c>
      <c r="D8" s="21">
        <f>N7+Vietnam_child_improved_wood</f>
        <v>29.39</v>
      </c>
      <c r="E8" s="21">
        <f>O7+Vietnam_child_improved_wood</f>
        <v>36.760000000000005</v>
      </c>
      <c r="F8" s="21">
        <f>P7+Vietnam_child_improved_wood</f>
        <v>41.96</v>
      </c>
      <c r="G8" s="21">
        <f>Q7+Vietnam_child_improved_wood</f>
        <v>38.44</v>
      </c>
      <c r="H8" s="21">
        <f>R7+Vietnam_child_improved_wood</f>
        <v>70.72</v>
      </c>
      <c r="I8" s="21">
        <f>S7+Vietnam_child_improved_wood</f>
        <v>95.39</v>
      </c>
      <c r="J8" s="21">
        <f>T7+Vietnam_child_improved_wood</f>
        <v>116.24</v>
      </c>
      <c r="L8" s="14" t="s">
        <v>29</v>
      </c>
      <c r="M8" s="15">
        <f>'Vietnam children water DALYs'!B6</f>
        <v>176.94</v>
      </c>
      <c r="N8" s="15">
        <f>'Vietnam children water DALYs'!C6</f>
        <v>9.92</v>
      </c>
      <c r="O8" s="15">
        <f>'Vietnam children water DALYs'!D6</f>
        <v>34.82</v>
      </c>
      <c r="P8" s="15">
        <f>'Vietnam children water DALYs'!E6</f>
        <v>52.18</v>
      </c>
      <c r="Q8" s="15">
        <f>'Vietnam children water DALYs'!F6</f>
        <v>40.74</v>
      </c>
      <c r="R8" s="15">
        <f>'Vietnam children water DALYs'!G6</f>
        <v>125.82</v>
      </c>
      <c r="S8" s="15">
        <f>'Vietnam children water DALYs'!H6</f>
        <v>171.31</v>
      </c>
      <c r="T8" s="15">
        <f>'Vietnam children water DALYs'!I6</f>
        <v>201.77</v>
      </c>
    </row>
    <row r="9" spans="1:20" ht="43.5" x14ac:dyDescent="0.35">
      <c r="A9" s="20" t="s">
        <v>29</v>
      </c>
      <c r="B9" s="20" t="s">
        <v>33</v>
      </c>
      <c r="C9" s="21">
        <f>M8+M13</f>
        <v>195.94</v>
      </c>
      <c r="D9" s="21">
        <f>N8+Vietnam_child_improved_wood</f>
        <v>29.92</v>
      </c>
      <c r="E9" s="21">
        <f>O8+Vietnam_child_improved_wood</f>
        <v>54.82</v>
      </c>
      <c r="F9" s="21">
        <f>P8+Vietnam_child_improved_wood</f>
        <v>72.180000000000007</v>
      </c>
      <c r="G9" s="21">
        <f>Q8+Vietnam_child_improved_wood</f>
        <v>60.74</v>
      </c>
      <c r="H9" s="21">
        <f>R8+Vietnam_child_improved_wood</f>
        <v>145.82</v>
      </c>
      <c r="I9" s="21">
        <f>S8+Vietnam_child_improved_wood</f>
        <v>191.31</v>
      </c>
      <c r="J9" s="21">
        <f>T8+Vietnam_child_improved_wood</f>
        <v>221.77</v>
      </c>
    </row>
    <row r="10" spans="1:20" ht="43.5" x14ac:dyDescent="0.35">
      <c r="A10" s="20" t="s">
        <v>27</v>
      </c>
      <c r="B10" s="20" t="s">
        <v>34</v>
      </c>
      <c r="C10" s="21">
        <f>M6+M14</f>
        <v>38.58</v>
      </c>
      <c r="D10" s="21">
        <f>N6+Vietnam_child_charcoal</f>
        <v>16.66</v>
      </c>
      <c r="E10" s="21">
        <f>O6+Vietnam_child_charcoal</f>
        <v>21.09</v>
      </c>
      <c r="F10" s="21">
        <f>P6+Vietnam_child_charcoal</f>
        <v>22.630000000000003</v>
      </c>
      <c r="G10" s="21">
        <f>Q6+Vietnam_child_charcoal</f>
        <v>21.630000000000003</v>
      </c>
      <c r="H10" s="21">
        <f>R6+Vietnam_child_charcoal</f>
        <v>31.04</v>
      </c>
      <c r="I10" s="21">
        <f>S6+Vietnam_child_charcoal</f>
        <v>39.32</v>
      </c>
      <c r="J10" s="21">
        <f>T6+Vietnam_child_charcoal</f>
        <v>46.93</v>
      </c>
      <c r="L10" s="1" t="s">
        <v>13</v>
      </c>
      <c r="M10" s="4" t="s">
        <v>0</v>
      </c>
      <c r="N10" s="5"/>
      <c r="O10" s="6"/>
      <c r="P10" s="1" t="s">
        <v>14</v>
      </c>
      <c r="Q10" s="4" t="s">
        <v>12</v>
      </c>
      <c r="R10" s="5"/>
      <c r="S10" s="6"/>
    </row>
    <row r="11" spans="1:20" ht="58" x14ac:dyDescent="0.35">
      <c r="A11" s="20" t="s">
        <v>28</v>
      </c>
      <c r="B11" s="20" t="s">
        <v>34</v>
      </c>
      <c r="C11" s="21">
        <f>M7+M14</f>
        <v>84.95</v>
      </c>
      <c r="D11" s="21">
        <f>N7+Vietnam_child_charcoal</f>
        <v>17.39</v>
      </c>
      <c r="E11" s="21">
        <f>O7+Vietnam_child_charcoal</f>
        <v>24.76</v>
      </c>
      <c r="F11" s="21">
        <f>P7+Vietnam_child_charcoal</f>
        <v>29.96</v>
      </c>
      <c r="G11" s="21">
        <f>Q7+Vietnam_child_charcoal</f>
        <v>26.44</v>
      </c>
      <c r="H11" s="21">
        <f>R7+Vietnam_child_charcoal</f>
        <v>58.72</v>
      </c>
      <c r="I11" s="21">
        <f>S7+Vietnam_child_charcoal</f>
        <v>83.39</v>
      </c>
      <c r="J11" s="21">
        <f>T7+Vietnam_child_charcoal</f>
        <v>104.24</v>
      </c>
      <c r="L11" s="2" t="s">
        <v>1</v>
      </c>
      <c r="M11" s="3" t="s">
        <v>2</v>
      </c>
      <c r="N11" s="3" t="s">
        <v>3</v>
      </c>
      <c r="O11" s="3" t="s">
        <v>4</v>
      </c>
      <c r="P11" s="2" t="s">
        <v>1</v>
      </c>
      <c r="Q11" s="3" t="s">
        <v>2</v>
      </c>
      <c r="R11" s="3" t="s">
        <v>3</v>
      </c>
      <c r="S11" s="3" t="s">
        <v>4</v>
      </c>
    </row>
    <row r="12" spans="1:20" ht="43.5" x14ac:dyDescent="0.35">
      <c r="A12" s="20" t="s">
        <v>29</v>
      </c>
      <c r="B12" s="20" t="s">
        <v>34</v>
      </c>
      <c r="C12" s="21">
        <f>M8+M14</f>
        <v>182.94</v>
      </c>
      <c r="D12" s="21">
        <f>N8+Vietnam_child_charcoal</f>
        <v>17.920000000000002</v>
      </c>
      <c r="E12" s="21">
        <f>O8+Vietnam_child_charcoal</f>
        <v>42.82</v>
      </c>
      <c r="F12" s="21">
        <f>P8+Vietnam_child_charcoal</f>
        <v>60.18</v>
      </c>
      <c r="G12" s="21">
        <f>Q8+Vietnam_child_charcoal</f>
        <v>48.74</v>
      </c>
      <c r="H12" s="21">
        <f>R8+Vietnam_child_charcoal</f>
        <v>133.82</v>
      </c>
      <c r="I12" s="21">
        <f>S8+Vietnam_child_charcoal</f>
        <v>179.31</v>
      </c>
      <c r="J12" s="21">
        <f>T8+Vietnam_child_charcoal</f>
        <v>209.77</v>
      </c>
      <c r="L12" s="3" t="s">
        <v>5</v>
      </c>
      <c r="M12">
        <f>'Vietnam Child PM DALYs'!B3</f>
        <v>21</v>
      </c>
      <c r="N12">
        <f>'Vietnam Child PM DALYs'!C3</f>
        <v>20</v>
      </c>
      <c r="O12">
        <f>'Vietnam Child PM DALYs'!D3</f>
        <v>21</v>
      </c>
      <c r="P12" t="str">
        <f>'Vietnam Child PM DALYs'!E3</f>
        <v>Traditional wood</v>
      </c>
      <c r="Q12">
        <f>'Vietnam Child PM DALYs'!F3</f>
        <v>3.43</v>
      </c>
      <c r="R12">
        <f>'Vietnam Child PM DALYs'!G3</f>
        <v>3.58</v>
      </c>
      <c r="S12">
        <f>'Vietnam Child PM DALYs'!H3</f>
        <v>3.49</v>
      </c>
    </row>
    <row r="13" spans="1:20" ht="43.5" x14ac:dyDescent="0.35">
      <c r="A13" s="20" t="s">
        <v>27</v>
      </c>
      <c r="B13" s="20" t="s">
        <v>35</v>
      </c>
      <c r="C13" s="21">
        <f>M6+M15</f>
        <v>34.58</v>
      </c>
      <c r="D13" s="21">
        <f>N6+Vietnam_child_minimoto</f>
        <v>11.66</v>
      </c>
      <c r="E13" s="21">
        <f>O6+Vietnam_child_minimoto</f>
        <v>16.09</v>
      </c>
      <c r="F13" s="21">
        <f>P6+Vietnam_child_minimoto</f>
        <v>17.630000000000003</v>
      </c>
      <c r="G13" s="21">
        <f>Q6+Vietnam_child_minimoto</f>
        <v>16.630000000000003</v>
      </c>
      <c r="H13" s="21">
        <f>R6+Vietnam_child_minimoto</f>
        <v>26.04</v>
      </c>
      <c r="I13" s="21">
        <f>S6+Vietnam_child_minimoto</f>
        <v>34.32</v>
      </c>
      <c r="J13" s="21">
        <f>T6+Vietnam_child_minimoto</f>
        <v>41.93</v>
      </c>
      <c r="L13" s="3" t="s">
        <v>6</v>
      </c>
      <c r="M13">
        <f>'Vietnam Child PM DALYs'!B4</f>
        <v>19</v>
      </c>
      <c r="N13">
        <f>'Vietnam Child PM DALYs'!C4</f>
        <v>19</v>
      </c>
      <c r="O13">
        <f>'Vietnam Child PM DALYs'!D4</f>
        <v>20</v>
      </c>
      <c r="P13" t="str">
        <f>'Vietnam Child PM DALYs'!E4</f>
        <v>Improved Wood</v>
      </c>
      <c r="Q13">
        <f>'Vietnam Child PM DALYs'!F4</f>
        <v>4.0199999999999996</v>
      </c>
      <c r="R13">
        <f>'Vietnam Child PM DALYs'!G4</f>
        <v>4.3</v>
      </c>
      <c r="S13">
        <f>'Vietnam Child PM DALYs'!H4</f>
        <v>3.51</v>
      </c>
    </row>
    <row r="14" spans="1:20" ht="43.5" x14ac:dyDescent="0.35">
      <c r="A14" s="20" t="s">
        <v>28</v>
      </c>
      <c r="B14" s="20" t="s">
        <v>35</v>
      </c>
      <c r="C14" s="21">
        <f>M7+M15</f>
        <v>80.95</v>
      </c>
      <c r="D14" s="21">
        <f>N7+Vietnam_child_minimoto</f>
        <v>12.39</v>
      </c>
      <c r="E14" s="21">
        <f>O7+Vietnam_child_minimoto</f>
        <v>19.760000000000002</v>
      </c>
      <c r="F14" s="21">
        <f>P7+Vietnam_child_minimoto</f>
        <v>24.96</v>
      </c>
      <c r="G14" s="21">
        <f>Q7+Vietnam_child_minimoto</f>
        <v>21.44</v>
      </c>
      <c r="H14" s="21">
        <f>R7+Vietnam_child_minimoto</f>
        <v>53.72</v>
      </c>
      <c r="I14" s="21">
        <f>S7+Vietnam_child_minimoto</f>
        <v>78.39</v>
      </c>
      <c r="J14" s="21">
        <f>T7+Vietnam_child_minimoto</f>
        <v>99.24</v>
      </c>
      <c r="L14" s="3" t="s">
        <v>7</v>
      </c>
      <c r="M14">
        <f>'Vietnam Child PM DALYs'!B5</f>
        <v>6</v>
      </c>
      <c r="N14">
        <f>'Vietnam Child PM DALYs'!C5</f>
        <v>4</v>
      </c>
      <c r="O14">
        <f>'Vietnam Child PM DALYs'!D5</f>
        <v>8</v>
      </c>
      <c r="P14" t="str">
        <f>'Vietnam Child PM DALYs'!E5</f>
        <v>Charcoal</v>
      </c>
      <c r="Q14">
        <f>'Vietnam Child PM DALYs'!F5</f>
        <v>4.3099999999999996</v>
      </c>
      <c r="R14">
        <f>'Vietnam Child PM DALYs'!G5</f>
        <v>3.22</v>
      </c>
      <c r="S14">
        <f>'Vietnam Child PM DALYs'!H5</f>
        <v>5.18</v>
      </c>
    </row>
    <row r="15" spans="1:20" ht="43.5" x14ac:dyDescent="0.35">
      <c r="A15" s="20" t="s">
        <v>29</v>
      </c>
      <c r="B15" s="20" t="s">
        <v>35</v>
      </c>
      <c r="C15" s="21">
        <f>M8+M15</f>
        <v>178.94</v>
      </c>
      <c r="D15" s="21">
        <f>N8+Vietnam_child_minimoto</f>
        <v>12.92</v>
      </c>
      <c r="E15" s="21">
        <f>O8+Vietnam_child_minimoto</f>
        <v>37.82</v>
      </c>
      <c r="F15" s="21">
        <f>P8+Vietnam_child_minimoto</f>
        <v>55.18</v>
      </c>
      <c r="G15" s="21">
        <f>Q8+Vietnam_child_minimoto</f>
        <v>43.74</v>
      </c>
      <c r="H15" s="21">
        <f>R8+Vietnam_child_minimoto</f>
        <v>128.82</v>
      </c>
      <c r="I15" s="21">
        <f>S8+Vietnam_child_minimoto</f>
        <v>174.31</v>
      </c>
      <c r="J15" s="21">
        <f>T8+Vietnam_child_minimoto</f>
        <v>204.77</v>
      </c>
      <c r="L15" s="3" t="s">
        <v>8</v>
      </c>
      <c r="M15">
        <f>'Vietnam Child PM DALYs'!B6</f>
        <v>2</v>
      </c>
      <c r="N15">
        <f>'Vietnam Child PM DALYs'!C6</f>
        <v>1</v>
      </c>
      <c r="O15">
        <f>'Vietnam Child PM DALYs'!D6</f>
        <v>3</v>
      </c>
      <c r="P15" t="str">
        <f>'Vietnam Child PM DALYs'!E6</f>
        <v>Gasifier (Minimoto)</v>
      </c>
      <c r="Q15">
        <f>'Vietnam Child PM DALYs'!F6</f>
        <v>1.78</v>
      </c>
      <c r="R15">
        <f>'Vietnam Child PM DALYs'!G6</f>
        <v>1.01</v>
      </c>
      <c r="S15">
        <f>'Vietnam Child PM DALYs'!H6</f>
        <v>2.29</v>
      </c>
    </row>
    <row r="16" spans="1:20" ht="29" x14ac:dyDescent="0.35">
      <c r="A16" s="20" t="s">
        <v>27</v>
      </c>
      <c r="B16" s="20" t="s">
        <v>36</v>
      </c>
      <c r="C16" s="21">
        <f>M6+M16</f>
        <v>32.58</v>
      </c>
      <c r="D16" s="21">
        <f>N6+Vietnam_child_LPG</f>
        <v>8.66</v>
      </c>
      <c r="E16" s="21">
        <f>O6+Vietnam_child_LPG</f>
        <v>13.09</v>
      </c>
      <c r="F16" s="21">
        <f>P6+Vietnam_child_LPG</f>
        <v>14.63</v>
      </c>
      <c r="G16" s="21">
        <f>Q6+Vietnam_child_LPG</f>
        <v>13.63</v>
      </c>
      <c r="H16" s="21">
        <f>R6+Vietnam_child_LPG</f>
        <v>23.04</v>
      </c>
      <c r="I16" s="21">
        <f>S6+Vietnam_child_LPG</f>
        <v>31.32</v>
      </c>
      <c r="J16" s="21">
        <f>T6+Vietnam_child_LPG</f>
        <v>38.93</v>
      </c>
      <c r="L16" s="3" t="s">
        <v>9</v>
      </c>
      <c r="M16">
        <f>'Vietnam Child PM DALYs'!B7</f>
        <v>0</v>
      </c>
      <c r="N16">
        <f>'Vietnam Child PM DALYs'!C7</f>
        <v>0</v>
      </c>
      <c r="O16">
        <f>'Vietnam Child PM DALYs'!D7</f>
        <v>0</v>
      </c>
      <c r="P16" t="str">
        <f>'Vietnam Child PM DALYs'!E7</f>
        <v>LPG</v>
      </c>
      <c r="Q16">
        <f>'Vietnam Child PM DALYs'!F7</f>
        <v>0.51</v>
      </c>
      <c r="R16">
        <f>'Vietnam Child PM DALYs'!G7</f>
        <v>0.31</v>
      </c>
      <c r="S16">
        <f>'Vietnam Child PM DALYs'!H7</f>
        <v>0.67</v>
      </c>
    </row>
    <row r="17" spans="1:19" ht="29" x14ac:dyDescent="0.35">
      <c r="A17" s="20" t="s">
        <v>28</v>
      </c>
      <c r="B17" s="20" t="s">
        <v>36</v>
      </c>
      <c r="C17" s="21">
        <f>M7+M16</f>
        <v>78.95</v>
      </c>
      <c r="D17" s="21">
        <f>N7+Vietnam_child_LPG</f>
        <v>9.39</v>
      </c>
      <c r="E17" s="21">
        <f>O7+Vietnam_child_LPG</f>
        <v>16.760000000000002</v>
      </c>
      <c r="F17" s="21">
        <f>P7+Vietnam_child_LPG</f>
        <v>21.96</v>
      </c>
      <c r="G17" s="21">
        <f>Q7+Vietnam_child_LPG</f>
        <v>18.440000000000001</v>
      </c>
      <c r="H17" s="21">
        <f>R7+Vietnam_child_LPG</f>
        <v>50.72</v>
      </c>
      <c r="I17" s="21">
        <f>S7+Vietnam_child_LPG</f>
        <v>75.39</v>
      </c>
      <c r="J17" s="21">
        <f>T7+Vietnam_child_LPG</f>
        <v>96.24</v>
      </c>
      <c r="L17" s="3" t="s">
        <v>10</v>
      </c>
      <c r="M17" t="str">
        <f>'Vietnam Child PM DALYs'!B8</f>
        <v>0 </v>
      </c>
      <c r="N17" t="str">
        <f>'Vietnam Child PM DALYs'!C8</f>
        <v>0 </v>
      </c>
      <c r="O17" t="str">
        <f>'Vietnam Child PM DALYs'!D8</f>
        <v>0 </v>
      </c>
      <c r="P17" t="str">
        <f>'Vietnam Child PM DALYs'!E8</f>
        <v>Electric</v>
      </c>
      <c r="Q17">
        <f>'Vietnam Child PM DALYs'!F8</f>
        <v>0.16</v>
      </c>
      <c r="R17">
        <f>'Vietnam Child PM DALYs'!G8</f>
        <v>0.16</v>
      </c>
      <c r="S17">
        <f>'Vietnam Child PM DALYs'!H8</f>
        <v>0.16</v>
      </c>
    </row>
    <row r="18" spans="1:19" ht="29" x14ac:dyDescent="0.35">
      <c r="A18" s="20" t="s">
        <v>29</v>
      </c>
      <c r="B18" s="20" t="s">
        <v>36</v>
      </c>
      <c r="C18" s="21">
        <f>M8+M16</f>
        <v>176.94</v>
      </c>
      <c r="D18" s="21">
        <f>N8+Vietnam_child_LPG</f>
        <v>9.92</v>
      </c>
      <c r="E18" s="21">
        <f>O8+Vietnam_child_LPG</f>
        <v>34.82</v>
      </c>
      <c r="F18" s="21">
        <f>P8+Vietnam_child_LPG</f>
        <v>52.18</v>
      </c>
      <c r="G18" s="21">
        <f>Q8+Vietnam_child_LPG</f>
        <v>40.74</v>
      </c>
      <c r="H18" s="21">
        <f>R8+Vietnam_child_LPG</f>
        <v>125.82</v>
      </c>
      <c r="I18" s="21">
        <f>S8+Vietnam_child_LPG</f>
        <v>171.31</v>
      </c>
      <c r="J18" s="21">
        <f>T8+Vietnam_child_LPG</f>
        <v>201.77</v>
      </c>
    </row>
    <row r="19" spans="1:19" ht="29" x14ac:dyDescent="0.35">
      <c r="A19" s="20" t="s">
        <v>27</v>
      </c>
      <c r="B19" s="20" t="s">
        <v>60</v>
      </c>
      <c r="C19">
        <f>M6</f>
        <v>32.58</v>
      </c>
      <c r="D19">
        <f>N6</f>
        <v>8.66</v>
      </c>
      <c r="E19">
        <f t="shared" ref="E19:J21" si="0">O6</f>
        <v>13.09</v>
      </c>
      <c r="F19">
        <f t="shared" si="0"/>
        <v>14.63</v>
      </c>
      <c r="G19">
        <f t="shared" si="0"/>
        <v>13.63</v>
      </c>
      <c r="H19">
        <f t="shared" si="0"/>
        <v>23.04</v>
      </c>
      <c r="I19">
        <f t="shared" si="0"/>
        <v>31.32</v>
      </c>
      <c r="J19">
        <f t="shared" si="0"/>
        <v>38.93</v>
      </c>
    </row>
    <row r="20" spans="1:19" ht="29" x14ac:dyDescent="0.35">
      <c r="A20" s="20" t="s">
        <v>28</v>
      </c>
      <c r="B20" s="20" t="s">
        <v>60</v>
      </c>
      <c r="C20">
        <f>M7</f>
        <v>78.95</v>
      </c>
      <c r="D20">
        <f t="shared" ref="D20:D21" si="1">N7</f>
        <v>9.39</v>
      </c>
      <c r="E20">
        <f t="shared" si="0"/>
        <v>16.760000000000002</v>
      </c>
      <c r="F20">
        <f t="shared" si="0"/>
        <v>21.96</v>
      </c>
      <c r="G20">
        <f t="shared" si="0"/>
        <v>18.440000000000001</v>
      </c>
      <c r="H20">
        <f t="shared" si="0"/>
        <v>50.72</v>
      </c>
      <c r="I20">
        <f t="shared" si="0"/>
        <v>75.39</v>
      </c>
      <c r="J20">
        <f t="shared" si="0"/>
        <v>96.24</v>
      </c>
    </row>
    <row r="21" spans="1:19" ht="29" x14ac:dyDescent="0.35">
      <c r="A21" s="20" t="s">
        <v>29</v>
      </c>
      <c r="B21" s="20" t="s">
        <v>60</v>
      </c>
      <c r="C21">
        <f>M8</f>
        <v>176.94</v>
      </c>
      <c r="D21">
        <f t="shared" si="1"/>
        <v>9.92</v>
      </c>
      <c r="E21">
        <f t="shared" si="0"/>
        <v>34.82</v>
      </c>
      <c r="F21">
        <f t="shared" si="0"/>
        <v>52.18</v>
      </c>
      <c r="G21">
        <f t="shared" si="0"/>
        <v>40.74</v>
      </c>
      <c r="H21">
        <f t="shared" si="0"/>
        <v>125.82</v>
      </c>
      <c r="I21">
        <f t="shared" si="0"/>
        <v>171.31</v>
      </c>
      <c r="J21">
        <f t="shared" si="0"/>
        <v>201.77</v>
      </c>
    </row>
  </sheetData>
  <mergeCells count="3">
    <mergeCell ref="L2:T2"/>
    <mergeCell ref="M10:O10"/>
    <mergeCell ref="Q10:S1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4E8E-1F73-4F49-BCAE-426C30E4F741}">
  <dimension ref="A1:H8"/>
  <sheetViews>
    <sheetView workbookViewId="0">
      <selection activeCell="F8" sqref="F8:H8"/>
    </sheetView>
  </sheetViews>
  <sheetFormatPr defaultRowHeight="14.5" x14ac:dyDescent="0.35"/>
  <sheetData>
    <row r="1" spans="1:8" ht="14.5" customHeight="1" x14ac:dyDescent="0.35">
      <c r="A1" s="1" t="s">
        <v>15</v>
      </c>
      <c r="B1" s="4" t="s">
        <v>0</v>
      </c>
      <c r="C1" s="5"/>
      <c r="D1" s="6"/>
      <c r="E1" s="1" t="s">
        <v>14</v>
      </c>
      <c r="F1" s="4" t="s">
        <v>0</v>
      </c>
      <c r="G1" s="5"/>
      <c r="H1" s="6"/>
    </row>
    <row r="2" spans="1:8" ht="58" x14ac:dyDescent="0.35">
      <c r="A2" s="2" t="s">
        <v>1</v>
      </c>
      <c r="B2" s="3" t="s">
        <v>2</v>
      </c>
      <c r="C2" s="3" t="s">
        <v>3</v>
      </c>
      <c r="D2" s="3" t="s">
        <v>4</v>
      </c>
      <c r="E2" s="2" t="s">
        <v>1</v>
      </c>
      <c r="F2" s="3" t="s">
        <v>2</v>
      </c>
      <c r="G2" s="3" t="s">
        <v>3</v>
      </c>
      <c r="H2" s="3" t="s">
        <v>4</v>
      </c>
    </row>
    <row r="3" spans="1:8" ht="29" x14ac:dyDescent="0.35">
      <c r="A3" s="3" t="s">
        <v>5</v>
      </c>
      <c r="B3">
        <v>3490.1411273601202</v>
      </c>
      <c r="C3">
        <v>2109.3422696023499</v>
      </c>
      <c r="D3">
        <v>5587.3880059619696</v>
      </c>
      <c r="E3" s="3" t="s">
        <v>5</v>
      </c>
      <c r="F3">
        <v>3617.6895109182201</v>
      </c>
      <c r="G3">
        <v>2067.7789401547502</v>
      </c>
      <c r="H3">
        <v>5244.9882329248903</v>
      </c>
    </row>
    <row r="4" spans="1:8" ht="29" x14ac:dyDescent="0.35">
      <c r="A4" s="3" t="s">
        <v>6</v>
      </c>
      <c r="B4">
        <v>1334.4158486562201</v>
      </c>
      <c r="C4">
        <v>801.49969641631401</v>
      </c>
      <c r="D4">
        <v>2123.8202037801502</v>
      </c>
      <c r="E4" s="3" t="s">
        <v>6</v>
      </c>
      <c r="F4">
        <v>1385.3314100416301</v>
      </c>
      <c r="G4">
        <v>763.04314113951</v>
      </c>
      <c r="H4">
        <v>1987.9993333919899</v>
      </c>
    </row>
    <row r="5" spans="1:8" x14ac:dyDescent="0.35">
      <c r="A5" s="3" t="s">
        <v>7</v>
      </c>
      <c r="B5">
        <v>72.772263557979002</v>
      </c>
      <c r="C5">
        <v>49.282962927612402</v>
      </c>
      <c r="D5">
        <v>109.95972422983201</v>
      </c>
      <c r="E5" s="3" t="s">
        <v>7</v>
      </c>
      <c r="F5">
        <v>63.480896894242598</v>
      </c>
      <c r="G5">
        <v>35.658878668726203</v>
      </c>
      <c r="H5">
        <v>91.414857518495097</v>
      </c>
    </row>
    <row r="6" spans="1:8" ht="43.5" x14ac:dyDescent="0.35">
      <c r="A6" s="3" t="s">
        <v>8</v>
      </c>
      <c r="B6">
        <v>26.070540501906098</v>
      </c>
      <c r="C6">
        <v>20.441216345970599</v>
      </c>
      <c r="D6">
        <v>34.416254592117397</v>
      </c>
      <c r="E6" s="3" t="s">
        <v>8</v>
      </c>
      <c r="F6">
        <v>14.6309574110812</v>
      </c>
      <c r="G6">
        <v>8.0848410441557306</v>
      </c>
      <c r="H6">
        <v>20.904319234429</v>
      </c>
    </row>
    <row r="7" spans="1:8" x14ac:dyDescent="0.35">
      <c r="A7" s="3" t="s">
        <v>9</v>
      </c>
      <c r="B7">
        <v>14.6856898528907</v>
      </c>
      <c r="C7">
        <v>13.629703770602401</v>
      </c>
      <c r="D7">
        <v>16.219891368699798</v>
      </c>
      <c r="E7" s="3" t="s">
        <v>9</v>
      </c>
      <c r="F7">
        <v>4.0706089890663399</v>
      </c>
      <c r="G7">
        <v>2.2719390690658998</v>
      </c>
      <c r="H7">
        <v>5.9237023219276699</v>
      </c>
    </row>
    <row r="8" spans="1:8" x14ac:dyDescent="0.35">
      <c r="A8" s="3" t="s">
        <v>10</v>
      </c>
      <c r="B8">
        <v>12</v>
      </c>
      <c r="C8">
        <v>12</v>
      </c>
      <c r="D8">
        <v>12</v>
      </c>
      <c r="E8" s="3" t="s">
        <v>10</v>
      </c>
      <c r="F8">
        <v>0</v>
      </c>
      <c r="G8">
        <v>0</v>
      </c>
      <c r="H8">
        <v>0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B3507-0A07-45BF-83A1-C866CE856EC7}">
  <dimension ref="A1:H8"/>
  <sheetViews>
    <sheetView workbookViewId="0">
      <selection activeCell="B3" sqref="B3:D8"/>
    </sheetView>
  </sheetViews>
  <sheetFormatPr defaultRowHeight="14.5" x14ac:dyDescent="0.35"/>
  <sheetData>
    <row r="1" spans="1:8" ht="29" x14ac:dyDescent="0.35">
      <c r="A1" s="1" t="s">
        <v>15</v>
      </c>
      <c r="B1" s="4" t="s">
        <v>12</v>
      </c>
      <c r="C1" s="5"/>
      <c r="D1" s="6"/>
      <c r="E1" s="1" t="s">
        <v>14</v>
      </c>
      <c r="F1" s="4" t="s">
        <v>0</v>
      </c>
      <c r="G1" s="5"/>
      <c r="H1" s="6"/>
    </row>
    <row r="2" spans="1:8" ht="58" x14ac:dyDescent="0.35">
      <c r="A2" s="2" t="s">
        <v>1</v>
      </c>
      <c r="B2" s="3" t="s">
        <v>2</v>
      </c>
      <c r="C2" s="3" t="s">
        <v>3</v>
      </c>
      <c r="D2" s="3" t="s">
        <v>4</v>
      </c>
      <c r="E2" s="2" t="s">
        <v>1</v>
      </c>
      <c r="F2" s="3" t="s">
        <v>2</v>
      </c>
      <c r="G2" s="3" t="s">
        <v>3</v>
      </c>
      <c r="H2" s="3" t="s">
        <v>4</v>
      </c>
    </row>
    <row r="3" spans="1:8" ht="29" x14ac:dyDescent="0.35">
      <c r="A3" s="3" t="s">
        <v>5</v>
      </c>
      <c r="B3">
        <v>194</v>
      </c>
      <c r="C3">
        <v>192</v>
      </c>
      <c r="D3">
        <v>196</v>
      </c>
      <c r="E3" s="3" t="s">
        <v>5</v>
      </c>
      <c r="F3">
        <v>33.630000000000003</v>
      </c>
      <c r="G3">
        <v>34.159999999999997</v>
      </c>
      <c r="H3">
        <v>35.22</v>
      </c>
    </row>
    <row r="4" spans="1:8" ht="29" x14ac:dyDescent="0.35">
      <c r="A4" s="3" t="s">
        <v>6</v>
      </c>
      <c r="B4">
        <v>186</v>
      </c>
      <c r="C4">
        <v>178</v>
      </c>
      <c r="D4">
        <v>191</v>
      </c>
      <c r="E4" s="3" t="s">
        <v>6</v>
      </c>
      <c r="F4">
        <v>36.32</v>
      </c>
      <c r="G4">
        <v>37.299999999999997</v>
      </c>
      <c r="H4">
        <v>35.32</v>
      </c>
    </row>
    <row r="5" spans="1:8" x14ac:dyDescent="0.35">
      <c r="A5" s="3" t="s">
        <v>7</v>
      </c>
      <c r="B5">
        <v>66</v>
      </c>
      <c r="C5">
        <v>46</v>
      </c>
      <c r="D5">
        <v>92</v>
      </c>
      <c r="E5" s="3" t="s">
        <v>7</v>
      </c>
      <c r="F5">
        <v>44.66</v>
      </c>
      <c r="G5">
        <v>33.35</v>
      </c>
      <c r="H5">
        <v>47.41</v>
      </c>
    </row>
    <row r="6" spans="1:8" ht="43.5" x14ac:dyDescent="0.35">
      <c r="A6" s="3" t="s">
        <v>8</v>
      </c>
      <c r="B6">
        <v>20</v>
      </c>
      <c r="C6">
        <v>12</v>
      </c>
      <c r="D6">
        <v>30</v>
      </c>
      <c r="E6" s="3" t="s">
        <v>8</v>
      </c>
      <c r="F6">
        <v>19.350000000000001</v>
      </c>
      <c r="G6">
        <v>12.08</v>
      </c>
      <c r="H6">
        <v>25.7</v>
      </c>
    </row>
    <row r="7" spans="1:8" x14ac:dyDescent="0.35">
      <c r="A7" s="3" t="s">
        <v>9</v>
      </c>
      <c r="B7">
        <v>4</v>
      </c>
      <c r="C7">
        <v>3</v>
      </c>
      <c r="D7">
        <v>6</v>
      </c>
      <c r="E7" s="3" t="s">
        <v>9</v>
      </c>
      <c r="F7">
        <v>6.52</v>
      </c>
      <c r="G7">
        <v>4.0999999999999996</v>
      </c>
      <c r="H7">
        <v>8.9499999999999993</v>
      </c>
    </row>
    <row r="8" spans="1:8" x14ac:dyDescent="0.35">
      <c r="A8" s="3" t="s">
        <v>10</v>
      </c>
      <c r="B8">
        <v>1</v>
      </c>
      <c r="C8">
        <v>1</v>
      </c>
      <c r="D8">
        <v>1</v>
      </c>
      <c r="E8" s="3" t="s">
        <v>10</v>
      </c>
      <c r="F8">
        <v>2.3199999999999998</v>
      </c>
      <c r="G8">
        <v>2.4900000000000002</v>
      </c>
      <c r="H8">
        <v>2.27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C0CF-DA5C-414D-BA3C-9693E5118EA2}">
  <dimension ref="A1:B8"/>
  <sheetViews>
    <sheetView topLeftCell="A3" workbookViewId="0">
      <selection activeCell="I10" sqref="I10"/>
    </sheetView>
  </sheetViews>
  <sheetFormatPr defaultRowHeight="14.5" x14ac:dyDescent="0.35"/>
  <sheetData>
    <row r="1" spans="1:2" ht="29" x14ac:dyDescent="0.35">
      <c r="A1" s="1"/>
      <c r="B1" s="2" t="s">
        <v>0</v>
      </c>
    </row>
    <row r="2" spans="1:2" ht="130.5" x14ac:dyDescent="0.35">
      <c r="A2" s="2" t="s">
        <v>1</v>
      </c>
      <c r="B2" s="3" t="s">
        <v>16</v>
      </c>
    </row>
    <row r="3" spans="1:2" ht="29" x14ac:dyDescent="0.35">
      <c r="A3" s="3" t="s">
        <v>5</v>
      </c>
      <c r="B3">
        <v>1.1220000000000001</v>
      </c>
    </row>
    <row r="4" spans="1:2" ht="29" x14ac:dyDescent="0.35">
      <c r="A4" s="3" t="s">
        <v>6</v>
      </c>
      <c r="B4">
        <v>1.351</v>
      </c>
    </row>
    <row r="5" spans="1:2" x14ac:dyDescent="0.35">
      <c r="A5" s="3" t="s">
        <v>7</v>
      </c>
      <c r="B5">
        <v>1</v>
      </c>
    </row>
    <row r="6" spans="1:2" ht="43.5" x14ac:dyDescent="0.35">
      <c r="A6" s="3" t="s">
        <v>8</v>
      </c>
      <c r="B6">
        <v>1</v>
      </c>
    </row>
    <row r="7" spans="1:2" x14ac:dyDescent="0.35">
      <c r="A7" s="3" t="s">
        <v>9</v>
      </c>
      <c r="B7">
        <v>1.0009999999999999</v>
      </c>
    </row>
    <row r="8" spans="1:2" x14ac:dyDescent="0.35">
      <c r="A8" s="3" t="s">
        <v>10</v>
      </c>
      <c r="B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8E80-5789-4F17-834B-4ACA044313C2}">
  <dimension ref="A1:S13"/>
  <sheetViews>
    <sheetView workbookViewId="0">
      <selection activeCell="K13" sqref="K13:P13"/>
    </sheetView>
  </sheetViews>
  <sheetFormatPr defaultRowHeight="14.5" x14ac:dyDescent="0.35"/>
  <sheetData>
    <row r="1" spans="1:19" x14ac:dyDescent="0.35">
      <c r="A1" s="1" t="s">
        <v>15</v>
      </c>
      <c r="B1" s="22" t="s">
        <v>37</v>
      </c>
      <c r="C1" s="22"/>
      <c r="D1" s="22"/>
      <c r="E1" s="24" t="s">
        <v>38</v>
      </c>
      <c r="F1" s="24"/>
      <c r="G1" s="24"/>
      <c r="H1" t="s">
        <v>41</v>
      </c>
      <c r="K1" s="26" t="s">
        <v>39</v>
      </c>
      <c r="L1" s="26"/>
      <c r="M1" s="26"/>
      <c r="N1" s="28" t="s">
        <v>40</v>
      </c>
      <c r="O1" s="28"/>
      <c r="P1" s="28"/>
      <c r="Q1" t="s">
        <v>42</v>
      </c>
    </row>
    <row r="2" spans="1:19" ht="58" x14ac:dyDescent="0.35">
      <c r="B2" s="23" t="s">
        <v>2</v>
      </c>
      <c r="C2" s="23" t="s">
        <v>3</v>
      </c>
      <c r="D2" s="23" t="s">
        <v>4</v>
      </c>
      <c r="E2" s="25" t="s">
        <v>2</v>
      </c>
      <c r="F2" s="25" t="s">
        <v>3</v>
      </c>
      <c r="G2" s="25" t="s">
        <v>4</v>
      </c>
      <c r="H2" s="3" t="s">
        <v>2</v>
      </c>
      <c r="I2" s="3" t="s">
        <v>3</v>
      </c>
      <c r="J2" s="3" t="s">
        <v>4</v>
      </c>
      <c r="K2" s="27" t="s">
        <v>2</v>
      </c>
      <c r="L2" s="27" t="s">
        <v>3</v>
      </c>
      <c r="M2" s="27" t="s">
        <v>4</v>
      </c>
      <c r="N2" s="29" t="s">
        <v>2</v>
      </c>
      <c r="O2" s="29" t="s">
        <v>3</v>
      </c>
      <c r="P2" s="29" t="s">
        <v>4</v>
      </c>
      <c r="Q2" s="3" t="s">
        <v>2</v>
      </c>
      <c r="R2" s="3" t="s">
        <v>3</v>
      </c>
      <c r="S2" s="3" t="s">
        <v>4</v>
      </c>
    </row>
    <row r="3" spans="1:19" ht="29" x14ac:dyDescent="0.35">
      <c r="A3" s="2" t="s">
        <v>1</v>
      </c>
      <c r="B3" s="22"/>
      <c r="C3" s="22"/>
      <c r="D3" s="22"/>
      <c r="E3" s="24"/>
      <c r="F3" s="24"/>
      <c r="G3" s="24"/>
      <c r="K3" s="26"/>
      <c r="L3" s="26"/>
      <c r="M3" s="26"/>
      <c r="N3" s="28"/>
      <c r="O3" s="28"/>
      <c r="P3" s="28"/>
    </row>
    <row r="4" spans="1:19" ht="29" x14ac:dyDescent="0.35">
      <c r="A4" s="3" t="s">
        <v>5</v>
      </c>
      <c r="B4" s="22">
        <f>'Uganda Adults PM DALYs'!B3</f>
        <v>122</v>
      </c>
      <c r="C4" s="22">
        <f>'Uganda Adults PM DALYs'!C3</f>
        <v>116</v>
      </c>
      <c r="D4" s="22">
        <f>'Uganda Adults PM DALYs'!D3</f>
        <v>128</v>
      </c>
      <c r="E4" s="24">
        <f>'Uganda Child PM DALYs'!B3</f>
        <v>194</v>
      </c>
      <c r="F4" s="24">
        <f>'Uganda Child PM DALYs'!C3</f>
        <v>192</v>
      </c>
      <c r="G4" s="24">
        <f>'Uganda Child PM DALYs'!D3</f>
        <v>196</v>
      </c>
      <c r="H4">
        <f>E4/(B4+E4)</f>
        <v>0.61392405063291144</v>
      </c>
      <c r="I4">
        <f t="shared" ref="I4:J9" si="0">F4/(C4+F4)</f>
        <v>0.62337662337662336</v>
      </c>
      <c r="J4">
        <f t="shared" si="0"/>
        <v>0.60493827160493829</v>
      </c>
      <c r="K4" s="26">
        <f>'Vietnam Adults PM DALYs'!B3</f>
        <v>261</v>
      </c>
      <c r="L4" s="26">
        <f>'Vietnam Adults PM DALYs'!C3</f>
        <v>244</v>
      </c>
      <c r="M4" s="26">
        <f>'Vietnam Adults PM DALYs'!D3</f>
        <v>277</v>
      </c>
      <c r="N4" s="28">
        <f>'Vietnam Child PM DALYs'!B3</f>
        <v>21</v>
      </c>
      <c r="O4" s="28">
        <f>'Vietnam Child PM DALYs'!C3</f>
        <v>20</v>
      </c>
      <c r="P4" s="28">
        <f>'Vietnam Child PM DALYs'!D3</f>
        <v>21</v>
      </c>
      <c r="Q4">
        <f>(N4/(K4+N4))</f>
        <v>7.4468085106382975E-2</v>
      </c>
      <c r="R4">
        <f t="shared" ref="R4:S9" si="1">(O4/(L4+O4))</f>
        <v>7.575757575757576E-2</v>
      </c>
      <c r="S4">
        <f t="shared" si="1"/>
        <v>7.0469798657718116E-2</v>
      </c>
    </row>
    <row r="5" spans="1:19" ht="29" x14ac:dyDescent="0.35">
      <c r="A5" s="3" t="s">
        <v>6</v>
      </c>
      <c r="B5" s="22">
        <f>'Uganda Adults PM DALYs'!B4</f>
        <v>109</v>
      </c>
      <c r="C5" s="22">
        <f>'Uganda Adults PM DALYs'!C4</f>
        <v>102</v>
      </c>
      <c r="D5" s="22">
        <f>'Uganda Adults PM DALYs'!D4</f>
        <v>116</v>
      </c>
      <c r="E5" s="24">
        <f>'Uganda Child PM DALYs'!B4</f>
        <v>186</v>
      </c>
      <c r="F5" s="24">
        <f>'Uganda Child PM DALYs'!C4</f>
        <v>178</v>
      </c>
      <c r="G5" s="24">
        <f>'Uganda Child PM DALYs'!D4</f>
        <v>191</v>
      </c>
      <c r="H5">
        <f t="shared" ref="H5:H9" si="2">E5/(B5+E5)</f>
        <v>0.63050847457627124</v>
      </c>
      <c r="I5">
        <f t="shared" si="0"/>
        <v>0.63571428571428568</v>
      </c>
      <c r="J5">
        <f t="shared" si="0"/>
        <v>0.62214983713355054</v>
      </c>
      <c r="K5" s="26">
        <f>'Vietnam Adults PM DALYs'!B4</f>
        <v>226</v>
      </c>
      <c r="L5" s="26">
        <f>'Vietnam Adults PM DALYs'!C4</f>
        <v>213</v>
      </c>
      <c r="M5" s="26">
        <f>'Vietnam Adults PM DALYs'!D4</f>
        <v>246</v>
      </c>
      <c r="N5" s="28">
        <f>'Vietnam Child PM DALYs'!B4</f>
        <v>19</v>
      </c>
      <c r="O5" s="28">
        <f>'Vietnam Child PM DALYs'!C4</f>
        <v>19</v>
      </c>
      <c r="P5" s="28">
        <f>'Vietnam Child PM DALYs'!D4</f>
        <v>20</v>
      </c>
      <c r="Q5">
        <f t="shared" ref="Q5:Q9" si="3">(N5/(K5+N5))</f>
        <v>7.7551020408163265E-2</v>
      </c>
      <c r="R5">
        <f t="shared" si="1"/>
        <v>8.1896551724137928E-2</v>
      </c>
      <c r="S5">
        <f t="shared" si="1"/>
        <v>7.5187969924812026E-2</v>
      </c>
    </row>
    <row r="6" spans="1:19" x14ac:dyDescent="0.35">
      <c r="A6" s="3" t="s">
        <v>7</v>
      </c>
      <c r="B6" s="22">
        <f>'Uganda Adults PM DALYs'!B5</f>
        <v>51</v>
      </c>
      <c r="C6" s="22">
        <f>'Uganda Adults PM DALYs'!C5</f>
        <v>42</v>
      </c>
      <c r="D6" s="22">
        <f>'Uganda Adults PM DALYs'!D5</f>
        <v>63</v>
      </c>
      <c r="E6" s="24">
        <f>'Uganda Child PM DALYs'!B5</f>
        <v>66</v>
      </c>
      <c r="F6" s="24">
        <f>'Uganda Child PM DALYs'!C5</f>
        <v>46</v>
      </c>
      <c r="G6" s="24">
        <f>'Uganda Child PM DALYs'!D5</f>
        <v>92</v>
      </c>
      <c r="H6">
        <f t="shared" si="2"/>
        <v>0.5641025641025641</v>
      </c>
      <c r="I6">
        <f t="shared" si="0"/>
        <v>0.52272727272727271</v>
      </c>
      <c r="J6">
        <f t="shared" si="0"/>
        <v>0.59354838709677415</v>
      </c>
      <c r="K6" s="26">
        <f>'Vietnam Adults PM DALYs'!B5</f>
        <v>97</v>
      </c>
      <c r="L6" s="26">
        <f>'Vietnam Adults PM DALYs'!C5</f>
        <v>71</v>
      </c>
      <c r="M6" s="26">
        <f>'Vietnam Adults PM DALYs'!D5</f>
        <v>121</v>
      </c>
      <c r="N6" s="28">
        <f>'Vietnam Child PM DALYs'!B5</f>
        <v>6</v>
      </c>
      <c r="O6" s="28">
        <f>'Vietnam Child PM DALYs'!C5</f>
        <v>4</v>
      </c>
      <c r="P6" s="28">
        <f>'Vietnam Child PM DALYs'!D5</f>
        <v>8</v>
      </c>
      <c r="Q6">
        <f t="shared" si="3"/>
        <v>5.8252427184466021E-2</v>
      </c>
      <c r="R6">
        <f t="shared" si="1"/>
        <v>5.3333333333333337E-2</v>
      </c>
      <c r="S6">
        <f t="shared" si="1"/>
        <v>6.2015503875968991E-2</v>
      </c>
    </row>
    <row r="7" spans="1:19" ht="43.5" x14ac:dyDescent="0.35">
      <c r="A7" s="3" t="s">
        <v>8</v>
      </c>
      <c r="B7" s="22">
        <f>'Uganda Adults PM DALYs'!B6</f>
        <v>22</v>
      </c>
      <c r="C7" s="22">
        <f>'Uganda Adults PM DALYs'!C6</f>
        <v>14</v>
      </c>
      <c r="D7" s="22">
        <f>'Uganda Adults PM DALYs'!D6</f>
        <v>31</v>
      </c>
      <c r="E7" s="24">
        <f>'Uganda Child PM DALYs'!B6</f>
        <v>20</v>
      </c>
      <c r="F7" s="24">
        <f>'Uganda Child PM DALYs'!C6</f>
        <v>12</v>
      </c>
      <c r="G7" s="24">
        <f>'Uganda Child PM DALYs'!D6</f>
        <v>30</v>
      </c>
      <c r="H7">
        <f t="shared" si="2"/>
        <v>0.47619047619047616</v>
      </c>
      <c r="I7">
        <f t="shared" si="0"/>
        <v>0.46153846153846156</v>
      </c>
      <c r="J7">
        <f t="shared" si="0"/>
        <v>0.49180327868852458</v>
      </c>
      <c r="K7" s="26">
        <f>'Vietnam Adults PM DALYs'!B6</f>
        <v>33</v>
      </c>
      <c r="L7" s="26">
        <f>'Vietnam Adults PM DALYs'!C6</f>
        <v>19</v>
      </c>
      <c r="M7" s="26">
        <f>'Vietnam Adults PM DALYs'!D6</f>
        <v>50</v>
      </c>
      <c r="N7" s="28">
        <f>'Vietnam Child PM DALYs'!B6</f>
        <v>2</v>
      </c>
      <c r="O7" s="28">
        <f>'Vietnam Child PM DALYs'!C6</f>
        <v>1</v>
      </c>
      <c r="P7" s="28">
        <f>'Vietnam Child PM DALYs'!D6</f>
        <v>3</v>
      </c>
      <c r="Q7">
        <f t="shared" si="3"/>
        <v>5.7142857142857141E-2</v>
      </c>
      <c r="R7">
        <f t="shared" si="1"/>
        <v>0.05</v>
      </c>
      <c r="S7">
        <f t="shared" si="1"/>
        <v>5.6603773584905662E-2</v>
      </c>
    </row>
    <row r="8" spans="1:19" x14ac:dyDescent="0.35">
      <c r="A8" s="3" t="s">
        <v>9</v>
      </c>
      <c r="B8" s="22">
        <f>'Uganda Adults PM DALYs'!B7</f>
        <v>4</v>
      </c>
      <c r="C8" s="22">
        <f>'Uganda Adults PM DALYs'!C7</f>
        <v>2</v>
      </c>
      <c r="D8" s="22">
        <f>'Uganda Adults PM DALYs'!D7</f>
        <v>6</v>
      </c>
      <c r="E8" s="24">
        <f>'Uganda Child PM DALYs'!B7</f>
        <v>4</v>
      </c>
      <c r="F8" s="24">
        <f>'Uganda Child PM DALYs'!C7</f>
        <v>3</v>
      </c>
      <c r="G8" s="24">
        <f>'Uganda Child PM DALYs'!D7</f>
        <v>6</v>
      </c>
      <c r="H8">
        <f t="shared" si="2"/>
        <v>0.5</v>
      </c>
      <c r="I8">
        <f t="shared" si="0"/>
        <v>0.6</v>
      </c>
      <c r="J8">
        <f t="shared" si="0"/>
        <v>0.5</v>
      </c>
      <c r="K8" s="26">
        <f>'Vietnam Adults PM DALYs'!B7</f>
        <v>4</v>
      </c>
      <c r="L8" s="26">
        <f>'Vietnam Adults PM DALYs'!C7</f>
        <v>2</v>
      </c>
      <c r="M8" s="26">
        <f>'Vietnam Adults PM DALYs'!D7</f>
        <v>8</v>
      </c>
      <c r="N8" s="28">
        <f>'Vietnam Child PM DALYs'!B7</f>
        <v>0</v>
      </c>
      <c r="O8" s="28">
        <f>'Vietnam Child PM DALYs'!C7</f>
        <v>0</v>
      </c>
      <c r="P8" s="28">
        <f>'Vietnam Child PM DALYs'!D7</f>
        <v>0</v>
      </c>
      <c r="Q8">
        <f t="shared" si="3"/>
        <v>0</v>
      </c>
      <c r="R8">
        <f t="shared" si="1"/>
        <v>0</v>
      </c>
      <c r="S8">
        <f t="shared" si="1"/>
        <v>0</v>
      </c>
    </row>
    <row r="9" spans="1:19" x14ac:dyDescent="0.35">
      <c r="A9" s="3" t="s">
        <v>10</v>
      </c>
      <c r="B9" s="22" t="str">
        <f>'Uganda Adults PM DALYs'!B8</f>
        <v>0 </v>
      </c>
      <c r="C9" s="22" t="str">
        <f>'Uganda Adults PM DALYs'!C8</f>
        <v>0 </v>
      </c>
      <c r="D9" s="22" t="str">
        <f>'Uganda Adults PM DALYs'!D8</f>
        <v>0 </v>
      </c>
      <c r="E9" s="24">
        <f>'Uganda Child PM DALYs'!B8</f>
        <v>1</v>
      </c>
      <c r="F9" s="24">
        <f>'Uganda Child PM DALYs'!C8</f>
        <v>1</v>
      </c>
      <c r="G9" s="24">
        <f>'Uganda Child PM DALYs'!D8</f>
        <v>1</v>
      </c>
      <c r="H9" t="e">
        <f t="shared" si="2"/>
        <v>#VALUE!</v>
      </c>
      <c r="I9" t="e">
        <f t="shared" si="0"/>
        <v>#VALUE!</v>
      </c>
      <c r="J9" t="e">
        <f t="shared" si="0"/>
        <v>#VALUE!</v>
      </c>
      <c r="K9" s="26" t="str">
        <f>'Vietnam Adults PM DALYs'!B8</f>
        <v>0 </v>
      </c>
      <c r="L9" s="26" t="str">
        <f>'Vietnam Adults PM DALYs'!C8</f>
        <v>0 </v>
      </c>
      <c r="M9" s="26" t="str">
        <f>'Vietnam Adults PM DALYs'!D8</f>
        <v>0 </v>
      </c>
      <c r="N9" s="28" t="str">
        <f>'Vietnam Child PM DALYs'!B8</f>
        <v>0 </v>
      </c>
      <c r="O9" s="28" t="str">
        <f>'Vietnam Child PM DALYs'!C8</f>
        <v>0 </v>
      </c>
      <c r="P9" s="28" t="str">
        <f>'Vietnam Child PM DALYs'!D8</f>
        <v>0 </v>
      </c>
      <c r="Q9" t="e">
        <f t="shared" si="3"/>
        <v>#VALUE!</v>
      </c>
      <c r="R9" t="e">
        <f t="shared" si="1"/>
        <v>#VALUE!</v>
      </c>
      <c r="S9" t="e">
        <f t="shared" si="1"/>
        <v>#VALUE!</v>
      </c>
    </row>
    <row r="10" spans="1:19" ht="58" x14ac:dyDescent="0.35">
      <c r="A10" s="31" t="s">
        <v>43</v>
      </c>
      <c r="B10" s="22">
        <f>(B5-B4)/B4</f>
        <v>-0.10655737704918032</v>
      </c>
      <c r="C10" s="22">
        <f t="shared" ref="C10:S10" si="4">(C5-C4)/C4</f>
        <v>-0.1206896551724138</v>
      </c>
      <c r="D10" s="22">
        <f t="shared" si="4"/>
        <v>-9.375E-2</v>
      </c>
      <c r="E10" s="24">
        <f>(E5-E4)/E4</f>
        <v>-4.1237113402061855E-2</v>
      </c>
      <c r="F10" s="24">
        <f t="shared" si="4"/>
        <v>-7.2916666666666671E-2</v>
      </c>
      <c r="G10" s="24">
        <f t="shared" si="4"/>
        <v>-2.5510204081632654E-2</v>
      </c>
      <c r="H10">
        <f t="shared" si="4"/>
        <v>2.7013803948977805E-2</v>
      </c>
      <c r="I10">
        <f t="shared" si="4"/>
        <v>1.9791666666666628E-2</v>
      </c>
      <c r="J10">
        <f t="shared" si="4"/>
        <v>2.8451771588114124E-2</v>
      </c>
      <c r="K10" s="26">
        <f t="shared" si="4"/>
        <v>-0.13409961685823754</v>
      </c>
      <c r="L10" s="26">
        <f t="shared" si="4"/>
        <v>-0.12704918032786885</v>
      </c>
      <c r="M10" s="26">
        <f t="shared" si="4"/>
        <v>-0.11191335740072202</v>
      </c>
      <c r="N10" s="28">
        <f t="shared" si="4"/>
        <v>-9.5238095238095233E-2</v>
      </c>
      <c r="O10" s="28">
        <f t="shared" si="4"/>
        <v>-0.05</v>
      </c>
      <c r="P10" s="28">
        <f t="shared" si="4"/>
        <v>-4.7619047619047616E-2</v>
      </c>
      <c r="Q10">
        <f t="shared" si="4"/>
        <v>4.139941690962104E-2</v>
      </c>
      <c r="R10">
        <f t="shared" si="4"/>
        <v>8.1034482758620616E-2</v>
      </c>
      <c r="S10">
        <f t="shared" si="4"/>
        <v>6.6953097028285002E-2</v>
      </c>
    </row>
    <row r="11" spans="1:19" ht="58" x14ac:dyDescent="0.35">
      <c r="A11" s="31" t="s">
        <v>43</v>
      </c>
      <c r="B11" s="30">
        <f>B10*100</f>
        <v>-10.655737704918032</v>
      </c>
      <c r="C11" s="30">
        <f t="shared" ref="C11:H11" si="5">C10*100</f>
        <v>-12.068965517241379</v>
      </c>
      <c r="D11" s="30">
        <f t="shared" si="5"/>
        <v>-9.375</v>
      </c>
      <c r="E11" s="30">
        <f t="shared" si="5"/>
        <v>-4.1237113402061851</v>
      </c>
      <c r="F11" s="30">
        <f t="shared" si="5"/>
        <v>-7.291666666666667</v>
      </c>
      <c r="G11" s="30">
        <f t="shared" si="5"/>
        <v>-2.5510204081632653</v>
      </c>
      <c r="H11">
        <f t="shared" si="5"/>
        <v>2.7013803948977806</v>
      </c>
      <c r="I11">
        <f t="shared" ref="I11" si="6">I10*100</f>
        <v>1.9791666666666627</v>
      </c>
      <c r="J11">
        <f t="shared" ref="J11" si="7">J10*100</f>
        <v>2.8451771588114125</v>
      </c>
      <c r="K11" s="30">
        <f t="shared" ref="K11" si="8">K10*100</f>
        <v>-13.409961685823754</v>
      </c>
      <c r="L11" s="30">
        <f t="shared" ref="L11" si="9">L10*100</f>
        <v>-12.704918032786885</v>
      </c>
      <c r="M11" s="30">
        <f t="shared" ref="M11:N11" si="10">M10*100</f>
        <v>-11.191335740072201</v>
      </c>
      <c r="N11" s="30">
        <f t="shared" si="10"/>
        <v>-9.5238095238095237</v>
      </c>
      <c r="O11" s="30">
        <f t="shared" ref="O11" si="11">O10*100</f>
        <v>-5</v>
      </c>
      <c r="P11" s="30">
        <f t="shared" ref="P11" si="12">P10*100</f>
        <v>-4.7619047619047619</v>
      </c>
    </row>
    <row r="12" spans="1:19" ht="43.5" x14ac:dyDescent="0.35">
      <c r="A12" s="31" t="s">
        <v>44</v>
      </c>
      <c r="B12">
        <f>(B8-B4)/B4</f>
        <v>-0.96721311475409832</v>
      </c>
      <c r="C12">
        <f t="shared" ref="C12:P12" si="13">(C8-C4)/C4</f>
        <v>-0.98275862068965514</v>
      </c>
      <c r="D12">
        <f t="shared" si="13"/>
        <v>-0.953125</v>
      </c>
      <c r="E12">
        <f t="shared" si="13"/>
        <v>-0.97938144329896903</v>
      </c>
      <c r="F12">
        <f t="shared" si="13"/>
        <v>-0.984375</v>
      </c>
      <c r="G12">
        <f t="shared" si="13"/>
        <v>-0.96938775510204078</v>
      </c>
      <c r="H12">
        <f t="shared" si="13"/>
        <v>-0.18556701030927841</v>
      </c>
      <c r="I12">
        <f t="shared" si="13"/>
        <v>-3.7500000000000012E-2</v>
      </c>
      <c r="J12">
        <f t="shared" si="13"/>
        <v>-0.17346938775510207</v>
      </c>
      <c r="K12">
        <f t="shared" si="13"/>
        <v>-0.98467432950191569</v>
      </c>
      <c r="L12">
        <f t="shared" si="13"/>
        <v>-0.99180327868852458</v>
      </c>
      <c r="M12">
        <f t="shared" si="13"/>
        <v>-0.97111913357400725</v>
      </c>
      <c r="N12">
        <f t="shared" si="13"/>
        <v>-1</v>
      </c>
      <c r="O12">
        <f t="shared" si="13"/>
        <v>-1</v>
      </c>
      <c r="P12">
        <f t="shared" si="13"/>
        <v>-1</v>
      </c>
    </row>
    <row r="13" spans="1:19" ht="43.5" x14ac:dyDescent="0.35">
      <c r="A13" s="31" t="s">
        <v>44</v>
      </c>
      <c r="B13">
        <f>B12*100</f>
        <v>-96.721311475409834</v>
      </c>
      <c r="C13">
        <f t="shared" ref="C13:G13" si="14">C12*100</f>
        <v>-98.275862068965509</v>
      </c>
      <c r="D13">
        <f t="shared" si="14"/>
        <v>-95.3125</v>
      </c>
      <c r="E13">
        <f t="shared" si="14"/>
        <v>-97.9381443298969</v>
      </c>
      <c r="F13">
        <f t="shared" si="14"/>
        <v>-98.4375</v>
      </c>
      <c r="G13">
        <f t="shared" si="14"/>
        <v>-96.938775510204081</v>
      </c>
      <c r="K13">
        <f>K12*100</f>
        <v>-98.467432950191565</v>
      </c>
      <c r="L13">
        <f t="shared" ref="L13:P13" si="15">L12*100</f>
        <v>-99.180327868852459</v>
      </c>
      <c r="M13">
        <f t="shared" si="15"/>
        <v>-97.111913357400724</v>
      </c>
      <c r="N13">
        <f t="shared" si="15"/>
        <v>-100</v>
      </c>
      <c r="O13">
        <f t="shared" si="15"/>
        <v>-100</v>
      </c>
      <c r="P13">
        <f t="shared" si="15"/>
        <v>-100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F48E-D634-4E8C-9771-6AF58206751D}">
  <dimension ref="A1:H8"/>
  <sheetViews>
    <sheetView workbookViewId="0">
      <selection activeCell="E12" sqref="E12"/>
    </sheetView>
  </sheetViews>
  <sheetFormatPr defaultRowHeight="14.5" x14ac:dyDescent="0.35"/>
  <sheetData>
    <row r="1" spans="1:8" ht="29" x14ac:dyDescent="0.35">
      <c r="A1" s="7" t="s">
        <v>15</v>
      </c>
      <c r="B1" s="8" t="s">
        <v>0</v>
      </c>
      <c r="C1" s="8"/>
      <c r="D1" s="8"/>
      <c r="E1" s="7" t="s">
        <v>14</v>
      </c>
      <c r="F1" s="8" t="s">
        <v>0</v>
      </c>
      <c r="G1" s="8"/>
      <c r="H1" s="8"/>
    </row>
    <row r="2" spans="1:8" ht="58" x14ac:dyDescent="0.35">
      <c r="A2" s="9" t="s">
        <v>1</v>
      </c>
      <c r="B2" s="10" t="s">
        <v>2</v>
      </c>
      <c r="C2" s="10" t="s">
        <v>3</v>
      </c>
      <c r="D2" s="10" t="s">
        <v>4</v>
      </c>
      <c r="E2" s="9" t="s">
        <v>1</v>
      </c>
      <c r="F2" s="10" t="s">
        <v>2</v>
      </c>
      <c r="G2" s="10" t="s">
        <v>3</v>
      </c>
      <c r="H2" s="10" t="s">
        <v>4</v>
      </c>
    </row>
    <row r="3" spans="1:8" ht="29" x14ac:dyDescent="0.35">
      <c r="A3" s="10" t="s">
        <v>5</v>
      </c>
      <c r="B3" s="11">
        <v>261</v>
      </c>
      <c r="C3" s="11">
        <v>244</v>
      </c>
      <c r="D3" s="11">
        <v>277</v>
      </c>
      <c r="E3" s="10" t="s">
        <v>5</v>
      </c>
      <c r="F3" s="11">
        <v>38.19</v>
      </c>
      <c r="G3" s="11">
        <v>38.61</v>
      </c>
      <c r="H3" s="11">
        <v>34.08</v>
      </c>
    </row>
    <row r="4" spans="1:8" ht="29" x14ac:dyDescent="0.35">
      <c r="A4" s="10" t="s">
        <v>6</v>
      </c>
      <c r="B4" s="11">
        <v>226</v>
      </c>
      <c r="C4" s="11">
        <v>213</v>
      </c>
      <c r="D4" s="11">
        <v>246</v>
      </c>
      <c r="E4" s="10" t="s">
        <v>6</v>
      </c>
      <c r="F4" s="11">
        <v>43.36</v>
      </c>
      <c r="G4" s="11">
        <v>42.41</v>
      </c>
      <c r="H4" s="11">
        <v>38.909999999999997</v>
      </c>
    </row>
    <row r="5" spans="1:8" x14ac:dyDescent="0.35">
      <c r="A5" s="10" t="s">
        <v>7</v>
      </c>
      <c r="B5" s="11">
        <v>97</v>
      </c>
      <c r="C5" s="11">
        <v>71</v>
      </c>
      <c r="D5" s="11">
        <v>121</v>
      </c>
      <c r="E5" s="10" t="s">
        <v>7</v>
      </c>
      <c r="F5" s="11">
        <v>53.73</v>
      </c>
      <c r="G5" s="11">
        <v>42.74</v>
      </c>
      <c r="H5" s="11">
        <v>51.96</v>
      </c>
    </row>
    <row r="6" spans="1:8" ht="43.5" x14ac:dyDescent="0.35">
      <c r="A6" s="10" t="s">
        <v>8</v>
      </c>
      <c r="B6" s="11">
        <v>33</v>
      </c>
      <c r="C6" s="11">
        <v>19</v>
      </c>
      <c r="D6" s="11">
        <v>50</v>
      </c>
      <c r="E6" s="10" t="s">
        <v>8</v>
      </c>
      <c r="F6" s="11">
        <v>29.66</v>
      </c>
      <c r="G6" s="11">
        <v>19.45</v>
      </c>
      <c r="H6" s="11">
        <v>35.89</v>
      </c>
    </row>
    <row r="7" spans="1:8" x14ac:dyDescent="0.35">
      <c r="A7" s="10" t="s">
        <v>9</v>
      </c>
      <c r="B7" s="11">
        <v>4</v>
      </c>
      <c r="C7" s="11">
        <v>2</v>
      </c>
      <c r="D7" s="11">
        <v>8</v>
      </c>
      <c r="E7" s="10" t="s">
        <v>9</v>
      </c>
      <c r="F7" s="11">
        <v>8.75</v>
      </c>
      <c r="G7" s="11">
        <v>4.9800000000000004</v>
      </c>
      <c r="H7" s="11">
        <v>12.9</v>
      </c>
    </row>
    <row r="8" spans="1:8" x14ac:dyDescent="0.35">
      <c r="A8" s="10" t="s">
        <v>10</v>
      </c>
      <c r="B8" s="10" t="s">
        <v>11</v>
      </c>
      <c r="C8" s="10" t="s">
        <v>11</v>
      </c>
      <c r="D8" s="10" t="s">
        <v>11</v>
      </c>
      <c r="E8" s="10" t="s">
        <v>10</v>
      </c>
      <c r="F8" s="10" t="s">
        <v>11</v>
      </c>
      <c r="G8" s="10" t="s">
        <v>11</v>
      </c>
      <c r="H8" s="10" t="s">
        <v>11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66BE-37BB-471B-AB9C-15772F5E8515}">
  <dimension ref="A1:H10"/>
  <sheetViews>
    <sheetView workbookViewId="0">
      <selection activeCell="B10" sqref="B10:D10"/>
    </sheetView>
  </sheetViews>
  <sheetFormatPr defaultRowHeight="14.5" x14ac:dyDescent="0.35"/>
  <sheetData>
    <row r="1" spans="1:8" ht="29" x14ac:dyDescent="0.35">
      <c r="A1" s="12" t="s">
        <v>15</v>
      </c>
      <c r="B1" s="8" t="s">
        <v>0</v>
      </c>
      <c r="C1" s="8"/>
      <c r="D1" s="8"/>
      <c r="E1" s="12" t="s">
        <v>14</v>
      </c>
      <c r="F1" s="8" t="s">
        <v>0</v>
      </c>
      <c r="G1" s="8"/>
      <c r="H1" s="8"/>
    </row>
    <row r="2" spans="1:8" ht="58" x14ac:dyDescent="0.35">
      <c r="A2" s="13" t="s">
        <v>1</v>
      </c>
      <c r="B2" s="14" t="s">
        <v>2</v>
      </c>
      <c r="C2" s="14" t="s">
        <v>3</v>
      </c>
      <c r="D2" s="14" t="s">
        <v>4</v>
      </c>
      <c r="E2" s="13" t="s">
        <v>1</v>
      </c>
      <c r="F2" s="14" t="s">
        <v>2</v>
      </c>
      <c r="G2" s="14" t="s">
        <v>3</v>
      </c>
      <c r="H2" s="14" t="s">
        <v>4</v>
      </c>
    </row>
    <row r="3" spans="1:8" ht="29" x14ac:dyDescent="0.35">
      <c r="A3" s="14" t="s">
        <v>5</v>
      </c>
      <c r="B3" s="15">
        <v>21</v>
      </c>
      <c r="C3" s="15">
        <v>20</v>
      </c>
      <c r="D3" s="15">
        <v>21</v>
      </c>
      <c r="E3" s="14" t="s">
        <v>5</v>
      </c>
      <c r="F3" s="15">
        <v>3.43</v>
      </c>
      <c r="G3" s="15">
        <v>3.58</v>
      </c>
      <c r="H3" s="15">
        <v>3.49</v>
      </c>
    </row>
    <row r="4" spans="1:8" ht="29" x14ac:dyDescent="0.35">
      <c r="A4" s="14" t="s">
        <v>6</v>
      </c>
      <c r="B4" s="15">
        <v>19</v>
      </c>
      <c r="C4" s="15">
        <v>19</v>
      </c>
      <c r="D4" s="15">
        <v>20</v>
      </c>
      <c r="E4" s="14" t="s">
        <v>6</v>
      </c>
      <c r="F4" s="15">
        <v>4.0199999999999996</v>
      </c>
      <c r="G4" s="15">
        <v>4.3</v>
      </c>
      <c r="H4" s="15">
        <v>3.51</v>
      </c>
    </row>
    <row r="5" spans="1:8" x14ac:dyDescent="0.35">
      <c r="A5" s="14" t="s">
        <v>7</v>
      </c>
      <c r="B5" s="15">
        <v>6</v>
      </c>
      <c r="C5" s="15">
        <v>4</v>
      </c>
      <c r="D5" s="15">
        <v>8</v>
      </c>
      <c r="E5" s="14" t="s">
        <v>7</v>
      </c>
      <c r="F5" s="15">
        <v>4.3099999999999996</v>
      </c>
      <c r="G5" s="15">
        <v>3.22</v>
      </c>
      <c r="H5" s="15">
        <v>5.18</v>
      </c>
    </row>
    <row r="6" spans="1:8" ht="43.5" x14ac:dyDescent="0.35">
      <c r="A6" s="14" t="s">
        <v>8</v>
      </c>
      <c r="B6" s="15">
        <v>2</v>
      </c>
      <c r="C6" s="15">
        <v>1</v>
      </c>
      <c r="D6" s="15">
        <v>3</v>
      </c>
      <c r="E6" s="14" t="s">
        <v>8</v>
      </c>
      <c r="F6" s="15">
        <v>1.78</v>
      </c>
      <c r="G6" s="15">
        <v>1.01</v>
      </c>
      <c r="H6" s="15">
        <v>2.29</v>
      </c>
    </row>
    <row r="7" spans="1:8" x14ac:dyDescent="0.35">
      <c r="A7" s="14" t="s">
        <v>9</v>
      </c>
      <c r="B7" s="15">
        <v>0</v>
      </c>
      <c r="C7" s="15">
        <v>0</v>
      </c>
      <c r="D7" s="15">
        <v>0</v>
      </c>
      <c r="E7" s="14" t="s">
        <v>9</v>
      </c>
      <c r="F7" s="15">
        <v>0.51</v>
      </c>
      <c r="G7" s="15">
        <v>0.31</v>
      </c>
      <c r="H7" s="15">
        <v>0.67</v>
      </c>
    </row>
    <row r="8" spans="1:8" x14ac:dyDescent="0.35">
      <c r="A8" s="14" t="s">
        <v>10</v>
      </c>
      <c r="B8" s="14" t="s">
        <v>11</v>
      </c>
      <c r="C8" s="14" t="s">
        <v>11</v>
      </c>
      <c r="D8" s="14" t="s">
        <v>11</v>
      </c>
      <c r="E8" s="14" t="s">
        <v>10</v>
      </c>
      <c r="F8" s="15">
        <v>0.16</v>
      </c>
      <c r="G8" s="15">
        <v>0.16</v>
      </c>
      <c r="H8" s="15">
        <v>0.16</v>
      </c>
    </row>
    <row r="10" spans="1:8" x14ac:dyDescent="0.35">
      <c r="B10">
        <f>(B4-B3)/B3</f>
        <v>-9.5238095238095233E-2</v>
      </c>
      <c r="C10">
        <f t="shared" ref="C10:D10" si="0">(C4-C3)/C3</f>
        <v>-0.05</v>
      </c>
      <c r="D10">
        <f t="shared" si="0"/>
        <v>-4.7619047619047616E-2</v>
      </c>
    </row>
  </sheetData>
  <mergeCells count="2">
    <mergeCell ref="B1:D1"/>
    <mergeCell ref="F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B7F15-BBCE-491F-A95E-FD413A3E8394}">
  <dimension ref="A1:S12"/>
  <sheetViews>
    <sheetView workbookViewId="0">
      <selection activeCell="Q4" sqref="Q4"/>
    </sheetView>
  </sheetViews>
  <sheetFormatPr defaultRowHeight="14.5" x14ac:dyDescent="0.35"/>
  <sheetData>
    <row r="1" spans="1:19" x14ac:dyDescent="0.35">
      <c r="A1" s="16" t="s">
        <v>13</v>
      </c>
      <c r="B1" s="16"/>
      <c r="C1" s="16"/>
      <c r="D1" s="16"/>
      <c r="E1" s="16"/>
      <c r="F1" s="16"/>
      <c r="G1" s="16"/>
      <c r="H1" s="16"/>
      <c r="I1" s="16"/>
      <c r="L1" t="s">
        <v>51</v>
      </c>
    </row>
    <row r="2" spans="1:19" ht="58" x14ac:dyDescent="0.35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K2" s="14" t="s">
        <v>17</v>
      </c>
      <c r="L2" s="14" t="s">
        <v>18</v>
      </c>
      <c r="M2" s="14" t="s">
        <v>19</v>
      </c>
      <c r="N2" s="14" t="s">
        <v>20</v>
      </c>
      <c r="O2" s="14" t="s">
        <v>21</v>
      </c>
      <c r="P2" s="14" t="s">
        <v>22</v>
      </c>
      <c r="Q2" s="14" t="s">
        <v>23</v>
      </c>
      <c r="R2" s="14" t="s">
        <v>24</v>
      </c>
      <c r="S2" s="14" t="s">
        <v>25</v>
      </c>
    </row>
    <row r="3" spans="1:19" x14ac:dyDescent="0.35">
      <c r="A3" s="14" t="s">
        <v>26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K3" s="14" t="s">
        <v>26</v>
      </c>
    </row>
    <row r="4" spans="1:19" x14ac:dyDescent="0.35">
      <c r="A4" s="14" t="s">
        <v>27</v>
      </c>
      <c r="B4" s="15">
        <v>75.959999999999994</v>
      </c>
      <c r="C4" s="15">
        <v>19.260000000000002</v>
      </c>
      <c r="D4" s="15">
        <v>28.83</v>
      </c>
      <c r="E4" s="15">
        <v>33.479999999999997</v>
      </c>
      <c r="F4" s="15">
        <v>30.41</v>
      </c>
      <c r="G4" s="15">
        <v>54.5</v>
      </c>
      <c r="H4" s="15">
        <v>73.14</v>
      </c>
      <c r="I4" s="15">
        <v>90.2</v>
      </c>
      <c r="J4">
        <f>(C4-H4)/H4</f>
        <v>-0.73666940114848234</v>
      </c>
      <c r="K4" s="14" t="s">
        <v>27</v>
      </c>
      <c r="L4">
        <f>B10/B4</f>
        <v>1.379410215903107</v>
      </c>
      <c r="M4">
        <f t="shared" ref="M4:S6" si="0">C10/C4</f>
        <v>1.0010384215991692</v>
      </c>
      <c r="N4">
        <f t="shared" si="0"/>
        <v>1.3302115851543532</v>
      </c>
      <c r="O4">
        <f t="shared" si="0"/>
        <v>1.4955197132616489</v>
      </c>
      <c r="P4">
        <f t="shared" si="0"/>
        <v>1.3883590924038145</v>
      </c>
      <c r="Q4" s="34">
        <f t="shared" si="0"/>
        <v>1.5398165137614679</v>
      </c>
      <c r="R4">
        <f t="shared" si="0"/>
        <v>1.400054689636314</v>
      </c>
      <c r="S4">
        <f t="shared" si="0"/>
        <v>1.2838137472283813</v>
      </c>
    </row>
    <row r="5" spans="1:19" x14ac:dyDescent="0.35">
      <c r="A5" s="14" t="s">
        <v>28</v>
      </c>
      <c r="B5" s="15">
        <v>184.41</v>
      </c>
      <c r="C5" s="15">
        <v>19.59</v>
      </c>
      <c r="D5" s="15">
        <v>39.1</v>
      </c>
      <c r="E5" s="15">
        <v>51.86</v>
      </c>
      <c r="F5" s="15">
        <v>43.25</v>
      </c>
      <c r="G5" s="15">
        <v>119.32</v>
      </c>
      <c r="H5" s="15">
        <v>176.2</v>
      </c>
      <c r="I5" s="15">
        <v>224.26</v>
      </c>
      <c r="J5">
        <f t="shared" ref="J5:J6" si="1">(C5-H5)/H5</f>
        <v>-0.88881952326901248</v>
      </c>
      <c r="K5" s="14" t="s">
        <v>28</v>
      </c>
      <c r="L5">
        <f t="shared" ref="L5:L6" si="2">B11/B5</f>
        <v>0.85152648988666557</v>
      </c>
      <c r="M5">
        <f t="shared" si="0"/>
        <v>1.0040837161817255</v>
      </c>
      <c r="N5">
        <f t="shared" si="0"/>
        <v>1.4997442455242966</v>
      </c>
      <c r="O5">
        <f t="shared" si="0"/>
        <v>1.4598920169687619</v>
      </c>
      <c r="P5">
        <f t="shared" si="0"/>
        <v>1.4873988439306358</v>
      </c>
      <c r="Q5">
        <f t="shared" si="0"/>
        <v>1.0969661414683205</v>
      </c>
      <c r="R5">
        <f t="shared" si="0"/>
        <v>0.87553916004540311</v>
      </c>
      <c r="S5">
        <f t="shared" si="0"/>
        <v>0.7530544903237314</v>
      </c>
    </row>
    <row r="6" spans="1:19" x14ac:dyDescent="0.35">
      <c r="A6" s="14" t="s">
        <v>29</v>
      </c>
      <c r="B6" s="15">
        <v>391.21</v>
      </c>
      <c r="C6" s="15">
        <v>22.76</v>
      </c>
      <c r="D6" s="15">
        <v>68.28</v>
      </c>
      <c r="E6" s="15">
        <v>105.44</v>
      </c>
      <c r="F6" s="15">
        <v>80.55</v>
      </c>
      <c r="G6" s="15">
        <v>276.35000000000002</v>
      </c>
      <c r="H6" s="15">
        <v>378.76</v>
      </c>
      <c r="I6" s="15">
        <v>445.88</v>
      </c>
      <c r="J6">
        <f t="shared" si="1"/>
        <v>-0.93990917731545043</v>
      </c>
      <c r="K6" s="14" t="s">
        <v>29</v>
      </c>
      <c r="L6">
        <f t="shared" si="2"/>
        <v>0.48866337772551827</v>
      </c>
      <c r="M6">
        <f t="shared" si="0"/>
        <v>0.82864674868189803</v>
      </c>
      <c r="N6">
        <f t="shared" si="0"/>
        <v>1.3075571177504393</v>
      </c>
      <c r="O6">
        <f t="shared" si="0"/>
        <v>1.1353376327769347</v>
      </c>
      <c r="P6">
        <f t="shared" si="0"/>
        <v>1.2532588454376166</v>
      </c>
      <c r="Q6">
        <f t="shared" si="0"/>
        <v>0.6616609372172968</v>
      </c>
      <c r="R6">
        <f t="shared" si="0"/>
        <v>0.50477875171612629</v>
      </c>
      <c r="S6" s="34">
        <f t="shared" si="0"/>
        <v>0.42448640889925543</v>
      </c>
    </row>
    <row r="7" spans="1:19" x14ac:dyDescent="0.35">
      <c r="A7" s="17" t="s">
        <v>30</v>
      </c>
      <c r="B7" s="17"/>
      <c r="C7" s="17"/>
      <c r="D7" s="17"/>
      <c r="E7" s="17"/>
      <c r="F7" s="17"/>
      <c r="G7" s="17"/>
      <c r="H7" s="17"/>
      <c r="I7" s="17"/>
    </row>
    <row r="8" spans="1:19" ht="58" x14ac:dyDescent="0.35">
      <c r="A8" s="14" t="s">
        <v>17</v>
      </c>
      <c r="B8" s="14" t="s">
        <v>18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</row>
    <row r="9" spans="1:19" x14ac:dyDescent="0.35">
      <c r="A9" s="14" t="s">
        <v>26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</row>
    <row r="10" spans="1:19" x14ac:dyDescent="0.35">
      <c r="A10" s="14" t="s">
        <v>27</v>
      </c>
      <c r="B10" s="15">
        <v>104.78</v>
      </c>
      <c r="C10" s="15">
        <v>19.28</v>
      </c>
      <c r="D10" s="15">
        <v>38.35</v>
      </c>
      <c r="E10" s="15">
        <v>50.07</v>
      </c>
      <c r="F10" s="15">
        <v>42.22</v>
      </c>
      <c r="G10" s="15">
        <v>83.92</v>
      </c>
      <c r="H10" s="15">
        <v>102.4</v>
      </c>
      <c r="I10" s="15">
        <v>115.8</v>
      </c>
    </row>
    <row r="11" spans="1:19" x14ac:dyDescent="0.35">
      <c r="A11" s="14" t="s">
        <v>28</v>
      </c>
      <c r="B11" s="15">
        <v>157.03</v>
      </c>
      <c r="C11" s="15">
        <v>19.670000000000002</v>
      </c>
      <c r="D11" s="15">
        <v>58.64</v>
      </c>
      <c r="E11" s="15">
        <v>75.709999999999994</v>
      </c>
      <c r="F11" s="15">
        <v>64.33</v>
      </c>
      <c r="G11" s="15">
        <v>130.88999999999999</v>
      </c>
      <c r="H11" s="15">
        <v>154.27000000000001</v>
      </c>
      <c r="I11" s="15">
        <v>168.88</v>
      </c>
    </row>
    <row r="12" spans="1:19" x14ac:dyDescent="0.35">
      <c r="A12" s="14" t="s">
        <v>29</v>
      </c>
      <c r="B12" s="15">
        <v>191.17</v>
      </c>
      <c r="C12" s="15">
        <v>18.86</v>
      </c>
      <c r="D12" s="15">
        <v>89.28</v>
      </c>
      <c r="E12" s="15">
        <v>119.71</v>
      </c>
      <c r="F12" s="15">
        <v>100.95</v>
      </c>
      <c r="G12" s="15">
        <v>182.85</v>
      </c>
      <c r="H12" s="15">
        <v>191.19</v>
      </c>
      <c r="I12" s="15">
        <v>189.27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EE527-DF65-4DE3-AEDB-9FFEA5212ABB}">
  <dimension ref="A1:T12"/>
  <sheetViews>
    <sheetView tabSelected="1" workbookViewId="0">
      <selection sqref="A1:I6"/>
    </sheetView>
  </sheetViews>
  <sheetFormatPr defaultRowHeight="14.5" x14ac:dyDescent="0.35"/>
  <sheetData>
    <row r="1" spans="1:20" x14ac:dyDescent="0.35">
      <c r="A1" s="18" t="s">
        <v>13</v>
      </c>
      <c r="B1" s="18"/>
      <c r="C1" s="18"/>
      <c r="D1" s="18"/>
      <c r="E1" s="18"/>
      <c r="F1" s="18"/>
      <c r="G1" s="18"/>
      <c r="H1" s="18"/>
      <c r="I1" s="18"/>
      <c r="M1" t="s">
        <v>51</v>
      </c>
    </row>
    <row r="2" spans="1:20" ht="58" x14ac:dyDescent="0.35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L2" s="14" t="s">
        <v>17</v>
      </c>
      <c r="M2" s="14" t="s">
        <v>18</v>
      </c>
      <c r="N2" s="14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4" t="s">
        <v>24</v>
      </c>
      <c r="T2" s="14" t="s">
        <v>25</v>
      </c>
    </row>
    <row r="3" spans="1:20" x14ac:dyDescent="0.35">
      <c r="A3" s="14" t="s">
        <v>26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L3" s="14" t="s">
        <v>26</v>
      </c>
      <c r="M3" t="e">
        <f>B9/B3</f>
        <v>#DIV/0!</v>
      </c>
    </row>
    <row r="4" spans="1:20" x14ac:dyDescent="0.35">
      <c r="A4" s="14" t="s">
        <v>27</v>
      </c>
      <c r="B4" s="15">
        <v>219.6</v>
      </c>
      <c r="C4" s="15">
        <v>50.95</v>
      </c>
      <c r="D4" s="15">
        <v>77.08</v>
      </c>
      <c r="E4" s="15">
        <v>87.78</v>
      </c>
      <c r="F4" s="15">
        <v>80.77</v>
      </c>
      <c r="G4" s="15">
        <v>146.88999999999999</v>
      </c>
      <c r="H4" s="15">
        <v>209.75</v>
      </c>
      <c r="I4" s="15">
        <v>269.75</v>
      </c>
      <c r="J4">
        <f>(C4-H4)/H4</f>
        <v>-0.75709177592371879</v>
      </c>
      <c r="L4" s="14" t="s">
        <v>27</v>
      </c>
      <c r="M4">
        <f t="shared" ref="M4:M7" si="0">B10/B4</f>
        <v>1.3667122040072859</v>
      </c>
      <c r="N4">
        <f t="shared" ref="N4:N6" si="1">C10/C4</f>
        <v>1.148577036310108</v>
      </c>
      <c r="O4">
        <f t="shared" ref="O4:O6" si="2">D10/D4</f>
        <v>1.6105345096004151</v>
      </c>
      <c r="P4" s="34">
        <f t="shared" ref="P4:P6" si="3">E10/E4</f>
        <v>1.6780587833219414</v>
      </c>
      <c r="Q4">
        <f t="shared" ref="Q4:Q6" si="4">F10/F4</f>
        <v>1.641698650489043</v>
      </c>
      <c r="R4">
        <f t="shared" ref="R4:R6" si="5">G10/G4</f>
        <v>1.53318809993873</v>
      </c>
      <c r="S4">
        <f t="shared" ref="S4:S6" si="6">H10/H4</f>
        <v>1.3849344457687724</v>
      </c>
      <c r="T4">
        <f t="shared" ref="T4:T6" si="7">I10/I4</f>
        <v>1.280593141797961</v>
      </c>
    </row>
    <row r="5" spans="1:20" x14ac:dyDescent="0.35">
      <c r="A5" s="14" t="s">
        <v>28</v>
      </c>
      <c r="B5" s="15">
        <v>582.70000000000005</v>
      </c>
      <c r="C5" s="15">
        <v>54.66</v>
      </c>
      <c r="D5" s="15">
        <v>118.88</v>
      </c>
      <c r="E5" s="15">
        <v>160.49</v>
      </c>
      <c r="F5" s="15">
        <v>132.82</v>
      </c>
      <c r="G5" s="15">
        <v>377.4</v>
      </c>
      <c r="H5" s="15">
        <v>557.6</v>
      </c>
      <c r="I5" s="15">
        <v>701.11</v>
      </c>
      <c r="J5">
        <f>(C5-H5)/H5</f>
        <v>-0.90197274031563857</v>
      </c>
      <c r="L5" s="14" t="s">
        <v>28</v>
      </c>
      <c r="M5">
        <f t="shared" si="0"/>
        <v>0.90444482581088026</v>
      </c>
      <c r="N5">
        <f t="shared" si="1"/>
        <v>1.0479326747164288</v>
      </c>
      <c r="O5">
        <f t="shared" si="2"/>
        <v>1.6537685060565277</v>
      </c>
      <c r="P5">
        <f t="shared" si="3"/>
        <v>1.5879494049473486</v>
      </c>
      <c r="Q5">
        <f t="shared" si="4"/>
        <v>1.6449329920192741</v>
      </c>
      <c r="R5">
        <f t="shared" si="5"/>
        <v>1.1311870694223636</v>
      </c>
      <c r="S5">
        <f t="shared" si="6"/>
        <v>0.92650645624103301</v>
      </c>
      <c r="T5">
        <f t="shared" si="7"/>
        <v>0.81485073668896457</v>
      </c>
    </row>
    <row r="6" spans="1:20" x14ac:dyDescent="0.35">
      <c r="A6" s="14" t="s">
        <v>29</v>
      </c>
      <c r="B6" s="15">
        <v>1167.99</v>
      </c>
      <c r="C6" s="15">
        <v>57.88</v>
      </c>
      <c r="D6" s="15">
        <v>232.11</v>
      </c>
      <c r="E6" s="15">
        <v>360.59</v>
      </c>
      <c r="F6" s="15">
        <v>275.25</v>
      </c>
      <c r="G6" s="15">
        <v>867.64</v>
      </c>
      <c r="H6" s="15">
        <v>1136.6300000000001</v>
      </c>
      <c r="I6" s="15">
        <v>1302.9000000000001</v>
      </c>
      <c r="J6">
        <f t="shared" ref="J5:J6" si="8">(C6-H6)/H6</f>
        <v>-0.94907753622550861</v>
      </c>
      <c r="L6" s="14" t="s">
        <v>29</v>
      </c>
      <c r="M6">
        <f t="shared" si="0"/>
        <v>0.60086987046121965</v>
      </c>
      <c r="N6">
        <f t="shared" si="1"/>
        <v>1.0148583275742917</v>
      </c>
      <c r="O6">
        <f t="shared" si="2"/>
        <v>1.4057128085821375</v>
      </c>
      <c r="P6">
        <f t="shared" si="3"/>
        <v>1.1595440805346793</v>
      </c>
      <c r="Q6">
        <f t="shared" si="4"/>
        <v>1.3058673932788374</v>
      </c>
      <c r="R6">
        <f t="shared" si="5"/>
        <v>0.72708727121847772</v>
      </c>
      <c r="S6">
        <f t="shared" si="6"/>
        <v>0.61140388692890391</v>
      </c>
      <c r="T6" s="34">
        <f t="shared" si="7"/>
        <v>0.56219970834292732</v>
      </c>
    </row>
    <row r="7" spans="1:20" x14ac:dyDescent="0.35">
      <c r="A7" s="19" t="s">
        <v>30</v>
      </c>
      <c r="B7" s="19"/>
      <c r="C7" s="19"/>
      <c r="D7" s="19"/>
      <c r="E7" s="19"/>
      <c r="F7" s="19"/>
      <c r="G7" s="19"/>
      <c r="H7" s="19"/>
      <c r="I7" s="19"/>
    </row>
    <row r="8" spans="1:20" ht="58" x14ac:dyDescent="0.35">
      <c r="A8" s="14" t="s">
        <v>17</v>
      </c>
      <c r="B8" s="14" t="s">
        <v>18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</row>
    <row r="9" spans="1:20" x14ac:dyDescent="0.35">
      <c r="A9" s="14" t="s">
        <v>26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</row>
    <row r="10" spans="1:20" x14ac:dyDescent="0.35">
      <c r="A10" s="14" t="s">
        <v>27</v>
      </c>
      <c r="B10" s="15">
        <v>300.13</v>
      </c>
      <c r="C10" s="15">
        <v>58.52</v>
      </c>
      <c r="D10" s="15">
        <v>124.14</v>
      </c>
      <c r="E10" s="15">
        <v>147.30000000000001</v>
      </c>
      <c r="F10" s="15">
        <v>132.6</v>
      </c>
      <c r="G10" s="15">
        <v>225.21</v>
      </c>
      <c r="H10" s="15">
        <v>290.49</v>
      </c>
      <c r="I10" s="15">
        <v>345.44</v>
      </c>
    </row>
    <row r="11" spans="1:20" x14ac:dyDescent="0.35">
      <c r="A11" s="14" t="s">
        <v>28</v>
      </c>
      <c r="B11" s="15">
        <v>527.02</v>
      </c>
      <c r="C11" s="15">
        <v>57.28</v>
      </c>
      <c r="D11" s="15">
        <v>196.6</v>
      </c>
      <c r="E11" s="15">
        <v>254.85</v>
      </c>
      <c r="F11" s="15">
        <v>218.48</v>
      </c>
      <c r="G11" s="15">
        <v>426.91</v>
      </c>
      <c r="H11" s="15">
        <v>516.62</v>
      </c>
      <c r="I11" s="15">
        <v>571.29999999999995</v>
      </c>
    </row>
    <row r="12" spans="1:20" x14ac:dyDescent="0.35">
      <c r="A12" s="14" t="s">
        <v>29</v>
      </c>
      <c r="B12" s="15">
        <v>701.81</v>
      </c>
      <c r="C12" s="15">
        <v>58.74</v>
      </c>
      <c r="D12" s="15">
        <v>326.27999999999997</v>
      </c>
      <c r="E12" s="15">
        <v>418.12</v>
      </c>
      <c r="F12" s="15">
        <v>359.44</v>
      </c>
      <c r="G12" s="15">
        <v>630.85</v>
      </c>
      <c r="H12" s="15">
        <v>694.94</v>
      </c>
      <c r="I12" s="15">
        <v>732.49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EAEAE-ECC9-44A6-8CC3-9D5F82F1D41D}">
  <dimension ref="A1:S12"/>
  <sheetViews>
    <sheetView workbookViewId="0">
      <selection activeCell="S6" sqref="S6"/>
    </sheetView>
  </sheetViews>
  <sheetFormatPr defaultRowHeight="14.5" x14ac:dyDescent="0.35"/>
  <sheetData>
    <row r="1" spans="1:19" x14ac:dyDescent="0.35">
      <c r="A1" s="16" t="s">
        <v>13</v>
      </c>
      <c r="B1" s="16"/>
      <c r="C1" s="16"/>
      <c r="D1" s="16"/>
      <c r="E1" s="16"/>
      <c r="F1" s="16"/>
      <c r="G1" s="16"/>
      <c r="H1" s="16"/>
      <c r="I1" s="16"/>
      <c r="L1" t="s">
        <v>51</v>
      </c>
    </row>
    <row r="2" spans="1:19" ht="58" x14ac:dyDescent="0.35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K2" s="14" t="s">
        <v>17</v>
      </c>
      <c r="L2" s="14" t="s">
        <v>18</v>
      </c>
      <c r="M2" s="14" t="s">
        <v>19</v>
      </c>
      <c r="N2" s="14" t="s">
        <v>20</v>
      </c>
      <c r="O2" s="14" t="s">
        <v>21</v>
      </c>
      <c r="P2" s="14" t="s">
        <v>22</v>
      </c>
      <c r="Q2" s="14" t="s">
        <v>23</v>
      </c>
      <c r="R2" s="14" t="s">
        <v>24</v>
      </c>
      <c r="S2" s="14" t="s">
        <v>25</v>
      </c>
    </row>
    <row r="3" spans="1:19" x14ac:dyDescent="0.35">
      <c r="A3" s="14" t="s">
        <v>26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K3" s="14" t="s">
        <v>26</v>
      </c>
    </row>
    <row r="4" spans="1:19" x14ac:dyDescent="0.35">
      <c r="A4" s="14" t="s">
        <v>27</v>
      </c>
      <c r="B4" s="15">
        <v>242.66</v>
      </c>
      <c r="C4" s="15">
        <v>54.8</v>
      </c>
      <c r="D4" s="15">
        <v>90.34</v>
      </c>
      <c r="E4" s="15">
        <v>102.76</v>
      </c>
      <c r="F4" s="15">
        <v>94.7</v>
      </c>
      <c r="G4" s="15">
        <v>168.25</v>
      </c>
      <c r="H4" s="15">
        <v>232.69</v>
      </c>
      <c r="I4" s="15">
        <v>293.56</v>
      </c>
      <c r="J4">
        <f>(C4-H4)/H4</f>
        <v>-0.76449353216726113</v>
      </c>
      <c r="K4" s="14" t="s">
        <v>27</v>
      </c>
      <c r="L4">
        <f>B10/B4</f>
        <v>1.4684744086375998</v>
      </c>
      <c r="M4">
        <f t="shared" ref="M4:S4" si="0">C10/C4</f>
        <v>1.1947080291970804</v>
      </c>
      <c r="N4">
        <f t="shared" si="0"/>
        <v>1.747288023024131</v>
      </c>
      <c r="O4">
        <f t="shared" si="0"/>
        <v>1.7936940443752432</v>
      </c>
      <c r="P4">
        <f t="shared" si="0"/>
        <v>1.7794086589229143</v>
      </c>
      <c r="Q4">
        <f t="shared" si="0"/>
        <v>1.6378008915304607</v>
      </c>
      <c r="R4">
        <f t="shared" si="0"/>
        <v>1.487945334995058</v>
      </c>
      <c r="S4">
        <f t="shared" si="0"/>
        <v>1.3800245265022482</v>
      </c>
    </row>
    <row r="5" spans="1:19" x14ac:dyDescent="0.35">
      <c r="A5" s="14" t="s">
        <v>28</v>
      </c>
      <c r="B5" s="15">
        <v>583.03</v>
      </c>
      <c r="C5" s="15">
        <v>57.41</v>
      </c>
      <c r="D5" s="15">
        <v>123.29</v>
      </c>
      <c r="E5" s="15">
        <v>159.35</v>
      </c>
      <c r="F5" s="15">
        <v>135.02000000000001</v>
      </c>
      <c r="G5" s="15">
        <v>373.72</v>
      </c>
      <c r="H5" s="15">
        <v>557.39</v>
      </c>
      <c r="I5" s="15">
        <v>704.25</v>
      </c>
      <c r="J5">
        <f t="shared" ref="J5:J6" si="1">(C5-H5)/H5</f>
        <v>-0.89700209906887463</v>
      </c>
      <c r="K5" s="14" t="s">
        <v>28</v>
      </c>
      <c r="L5">
        <f>B11/B5</f>
        <v>1.0305644649503456</v>
      </c>
      <c r="M5">
        <f t="shared" ref="M5:S6" si="2">C11/C5</f>
        <v>1.397840097543982</v>
      </c>
      <c r="N5" s="34">
        <f t="shared" si="2"/>
        <v>1.9957823018898531</v>
      </c>
      <c r="O5">
        <f t="shared" si="2"/>
        <v>1.802196422968309</v>
      </c>
      <c r="P5">
        <f t="shared" si="2"/>
        <v>1.9295659902236701</v>
      </c>
      <c r="Q5">
        <f t="shared" si="2"/>
        <v>1.2205394412929464</v>
      </c>
      <c r="R5">
        <f t="shared" si="2"/>
        <v>1.0487450438651571</v>
      </c>
      <c r="S5">
        <f t="shared" si="2"/>
        <v>0.9525310614128506</v>
      </c>
    </row>
    <row r="6" spans="1:19" x14ac:dyDescent="0.35">
      <c r="A6" s="14" t="s">
        <v>29</v>
      </c>
      <c r="B6" s="32">
        <v>1264.8499999999999</v>
      </c>
      <c r="C6" s="15">
        <v>64.569999999999993</v>
      </c>
      <c r="D6" s="15">
        <v>229.83</v>
      </c>
      <c r="E6" s="15">
        <v>369.47</v>
      </c>
      <c r="F6" s="15">
        <v>276.27</v>
      </c>
      <c r="G6" s="15">
        <v>932.15</v>
      </c>
      <c r="H6" s="15">
        <v>1230.3699999999999</v>
      </c>
      <c r="I6" s="32">
        <v>1410.86</v>
      </c>
      <c r="J6">
        <f t="shared" si="1"/>
        <v>-0.94751985175191211</v>
      </c>
      <c r="K6" s="14" t="s">
        <v>29</v>
      </c>
      <c r="L6">
        <f t="shared" ref="L5:L6" si="3">B12/B6</f>
        <v>0.67940862552871883</v>
      </c>
      <c r="M6">
        <f t="shared" si="2"/>
        <v>1.5504104073098963</v>
      </c>
      <c r="N6">
        <f t="shared" si="2"/>
        <v>1.4114780489927337</v>
      </c>
      <c r="O6">
        <f t="shared" si="2"/>
        <v>1.2097599263810324</v>
      </c>
      <c r="P6">
        <f t="shared" si="2"/>
        <v>1.3338038875013576</v>
      </c>
      <c r="Q6">
        <f t="shared" si="2"/>
        <v>0.79810116397575503</v>
      </c>
      <c r="R6">
        <f t="shared" si="2"/>
        <v>0.68957305525979995</v>
      </c>
      <c r="S6" s="34">
        <f>I12/I6</f>
        <v>0.64004933161334221</v>
      </c>
    </row>
    <row r="7" spans="1:19" x14ac:dyDescent="0.35">
      <c r="A7" s="17" t="s">
        <v>30</v>
      </c>
      <c r="B7" s="17"/>
      <c r="C7" s="17"/>
      <c r="D7" s="17"/>
      <c r="E7" s="17"/>
      <c r="F7" s="17"/>
      <c r="G7" s="17"/>
      <c r="H7" s="17"/>
      <c r="I7" s="17"/>
    </row>
    <row r="8" spans="1:19" ht="58" x14ac:dyDescent="0.35">
      <c r="A8" s="14" t="s">
        <v>17</v>
      </c>
      <c r="B8" s="14" t="s">
        <v>18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</row>
    <row r="9" spans="1:19" x14ac:dyDescent="0.35">
      <c r="A9" s="14" t="s">
        <v>26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</row>
    <row r="10" spans="1:19" x14ac:dyDescent="0.35">
      <c r="A10" s="14" t="s">
        <v>27</v>
      </c>
      <c r="B10" s="15">
        <v>356.34</v>
      </c>
      <c r="C10" s="15">
        <v>65.47</v>
      </c>
      <c r="D10" s="15">
        <v>157.85</v>
      </c>
      <c r="E10" s="15">
        <v>184.32</v>
      </c>
      <c r="F10" s="15">
        <v>168.51</v>
      </c>
      <c r="G10" s="15">
        <v>275.56</v>
      </c>
      <c r="H10" s="15">
        <v>346.23</v>
      </c>
      <c r="I10" s="15">
        <v>405.12</v>
      </c>
    </row>
    <row r="11" spans="1:19" x14ac:dyDescent="0.35">
      <c r="A11" s="14" t="s">
        <v>28</v>
      </c>
      <c r="B11" s="15">
        <v>600.85</v>
      </c>
      <c r="C11" s="15">
        <v>80.25</v>
      </c>
      <c r="D11" s="15">
        <v>246.06</v>
      </c>
      <c r="E11" s="15">
        <v>287.18</v>
      </c>
      <c r="F11" s="15">
        <v>260.52999999999997</v>
      </c>
      <c r="G11" s="15">
        <v>456.14</v>
      </c>
      <c r="H11" s="15">
        <v>584.55999999999995</v>
      </c>
      <c r="I11" s="15">
        <v>670.82</v>
      </c>
    </row>
    <row r="12" spans="1:19" x14ac:dyDescent="0.35">
      <c r="A12" s="14" t="s">
        <v>29</v>
      </c>
      <c r="B12" s="15">
        <v>859.35</v>
      </c>
      <c r="C12" s="15">
        <v>100.11</v>
      </c>
      <c r="D12" s="15">
        <v>324.39999999999998</v>
      </c>
      <c r="E12" s="15">
        <v>446.97</v>
      </c>
      <c r="F12" s="15">
        <v>368.49</v>
      </c>
      <c r="G12" s="15">
        <v>743.95</v>
      </c>
      <c r="H12" s="15">
        <v>848.43</v>
      </c>
      <c r="I12" s="15">
        <v>903.02</v>
      </c>
    </row>
  </sheetData>
  <mergeCells count="2">
    <mergeCell ref="A1:I1"/>
    <mergeCell ref="A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E4AB-7928-42D9-A24F-17D1AD718EAE}">
  <dimension ref="A1:S12"/>
  <sheetViews>
    <sheetView workbookViewId="0">
      <selection activeCell="S6" sqref="S6"/>
    </sheetView>
  </sheetViews>
  <sheetFormatPr defaultRowHeight="14.5" x14ac:dyDescent="0.35"/>
  <sheetData>
    <row r="1" spans="1:19" x14ac:dyDescent="0.35">
      <c r="A1" s="16" t="s">
        <v>13</v>
      </c>
      <c r="B1" s="16"/>
      <c r="C1" s="16"/>
      <c r="D1" s="16"/>
      <c r="E1" s="16"/>
      <c r="F1" s="16"/>
      <c r="G1" s="16"/>
      <c r="H1" s="16"/>
      <c r="I1" s="16"/>
      <c r="L1" t="s">
        <v>51</v>
      </c>
    </row>
    <row r="2" spans="1:19" ht="58" x14ac:dyDescent="0.35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14" t="s">
        <v>25</v>
      </c>
      <c r="K2" s="14" t="s">
        <v>17</v>
      </c>
      <c r="L2" s="14" t="s">
        <v>18</v>
      </c>
      <c r="M2" s="14" t="s">
        <v>19</v>
      </c>
      <c r="N2" s="14" t="s">
        <v>20</v>
      </c>
      <c r="O2" s="14" t="s">
        <v>21</v>
      </c>
      <c r="P2" s="14" t="s">
        <v>22</v>
      </c>
      <c r="Q2" s="14" t="s">
        <v>23</v>
      </c>
      <c r="R2" s="14" t="s">
        <v>24</v>
      </c>
      <c r="S2" s="14" t="s">
        <v>25</v>
      </c>
    </row>
    <row r="3" spans="1:19" x14ac:dyDescent="0.35">
      <c r="A3" s="14" t="s">
        <v>26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K3" s="14" t="s">
        <v>26</v>
      </c>
    </row>
    <row r="4" spans="1:19" x14ac:dyDescent="0.35">
      <c r="A4" s="14" t="s">
        <v>27</v>
      </c>
      <c r="B4" s="15">
        <v>32.58</v>
      </c>
      <c r="C4" s="15">
        <v>8.66</v>
      </c>
      <c r="D4" s="15">
        <v>13.09</v>
      </c>
      <c r="E4" s="15">
        <v>14.63</v>
      </c>
      <c r="F4" s="15">
        <v>13.63</v>
      </c>
      <c r="G4" s="15">
        <v>23.04</v>
      </c>
      <c r="H4" s="15">
        <v>31.32</v>
      </c>
      <c r="I4" s="15">
        <v>38.93</v>
      </c>
      <c r="J4">
        <f>(C4-H4)/H4</f>
        <v>-0.72349936143039595</v>
      </c>
      <c r="K4" s="14" t="s">
        <v>27</v>
      </c>
      <c r="L4">
        <f>B10/B4</f>
        <v>1.3072437077961943</v>
      </c>
      <c r="M4">
        <f t="shared" ref="M4:S6" si="0">C10/C4</f>
        <v>1.0092378752886837</v>
      </c>
      <c r="N4">
        <f t="shared" si="0"/>
        <v>1.3682200152788389</v>
      </c>
      <c r="O4" s="34">
        <f t="shared" si="0"/>
        <v>1.4162679425837319</v>
      </c>
      <c r="P4">
        <f t="shared" si="0"/>
        <v>1.3932501834189286</v>
      </c>
      <c r="Q4">
        <f t="shared" si="0"/>
        <v>1.3888888888888888</v>
      </c>
      <c r="R4">
        <f t="shared" si="0"/>
        <v>1.3208812260536398</v>
      </c>
      <c r="S4">
        <f t="shared" si="0"/>
        <v>1.2352941176470589</v>
      </c>
    </row>
    <row r="5" spans="1:19" x14ac:dyDescent="0.35">
      <c r="A5" s="14" t="s">
        <v>28</v>
      </c>
      <c r="B5" s="15">
        <v>78.95</v>
      </c>
      <c r="C5" s="15">
        <v>9.39</v>
      </c>
      <c r="D5" s="15">
        <v>16.760000000000002</v>
      </c>
      <c r="E5" s="15">
        <v>21.96</v>
      </c>
      <c r="F5" s="15">
        <v>18.440000000000001</v>
      </c>
      <c r="G5" s="15">
        <v>50.72</v>
      </c>
      <c r="H5" s="15">
        <v>75.39</v>
      </c>
      <c r="I5" s="15">
        <v>96.24</v>
      </c>
      <c r="J5">
        <f t="shared" ref="J5:J6" si="1">(C5-H5)/H5</f>
        <v>-0.8754476721050537</v>
      </c>
      <c r="K5" s="14" t="s">
        <v>28</v>
      </c>
      <c r="L5">
        <f>B11/B5</f>
        <v>0.88131728942368581</v>
      </c>
      <c r="M5">
        <f t="shared" si="0"/>
        <v>0.92758253461128859</v>
      </c>
      <c r="N5">
        <f t="shared" si="0"/>
        <v>1.2965393794749402</v>
      </c>
      <c r="O5">
        <f t="shared" si="0"/>
        <v>1.3533697632058286</v>
      </c>
      <c r="P5">
        <f t="shared" si="0"/>
        <v>1.3237527114967462</v>
      </c>
      <c r="Q5">
        <f t="shared" si="0"/>
        <v>1.1072555205047319</v>
      </c>
      <c r="R5">
        <f t="shared" si="0"/>
        <v>0.90396604324180929</v>
      </c>
      <c r="S5">
        <f t="shared" si="0"/>
        <v>0.78595178719867009</v>
      </c>
    </row>
    <row r="6" spans="1:19" x14ac:dyDescent="0.35">
      <c r="A6" s="14" t="s">
        <v>29</v>
      </c>
      <c r="B6" s="15">
        <v>176.94</v>
      </c>
      <c r="C6" s="15">
        <v>9.92</v>
      </c>
      <c r="D6" s="15">
        <v>34.82</v>
      </c>
      <c r="E6" s="15">
        <v>52.18</v>
      </c>
      <c r="F6" s="15">
        <v>40.74</v>
      </c>
      <c r="G6" s="15">
        <v>125.82</v>
      </c>
      <c r="H6" s="15">
        <v>171.31</v>
      </c>
      <c r="I6" s="15">
        <v>201.77</v>
      </c>
      <c r="J6">
        <f t="shared" si="1"/>
        <v>-0.94209328118615387</v>
      </c>
      <c r="K6" s="14" t="s">
        <v>29</v>
      </c>
      <c r="L6">
        <f t="shared" ref="L6" si="2">B12/B6</f>
        <v>0.47846727704306541</v>
      </c>
      <c r="M6">
        <f t="shared" si="0"/>
        <v>1.1048387096774195</v>
      </c>
      <c r="N6">
        <f t="shared" si="0"/>
        <v>1.3302699597932224</v>
      </c>
      <c r="O6">
        <f t="shared" si="0"/>
        <v>1.1322345726331928</v>
      </c>
      <c r="P6">
        <f t="shared" si="0"/>
        <v>1.2606774668630338</v>
      </c>
      <c r="Q6">
        <f t="shared" si="0"/>
        <v>0.65053250675568275</v>
      </c>
      <c r="R6">
        <f t="shared" si="0"/>
        <v>0.49419181600607082</v>
      </c>
      <c r="S6" s="34">
        <f>I12/I6</f>
        <v>0.41695990484214696</v>
      </c>
    </row>
    <row r="7" spans="1:19" x14ac:dyDescent="0.35">
      <c r="A7" s="17" t="s">
        <v>30</v>
      </c>
      <c r="B7" s="17"/>
      <c r="C7" s="17"/>
      <c r="D7" s="17"/>
      <c r="E7" s="17"/>
      <c r="F7" s="17"/>
      <c r="G7" s="17"/>
      <c r="H7" s="17"/>
      <c r="I7" s="17"/>
    </row>
    <row r="8" spans="1:19" ht="58" x14ac:dyDescent="0.35">
      <c r="A8" s="14" t="s">
        <v>17</v>
      </c>
      <c r="B8" s="14" t="s">
        <v>18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</row>
    <row r="9" spans="1:19" x14ac:dyDescent="0.35">
      <c r="A9" s="14" t="s">
        <v>26</v>
      </c>
      <c r="B9" s="15">
        <v>0</v>
      </c>
      <c r="C9" s="15">
        <v>0</v>
      </c>
      <c r="D9" s="15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</row>
    <row r="10" spans="1:19" x14ac:dyDescent="0.35">
      <c r="A10" s="14" t="s">
        <v>27</v>
      </c>
      <c r="B10" s="15">
        <v>42.59</v>
      </c>
      <c r="C10" s="15">
        <v>8.74</v>
      </c>
      <c r="D10" s="15">
        <v>17.91</v>
      </c>
      <c r="E10" s="15">
        <v>20.72</v>
      </c>
      <c r="F10" s="15">
        <v>18.989999999999998</v>
      </c>
      <c r="G10" s="15">
        <v>32</v>
      </c>
      <c r="H10" s="15">
        <v>41.37</v>
      </c>
      <c r="I10" s="15">
        <v>48.09</v>
      </c>
    </row>
    <row r="11" spans="1:19" x14ac:dyDescent="0.35">
      <c r="A11" s="14" t="s">
        <v>28</v>
      </c>
      <c r="B11" s="15">
        <v>69.58</v>
      </c>
      <c r="C11" s="15">
        <v>8.7100000000000009</v>
      </c>
      <c r="D11" s="15">
        <v>21.73</v>
      </c>
      <c r="E11" s="15">
        <v>29.72</v>
      </c>
      <c r="F11" s="15">
        <v>24.41</v>
      </c>
      <c r="G11" s="15">
        <v>56.16</v>
      </c>
      <c r="H11" s="15">
        <v>68.150000000000006</v>
      </c>
      <c r="I11" s="15">
        <v>75.64</v>
      </c>
    </row>
    <row r="12" spans="1:19" x14ac:dyDescent="0.35">
      <c r="A12" s="14" t="s">
        <v>29</v>
      </c>
      <c r="B12" s="15">
        <v>84.66</v>
      </c>
      <c r="C12" s="15">
        <v>10.96</v>
      </c>
      <c r="D12" s="15">
        <v>46.32</v>
      </c>
      <c r="E12" s="15">
        <v>59.08</v>
      </c>
      <c r="F12" s="15">
        <v>51.36</v>
      </c>
      <c r="G12" s="15">
        <v>81.849999999999994</v>
      </c>
      <c r="H12" s="15">
        <v>84.66</v>
      </c>
      <c r="I12" s="15">
        <v>84.13</v>
      </c>
    </row>
  </sheetData>
  <mergeCells count="2">
    <mergeCell ref="A1:I1"/>
    <mergeCell ref="A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53</vt:i4>
      </vt:variant>
    </vt:vector>
  </HeadingPairs>
  <TitlesOfParts>
    <vt:vector size="73" baseType="lpstr">
      <vt:lpstr>Uganda Adults PM DALYs</vt:lpstr>
      <vt:lpstr>Uganda Child PM DALYs</vt:lpstr>
      <vt:lpstr>Child versus adult difference</vt:lpstr>
      <vt:lpstr>Vietnam Adults PM DALYs</vt:lpstr>
      <vt:lpstr>Vietnam Child PM DALYs</vt:lpstr>
      <vt:lpstr>Uganda child water DALYs</vt:lpstr>
      <vt:lpstr>Uganda adult water DALYs</vt:lpstr>
      <vt:lpstr>Vietnam adult water DALYs</vt:lpstr>
      <vt:lpstr>Vietnam children water DALYs</vt:lpstr>
      <vt:lpstr>Child versus adult water DALYs</vt:lpstr>
      <vt:lpstr>Uganda Adult Net DALYs water h</vt:lpstr>
      <vt:lpstr>Uganda Adult Net DALYs</vt:lpstr>
      <vt:lpstr>Uganda child Net DALYs water h</vt:lpstr>
      <vt:lpstr>Uganda child Net DALYs</vt:lpstr>
      <vt:lpstr>Vietnam Adult net DALYs water h</vt:lpstr>
      <vt:lpstr>Vietnam Adult net DALYs</vt:lpstr>
      <vt:lpstr>Vietnam Child Net DALYs_water_h</vt:lpstr>
      <vt:lpstr>Vietnam Child Net DALYs</vt:lpstr>
      <vt:lpstr>Indoor PM</vt:lpstr>
      <vt:lpstr>Stove Number</vt:lpstr>
      <vt:lpstr>'Uganda Adult Net DALYs water h'!Uganda_adults_charcoal</vt:lpstr>
      <vt:lpstr>Uganda_adults_charcoal</vt:lpstr>
      <vt:lpstr>Uganda_adults_charcoal_w_h</vt:lpstr>
      <vt:lpstr>'Uganda Adult Net DALYs water h'!Uganda_adults_electric</vt:lpstr>
      <vt:lpstr>Uganda_adults_electric</vt:lpstr>
      <vt:lpstr>'Uganda Adult Net DALYs water h'!Uganda_adults_improved_wood</vt:lpstr>
      <vt:lpstr>Uganda_adults_improved_wood</vt:lpstr>
      <vt:lpstr>Uganda_adults_improved_wood_w_h</vt:lpstr>
      <vt:lpstr>'Uganda Adult Net DALYs water h'!Uganda_adults_LPG</vt:lpstr>
      <vt:lpstr>Uganda_adults_LPG</vt:lpstr>
      <vt:lpstr>Uganda_adults_LPG_w_h</vt:lpstr>
      <vt:lpstr>'Uganda Adult Net DALYs water h'!Uganda_adults_minimoto</vt:lpstr>
      <vt:lpstr>Uganda_adults_minimoto</vt:lpstr>
      <vt:lpstr>Uganda_adults_minimoto_w_h</vt:lpstr>
      <vt:lpstr>'Uganda Adult Net DALYs water h'!uganda_adults_trad_wood</vt:lpstr>
      <vt:lpstr>uganda_adults_trad_wood</vt:lpstr>
      <vt:lpstr>Uganda_adults_trad_wood_w_h</vt:lpstr>
      <vt:lpstr>'Uganda child Net DALYs water h'!Uganda_child_charcoal</vt:lpstr>
      <vt:lpstr>Uganda_child_charcoal</vt:lpstr>
      <vt:lpstr>'Uganda child Net DALYs water h'!Uganda_child_electric</vt:lpstr>
      <vt:lpstr>Uganda_child_electric</vt:lpstr>
      <vt:lpstr>'Uganda child Net DALYs water h'!Uganda_child_gasifier</vt:lpstr>
      <vt:lpstr>Uganda_child_gasifier</vt:lpstr>
      <vt:lpstr>'Uganda child Net DALYs water h'!Uganda_child_improved_wood</vt:lpstr>
      <vt:lpstr>Uganda_child_improved_wood</vt:lpstr>
      <vt:lpstr>'Uganda child Net DALYs water h'!Uganda_child_LPG</vt:lpstr>
      <vt:lpstr>Uganda_child_LPG</vt:lpstr>
      <vt:lpstr>'Uganda child Net DALYs water h'!Uganda_child_traditional_wood</vt:lpstr>
      <vt:lpstr>Uganda_child_traditional_wood</vt:lpstr>
      <vt:lpstr>'Vietnam Adult net DALYs water h'!Vietnam_adult_charcoal</vt:lpstr>
      <vt:lpstr>Vietnam_adult_charcoal</vt:lpstr>
      <vt:lpstr>'Vietnam Adult net DALYs water h'!Vietnam_adult_electric</vt:lpstr>
      <vt:lpstr>Vietnam_adult_electric</vt:lpstr>
      <vt:lpstr>'Vietnam Adult net DALYs water h'!Vietnam_adult_gas</vt:lpstr>
      <vt:lpstr>Vietnam_adult_gas</vt:lpstr>
      <vt:lpstr>'Vietnam Adult net DALYs water h'!Vietnam_adult_improved_wood</vt:lpstr>
      <vt:lpstr>Vietnam_adult_improved_wood</vt:lpstr>
      <vt:lpstr>'Vietnam Adult net DALYs water h'!Vietnam_adult_LPG</vt:lpstr>
      <vt:lpstr>Vietnam_adult_LPG</vt:lpstr>
      <vt:lpstr>'Vietnam Adult net DALYs water h'!Vietnam_adult_trad_wood</vt:lpstr>
      <vt:lpstr>Vietnam_adult_trad_wood</vt:lpstr>
      <vt:lpstr>'Vietnam Child Net DALYs_water_h'!Vietnam_child_charcoal</vt:lpstr>
      <vt:lpstr>Vietnam_child_charcoal</vt:lpstr>
      <vt:lpstr>'Vietnam Child Net DALYs_water_h'!Vietnam_Child_electric</vt:lpstr>
      <vt:lpstr>Vietnam_Child_electric</vt:lpstr>
      <vt:lpstr>'Vietnam Child Net DALYs_water_h'!Vietnam_child_improved_wood</vt:lpstr>
      <vt:lpstr>Vietnam_child_improved_wood</vt:lpstr>
      <vt:lpstr>'Vietnam Child Net DALYs_water_h'!Vietnam_child_LPG</vt:lpstr>
      <vt:lpstr>Vietnam_child_LPG</vt:lpstr>
      <vt:lpstr>'Vietnam Child Net DALYs_water_h'!Vietnam_child_minimoto</vt:lpstr>
      <vt:lpstr>Vietnam_child_minimoto</vt:lpstr>
      <vt:lpstr>'Vietnam Child Net DALYs_water_h'!Vietnam_child_trad_wood</vt:lpstr>
      <vt:lpstr>Vietnam_child_trad_wood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Floess</dc:creator>
  <cp:lastModifiedBy>Emily Floess</cp:lastModifiedBy>
  <dcterms:created xsi:type="dcterms:W3CDTF">2015-06-05T18:17:20Z</dcterms:created>
  <dcterms:modified xsi:type="dcterms:W3CDTF">2022-11-04T15:00:01Z</dcterms:modified>
</cp:coreProperties>
</file>